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DieseArbeitsmappe"/>
  <mc:AlternateContent xmlns:mc="http://schemas.openxmlformats.org/markup-compatibility/2006">
    <mc:Choice Requires="x15">
      <x15ac:absPath xmlns:x15ac="http://schemas.microsoft.com/office/spreadsheetml/2010/11/ac" url="L:\Abteilung4\41\Mitarbeiter\Schmid_neu\099_Programme_Excel\2022_Photovoltaik_vers_10_0_7\aktuell\"/>
    </mc:Choice>
  </mc:AlternateContent>
  <bookViews>
    <workbookView xWindow="0" yWindow="0" windowWidth="28800" windowHeight="11835" tabRatio="830"/>
  </bookViews>
  <sheets>
    <sheet name="Programmbeschreibung" sheetId="19" r:id="rId1"/>
    <sheet name="Kalkulation" sheetId="12" r:id="rId2"/>
    <sheet name="Aktueller_Stand_EEG_2021" sheetId="25" r:id="rId3"/>
    <sheet name="Artikel_Energiewende" sheetId="26" r:id="rId4"/>
    <sheet name="Vergütungen" sheetId="24" r:id="rId5"/>
    <sheet name="EK_Verzinsung" sheetId="23" r:id="rId6"/>
    <sheet name="Darlehen1" sheetId="14" r:id="rId7"/>
    <sheet name="Darlehen2" sheetId="15" r:id="rId8"/>
    <sheet name="Darlehen3" sheetId="16" r:id="rId9"/>
    <sheet name="Endfälliges Darlehen" sheetId="22" r:id="rId10"/>
    <sheet name="Einstrahlung" sheetId="17" r:id="rId11"/>
    <sheet name="Ertragsabschätzung" sheetId="18" r:id="rId12"/>
  </sheets>
  <definedNames>
    <definedName name="_xlnm.Print_Area" localSheetId="2">Aktueller_Stand_EEG_2021!$AT$2:$BL$124</definedName>
    <definedName name="_xlnm.Print_Area" localSheetId="3">Artikel_Energiewende!$D$2:$BU$57</definedName>
    <definedName name="_xlnm.Print_Area" localSheetId="5">EK_Verzinsung!$A$1:$AE$36</definedName>
    <definedName name="_xlnm.Print_Area" localSheetId="9">'Endfälliges Darlehen'!$A$1:$AZ$89</definedName>
    <definedName name="_xlnm.Print_Area" localSheetId="1">Kalkulation!$D$1:$AO$403</definedName>
    <definedName name="_xlnm.Print_Area" localSheetId="0">Programmbeschreibung!$C$1:$AB$584</definedName>
    <definedName name="_xlnm.Print_Area" localSheetId="4">Vergütungen!$A$1:$AM$201</definedName>
    <definedName name="_xlnm.Print_Titles" localSheetId="0">Programmbeschreibung!$1:$7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139" i="12" l="1"/>
  <c r="AO164" i="24" l="1"/>
  <c r="AO163" i="24"/>
  <c r="AO162" i="24"/>
  <c r="AO161" i="24"/>
  <c r="AO160" i="24"/>
  <c r="B124" i="12" l="1"/>
  <c r="AU118" i="12" s="1"/>
  <c r="P137" i="12" l="1"/>
  <c r="AU108" i="12"/>
  <c r="S12" i="24" l="1"/>
  <c r="S14" i="24"/>
  <c r="T187" i="24"/>
  <c r="T188" i="24" s="1"/>
  <c r="T189" i="24" s="1"/>
  <c r="T190" i="24" s="1"/>
  <c r="T181" i="24"/>
  <c r="T182" i="24" s="1"/>
  <c r="T183" i="24" s="1"/>
  <c r="T184" i="24" s="1"/>
  <c r="T185" i="24" s="1"/>
  <c r="T180" i="24"/>
  <c r="U161" i="24"/>
  <c r="U162" i="24"/>
  <c r="U167" i="24"/>
  <c r="U168" i="24"/>
  <c r="U169" i="24"/>
  <c r="U170" i="24"/>
  <c r="U171" i="24"/>
  <c r="U172" i="24"/>
  <c r="U173" i="24"/>
  <c r="U174" i="24"/>
  <c r="U175" i="24"/>
  <c r="U176" i="24"/>
  <c r="U177" i="24"/>
  <c r="U178" i="24"/>
  <c r="U179" i="24"/>
  <c r="D14" i="24" l="1"/>
  <c r="N12" i="24"/>
  <c r="D12" i="24"/>
  <c r="BW36" i="12"/>
  <c r="U189" i="24"/>
  <c r="S189" i="24"/>
  <c r="M189" i="24"/>
  <c r="J189" i="24"/>
  <c r="G189" i="24"/>
  <c r="U188" i="24"/>
  <c r="S188" i="24"/>
  <c r="M188" i="24"/>
  <c r="J188" i="24"/>
  <c r="G188" i="24"/>
  <c r="U187" i="24"/>
  <c r="S187" i="24"/>
  <c r="M187" i="24"/>
  <c r="J187" i="24"/>
  <c r="G187" i="24"/>
  <c r="S186" i="24"/>
  <c r="M186" i="24"/>
  <c r="J186" i="24"/>
  <c r="G186" i="24"/>
  <c r="S185" i="24"/>
  <c r="M185" i="24"/>
  <c r="J185" i="24"/>
  <c r="G185" i="24"/>
  <c r="U184" i="24"/>
  <c r="S184" i="24"/>
  <c r="M184" i="24"/>
  <c r="J184" i="24"/>
  <c r="G184" i="24"/>
  <c r="U183" i="24"/>
  <c r="S183" i="24"/>
  <c r="M183" i="24"/>
  <c r="J183" i="24"/>
  <c r="G183" i="24"/>
  <c r="U182" i="24"/>
  <c r="S182" i="24"/>
  <c r="M182" i="24"/>
  <c r="J182" i="24"/>
  <c r="G182" i="24"/>
  <c r="U181" i="24"/>
  <c r="S181" i="24"/>
  <c r="M181" i="24"/>
  <c r="J181" i="24"/>
  <c r="G181" i="24"/>
  <c r="S180" i="24"/>
  <c r="M180" i="24"/>
  <c r="J180" i="24"/>
  <c r="G180" i="24"/>
  <c r="C166" i="24" l="1"/>
  <c r="AU110" i="12"/>
  <c r="U185" i="24"/>
  <c r="T186" i="24"/>
  <c r="U186" i="24" s="1"/>
  <c r="C159" i="24"/>
  <c r="AU190" i="24"/>
  <c r="AV190" i="24" s="1"/>
  <c r="AU189" i="24"/>
  <c r="AV189" i="24" s="1"/>
  <c r="AU188" i="24"/>
  <c r="AV188" i="24" s="1"/>
  <c r="AU187" i="24"/>
  <c r="AV187" i="24" s="1"/>
  <c r="AU186" i="24"/>
  <c r="AV186" i="24" s="1"/>
  <c r="AU185" i="24"/>
  <c r="AV185" i="24" s="1"/>
  <c r="AU184" i="24"/>
  <c r="AV184" i="24" s="1"/>
  <c r="AU183" i="24"/>
  <c r="AV183" i="24" s="1"/>
  <c r="AU182" i="24"/>
  <c r="AV182" i="24" s="1"/>
  <c r="AU181" i="24"/>
  <c r="AV181" i="24" s="1"/>
  <c r="AU180" i="24"/>
  <c r="AV180" i="24" s="1"/>
  <c r="AU179" i="24"/>
  <c r="AV179" i="24" s="1"/>
  <c r="AU178" i="24"/>
  <c r="AV178" i="24" s="1"/>
  <c r="AU177" i="24"/>
  <c r="AV177" i="24" s="1"/>
  <c r="AU176" i="24"/>
  <c r="AV176" i="24" s="1"/>
  <c r="AU175" i="24"/>
  <c r="AV175" i="24" s="1"/>
  <c r="AU174" i="24"/>
  <c r="AV174" i="24" s="1"/>
  <c r="AU173" i="24"/>
  <c r="AV173" i="24" s="1"/>
  <c r="AU172" i="24"/>
  <c r="AV172" i="24" s="1"/>
  <c r="AU171" i="24"/>
  <c r="AV171" i="24" s="1"/>
  <c r="AU170" i="24"/>
  <c r="AV170" i="24" s="1"/>
  <c r="AU169" i="24"/>
  <c r="AV169" i="24" s="1"/>
  <c r="AU168" i="24"/>
  <c r="AV168" i="24" s="1"/>
  <c r="AW1" i="24"/>
  <c r="AX1" i="24"/>
  <c r="AY1" i="24"/>
  <c r="AZ1" i="24"/>
  <c r="BA1" i="24"/>
  <c r="BB1" i="24"/>
  <c r="BC1" i="24"/>
  <c r="BF1" i="24"/>
  <c r="BG1" i="24"/>
  <c r="BH1" i="24"/>
  <c r="BI1" i="24"/>
  <c r="BJ1" i="24"/>
  <c r="BK1" i="24"/>
  <c r="BL1" i="24"/>
  <c r="BM1" i="24"/>
  <c r="BN1" i="24"/>
  <c r="BO1" i="24"/>
  <c r="BP1" i="24"/>
  <c r="BQ1" i="24"/>
  <c r="BR1" i="24"/>
  <c r="BS1" i="24"/>
  <c r="BT1" i="24"/>
  <c r="BU1" i="24"/>
  <c r="BV1" i="24"/>
  <c r="BW1" i="24"/>
  <c r="BX1" i="24"/>
  <c r="BY1" i="24"/>
  <c r="BZ1" i="24"/>
  <c r="CA1" i="24"/>
  <c r="CB1" i="24"/>
  <c r="G166" i="24" l="1"/>
  <c r="G15" i="24" s="1"/>
  <c r="D166" i="24"/>
  <c r="D15" i="24" s="1"/>
  <c r="M166" i="24"/>
  <c r="M15" i="24" s="1"/>
  <c r="S166" i="24"/>
  <c r="S15" i="24" s="1"/>
  <c r="J166" i="24"/>
  <c r="J15" i="24" s="1"/>
  <c r="S159" i="24"/>
  <c r="S13" i="24" s="1"/>
  <c r="G159" i="24"/>
  <c r="G13" i="24" s="1"/>
  <c r="D159" i="24"/>
  <c r="D13" i="24" s="1"/>
  <c r="J159" i="24"/>
  <c r="J13" i="24" s="1"/>
  <c r="BN110" i="12"/>
  <c r="R143" i="12" s="1"/>
  <c r="BN109" i="12"/>
  <c r="BN107" i="12"/>
  <c r="BN108" i="12"/>
  <c r="E170" i="24"/>
  <c r="N187" i="24"/>
  <c r="N178" i="24"/>
  <c r="O178" i="24" s="1"/>
  <c r="N185" i="24"/>
  <c r="N177" i="24"/>
  <c r="N169" i="24"/>
  <c r="N167" i="24"/>
  <c r="N182" i="24"/>
  <c r="N181" i="24"/>
  <c r="N188" i="24"/>
  <c r="N172" i="24"/>
  <c r="N171" i="24"/>
  <c r="N170" i="24"/>
  <c r="N184" i="24"/>
  <c r="N176" i="24"/>
  <c r="N168" i="24"/>
  <c r="N183" i="24"/>
  <c r="N175" i="24"/>
  <c r="N190" i="24"/>
  <c r="N174" i="24"/>
  <c r="N189" i="24"/>
  <c r="N173" i="24"/>
  <c r="N180" i="24"/>
  <c r="N179" i="24"/>
  <c r="O179" i="24" s="1"/>
  <c r="N186" i="24"/>
  <c r="H179" i="24"/>
  <c r="H180" i="24" s="1"/>
  <c r="H181" i="24" s="1"/>
  <c r="E174" i="24"/>
  <c r="H167" i="24"/>
  <c r="K175" i="24"/>
  <c r="K178" i="24"/>
  <c r="L178" i="24" s="1"/>
  <c r="H170" i="24"/>
  <c r="E167" i="24"/>
  <c r="H171" i="24"/>
  <c r="E179" i="24"/>
  <c r="F179" i="24" s="1"/>
  <c r="E168" i="24"/>
  <c r="H168" i="24"/>
  <c r="E175" i="24"/>
  <c r="H178" i="24"/>
  <c r="I178" i="24" s="1"/>
  <c r="K170" i="24"/>
  <c r="K173" i="24"/>
  <c r="H173" i="24"/>
  <c r="H174" i="24"/>
  <c r="H176" i="24"/>
  <c r="H169" i="24"/>
  <c r="E172" i="24"/>
  <c r="K174" i="24"/>
  <c r="K168" i="24"/>
  <c r="K169" i="24"/>
  <c r="K171" i="24"/>
  <c r="H177" i="24"/>
  <c r="E171" i="24"/>
  <c r="E177" i="24"/>
  <c r="K177" i="24"/>
  <c r="E169" i="24"/>
  <c r="H172" i="24"/>
  <c r="E173" i="24"/>
  <c r="K176" i="24"/>
  <c r="K179" i="24"/>
  <c r="K180" i="24" s="1"/>
  <c r="K181" i="24" s="1"/>
  <c r="K172" i="24"/>
  <c r="E176" i="24"/>
  <c r="K167" i="24"/>
  <c r="H175" i="24"/>
  <c r="E178" i="24"/>
  <c r="F178" i="24" s="1"/>
  <c r="T158" i="24"/>
  <c r="T12" i="24" s="1"/>
  <c r="T165" i="24"/>
  <c r="T14" i="24" s="1"/>
  <c r="N165" i="24"/>
  <c r="N14" i="24" s="1"/>
  <c r="K165" i="24"/>
  <c r="H165" i="24"/>
  <c r="E165" i="24"/>
  <c r="H164" i="24"/>
  <c r="K161" i="24"/>
  <c r="H163" i="24"/>
  <c r="E160" i="24"/>
  <c r="H162" i="24"/>
  <c r="K164" i="24"/>
  <c r="H161" i="24"/>
  <c r="K163" i="24"/>
  <c r="H160" i="24"/>
  <c r="K162" i="24"/>
  <c r="E164" i="24"/>
  <c r="E163" i="24"/>
  <c r="K160" i="24"/>
  <c r="E162" i="24"/>
  <c r="E161" i="24"/>
  <c r="H158" i="24"/>
  <c r="E158" i="24"/>
  <c r="K158" i="24"/>
  <c r="K12" i="24" s="1"/>
  <c r="AP174" i="12"/>
  <c r="H179" i="12"/>
  <c r="H178" i="12"/>
  <c r="AP201" i="12"/>
  <c r="BK110" i="12" l="1"/>
  <c r="P143" i="12" s="1"/>
  <c r="R141" i="12"/>
  <c r="R139" i="12"/>
  <c r="BK109" i="12"/>
  <c r="P141" i="12" s="1"/>
  <c r="R137" i="12"/>
  <c r="BK108" i="12"/>
  <c r="P139" i="12" s="1"/>
  <c r="L179" i="24"/>
  <c r="I179" i="24"/>
  <c r="E180" i="24"/>
  <c r="E181" i="24" s="1"/>
  <c r="F181" i="24" s="1"/>
  <c r="G165" i="24"/>
  <c r="E14" i="24"/>
  <c r="G14" i="24" s="1"/>
  <c r="J165" i="24"/>
  <c r="H14" i="24"/>
  <c r="J14" i="24" s="1"/>
  <c r="M165" i="24"/>
  <c r="M14" i="24" s="1"/>
  <c r="K14" i="24"/>
  <c r="H182" i="24"/>
  <c r="I181" i="24"/>
  <c r="O181" i="24"/>
  <c r="K182" i="24"/>
  <c r="L181" i="24"/>
  <c r="J158" i="24"/>
  <c r="J12" i="24" s="1"/>
  <c r="H12" i="24"/>
  <c r="G158" i="24"/>
  <c r="G12" i="24" s="1"/>
  <c r="E12" i="24"/>
  <c r="AU167" i="24"/>
  <c r="AV167" i="24" s="1"/>
  <c r="AU164" i="24"/>
  <c r="AV164" i="24" s="1"/>
  <c r="AU163" i="24"/>
  <c r="AV163" i="24" s="1"/>
  <c r="AU162" i="24"/>
  <c r="AV162" i="24" s="1"/>
  <c r="AU161" i="24"/>
  <c r="AV161" i="24" s="1"/>
  <c r="AU160" i="24"/>
  <c r="AV160" i="24" s="1"/>
  <c r="E182" i="24" l="1"/>
  <c r="E183" i="24" s="1"/>
  <c r="E184" i="24" s="1"/>
  <c r="H183" i="24"/>
  <c r="I182" i="24"/>
  <c r="K183" i="24"/>
  <c r="L182" i="24"/>
  <c r="O182" i="24"/>
  <c r="U190" i="24"/>
  <c r="S190" i="24"/>
  <c r="M190" i="24"/>
  <c r="J190" i="24"/>
  <c r="G190" i="24"/>
  <c r="O177" i="24"/>
  <c r="L177" i="24"/>
  <c r="I177" i="24"/>
  <c r="F177" i="24"/>
  <c r="O176" i="24"/>
  <c r="L176" i="24"/>
  <c r="I176" i="24"/>
  <c r="F176" i="24"/>
  <c r="O175" i="24"/>
  <c r="L175" i="24"/>
  <c r="I175" i="24"/>
  <c r="F175" i="24"/>
  <c r="O174" i="24"/>
  <c r="L174" i="24"/>
  <c r="I174" i="24"/>
  <c r="F174" i="24"/>
  <c r="O173" i="24"/>
  <c r="L173" i="24"/>
  <c r="I173" i="24"/>
  <c r="F173" i="24"/>
  <c r="O172" i="24"/>
  <c r="L172" i="24"/>
  <c r="I172" i="24"/>
  <c r="F172" i="24"/>
  <c r="S157" i="24"/>
  <c r="S156" i="24"/>
  <c r="S155" i="24"/>
  <c r="S154" i="24"/>
  <c r="S153" i="24"/>
  <c r="S152" i="24"/>
  <c r="S151" i="24"/>
  <c r="S150" i="24"/>
  <c r="J157" i="24"/>
  <c r="G157" i="24"/>
  <c r="J156" i="24"/>
  <c r="G156" i="24"/>
  <c r="J155" i="24"/>
  <c r="G155" i="24"/>
  <c r="J154" i="24"/>
  <c r="G154" i="24"/>
  <c r="J153" i="24"/>
  <c r="G153" i="24"/>
  <c r="J152" i="24"/>
  <c r="G152" i="24"/>
  <c r="J151" i="24"/>
  <c r="G151" i="24"/>
  <c r="J150" i="24"/>
  <c r="G150" i="24"/>
  <c r="F183" i="24" l="1"/>
  <c r="F182" i="24"/>
  <c r="H184" i="24"/>
  <c r="I183" i="24"/>
  <c r="O183" i="24"/>
  <c r="E185" i="24"/>
  <c r="F184" i="24"/>
  <c r="K184" i="24"/>
  <c r="L183" i="24"/>
  <c r="CE141" i="12"/>
  <c r="CF141" i="12" s="1"/>
  <c r="O184" i="24" l="1"/>
  <c r="H185" i="24"/>
  <c r="I184" i="24"/>
  <c r="K185" i="24"/>
  <c r="L184" i="24"/>
  <c r="E186" i="24"/>
  <c r="F185" i="24"/>
  <c r="BV159" i="12"/>
  <c r="B1" i="24"/>
  <c r="C1" i="24"/>
  <c r="D1" i="24"/>
  <c r="E1" i="24"/>
  <c r="F1" i="24"/>
  <c r="G1" i="24"/>
  <c r="H1" i="24"/>
  <c r="I1" i="24"/>
  <c r="J1" i="24"/>
  <c r="K1" i="24"/>
  <c r="L1" i="24"/>
  <c r="M1" i="24"/>
  <c r="N1" i="24"/>
  <c r="O1" i="24"/>
  <c r="P1" i="24"/>
  <c r="Q1" i="24"/>
  <c r="R1" i="24"/>
  <c r="S1" i="24"/>
  <c r="T1" i="24"/>
  <c r="U1" i="24"/>
  <c r="V1" i="24"/>
  <c r="W1" i="24"/>
  <c r="X1" i="24"/>
  <c r="Y1" i="24"/>
  <c r="Z1" i="24"/>
  <c r="AA1" i="24"/>
  <c r="AB1" i="24"/>
  <c r="AC1" i="24"/>
  <c r="AD1" i="24"/>
  <c r="AE1" i="24"/>
  <c r="AF1" i="24"/>
  <c r="AG1" i="24"/>
  <c r="AH1" i="24"/>
  <c r="AI1" i="24"/>
  <c r="AJ1" i="24"/>
  <c r="AK1" i="24"/>
  <c r="AL1" i="24"/>
  <c r="AM1" i="24"/>
  <c r="AN1" i="24"/>
  <c r="AO1" i="24"/>
  <c r="AP1" i="24"/>
  <c r="AQ1" i="24"/>
  <c r="AR1" i="24"/>
  <c r="AS1" i="24"/>
  <c r="BY137" i="12" s="1"/>
  <c r="BO141" i="12" s="1"/>
  <c r="AT1" i="24"/>
  <c r="BY139" i="12" s="1"/>
  <c r="AU1" i="24"/>
  <c r="BJ168" i="12" s="1"/>
  <c r="AV1" i="24"/>
  <c r="BJ170" i="12" s="1"/>
  <c r="A1" i="24"/>
  <c r="FO338" i="12"/>
  <c r="BJ155" i="12"/>
  <c r="AU38" i="12"/>
  <c r="AU36" i="12"/>
  <c r="AY58" i="12"/>
  <c r="AY54" i="12"/>
  <c r="R66" i="12"/>
  <c r="X116" i="12"/>
  <c r="AY84" i="12" l="1"/>
  <c r="AV108" i="12"/>
  <c r="E187" i="24"/>
  <c r="F186" i="24"/>
  <c r="K186" i="24"/>
  <c r="L185" i="24"/>
  <c r="H186" i="24"/>
  <c r="I185" i="24"/>
  <c r="O185" i="24"/>
  <c r="AY86" i="12"/>
  <c r="S126" i="24"/>
  <c r="S127" i="24"/>
  <c r="S128" i="24"/>
  <c r="S129" i="24"/>
  <c r="S130" i="24"/>
  <c r="S131" i="24"/>
  <c r="S132" i="24"/>
  <c r="S133" i="24"/>
  <c r="S134" i="24"/>
  <c r="S135" i="24"/>
  <c r="S136" i="24"/>
  <c r="S137" i="24"/>
  <c r="S139" i="24"/>
  <c r="S140" i="24"/>
  <c r="S141" i="24"/>
  <c r="S142" i="24"/>
  <c r="S143" i="24"/>
  <c r="S144" i="24"/>
  <c r="S145" i="24"/>
  <c r="S146" i="24"/>
  <c r="S147" i="24"/>
  <c r="S148" i="24"/>
  <c r="S149" i="24"/>
  <c r="J126" i="24"/>
  <c r="J127" i="24"/>
  <c r="J128" i="24"/>
  <c r="J129" i="24"/>
  <c r="J130" i="24"/>
  <c r="J131" i="24"/>
  <c r="J132" i="24"/>
  <c r="J133" i="24"/>
  <c r="J134" i="24"/>
  <c r="J135" i="24"/>
  <c r="J136" i="24"/>
  <c r="J137" i="24"/>
  <c r="J139" i="24"/>
  <c r="J140" i="24"/>
  <c r="J141" i="24"/>
  <c r="J142" i="24"/>
  <c r="J143" i="24"/>
  <c r="J144" i="24"/>
  <c r="J145" i="24"/>
  <c r="J146" i="24"/>
  <c r="J147" i="24"/>
  <c r="J148" i="24"/>
  <c r="J149" i="24"/>
  <c r="J121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9" i="24"/>
  <c r="G140" i="24"/>
  <c r="G141" i="24"/>
  <c r="G142" i="24"/>
  <c r="G143" i="24"/>
  <c r="G144" i="24"/>
  <c r="G145" i="24"/>
  <c r="G146" i="24"/>
  <c r="G147" i="24"/>
  <c r="G148" i="24"/>
  <c r="G149" i="24"/>
  <c r="E188" i="24" l="1"/>
  <c r="F187" i="24"/>
  <c r="K187" i="24"/>
  <c r="L186" i="24"/>
  <c r="O186" i="24"/>
  <c r="H187" i="24"/>
  <c r="I186" i="24"/>
  <c r="F111" i="24"/>
  <c r="K188" i="24" l="1"/>
  <c r="L187" i="24"/>
  <c r="E189" i="24"/>
  <c r="F188" i="24"/>
  <c r="H188" i="24"/>
  <c r="I187" i="24"/>
  <c r="O187" i="24"/>
  <c r="BG56" i="12"/>
  <c r="S125" i="24"/>
  <c r="J125" i="24"/>
  <c r="S124" i="24"/>
  <c r="J124" i="24"/>
  <c r="S123" i="24"/>
  <c r="J123" i="24"/>
  <c r="S122" i="24"/>
  <c r="J122" i="24"/>
  <c r="S121" i="24"/>
  <c r="S120" i="24"/>
  <c r="J120" i="24"/>
  <c r="G120" i="24"/>
  <c r="S119" i="24"/>
  <c r="J119" i="24"/>
  <c r="G119" i="24"/>
  <c r="S118" i="24"/>
  <c r="J118" i="24"/>
  <c r="G118" i="24"/>
  <c r="S117" i="24"/>
  <c r="G117" i="24"/>
  <c r="S116" i="24"/>
  <c r="G116" i="24"/>
  <c r="S115" i="24"/>
  <c r="G115" i="24"/>
  <c r="S114" i="24"/>
  <c r="J114" i="24"/>
  <c r="G114" i="24"/>
  <c r="S113" i="24"/>
  <c r="J113" i="24"/>
  <c r="G113" i="24"/>
  <c r="S112" i="24"/>
  <c r="J112" i="24"/>
  <c r="G112" i="24"/>
  <c r="S111" i="24"/>
  <c r="J111" i="24"/>
  <c r="G111" i="24"/>
  <c r="S110" i="24"/>
  <c r="J110" i="24"/>
  <c r="G110" i="24"/>
  <c r="S109" i="24"/>
  <c r="J109" i="24"/>
  <c r="G109" i="24"/>
  <c r="S108" i="24"/>
  <c r="J108" i="24"/>
  <c r="G108" i="24"/>
  <c r="S107" i="24"/>
  <c r="J107" i="24"/>
  <c r="G107" i="24"/>
  <c r="S106" i="24"/>
  <c r="J106" i="24"/>
  <c r="G106" i="24"/>
  <c r="S105" i="24"/>
  <c r="J105" i="24"/>
  <c r="G105" i="24"/>
  <c r="S104" i="24"/>
  <c r="J104" i="24"/>
  <c r="G104" i="24"/>
  <c r="S103" i="24"/>
  <c r="J103" i="24"/>
  <c r="G103" i="24"/>
  <c r="S102" i="24"/>
  <c r="AY52" i="12"/>
  <c r="J116" i="12"/>
  <c r="P471" i="12" s="1"/>
  <c r="BI147" i="12"/>
  <c r="BI143" i="12"/>
  <c r="BI141" i="12"/>
  <c r="FP338" i="12" s="1"/>
  <c r="BA164" i="12"/>
  <c r="U120" i="12"/>
  <c r="F122" i="12"/>
  <c r="AU164" i="12"/>
  <c r="S101" i="24"/>
  <c r="S100" i="24"/>
  <c r="V230" i="24"/>
  <c r="V236" i="24" s="1"/>
  <c r="R230" i="24"/>
  <c r="O230" i="24"/>
  <c r="O236" i="24" s="1"/>
  <c r="K230" i="24"/>
  <c r="K236" i="24" s="1"/>
  <c r="H230" i="24"/>
  <c r="H236" i="24" s="1"/>
  <c r="BK166" i="12"/>
  <c r="BJ162" i="12"/>
  <c r="BJ164" i="12"/>
  <c r="H177" i="12"/>
  <c r="F128" i="12"/>
  <c r="F127" i="12"/>
  <c r="F126" i="12"/>
  <c r="S73" i="24"/>
  <c r="S72" i="24"/>
  <c r="S71" i="24"/>
  <c r="S70" i="24"/>
  <c r="S69" i="24"/>
  <c r="S68" i="24"/>
  <c r="S67" i="24"/>
  <c r="S66" i="24"/>
  <c r="S65" i="24"/>
  <c r="M73" i="24"/>
  <c r="M72" i="24"/>
  <c r="M71" i="24"/>
  <c r="M70" i="24"/>
  <c r="M69" i="24"/>
  <c r="M68" i="24"/>
  <c r="M67" i="24"/>
  <c r="M66" i="24"/>
  <c r="M65" i="24"/>
  <c r="J73" i="24"/>
  <c r="J72" i="24"/>
  <c r="J71" i="24"/>
  <c r="J70" i="24"/>
  <c r="J69" i="24"/>
  <c r="J68" i="24"/>
  <c r="J67" i="24"/>
  <c r="J66" i="24"/>
  <c r="J65" i="24"/>
  <c r="G73" i="24"/>
  <c r="G72" i="24"/>
  <c r="G71" i="24"/>
  <c r="G70" i="24"/>
  <c r="G69" i="24"/>
  <c r="G68" i="24"/>
  <c r="G67" i="24"/>
  <c r="G66" i="24"/>
  <c r="G65" i="24"/>
  <c r="E61" i="24"/>
  <c r="BC15" i="12"/>
  <c r="G59" i="24"/>
  <c r="J59" i="24"/>
  <c r="M59" i="24"/>
  <c r="S59" i="24"/>
  <c r="G58" i="24"/>
  <c r="J58" i="24"/>
  <c r="M58" i="24"/>
  <c r="S58" i="24"/>
  <c r="G57" i="24"/>
  <c r="J57" i="24"/>
  <c r="M57" i="24"/>
  <c r="S57" i="24"/>
  <c r="G56" i="24"/>
  <c r="J56" i="24"/>
  <c r="M56" i="24"/>
  <c r="S56" i="24"/>
  <c r="G55" i="24"/>
  <c r="J55" i="24"/>
  <c r="M55" i="24"/>
  <c r="S55" i="24"/>
  <c r="G54" i="24"/>
  <c r="J54" i="24"/>
  <c r="M54" i="24"/>
  <c r="S54" i="24"/>
  <c r="G53" i="24"/>
  <c r="J53" i="24"/>
  <c r="M53" i="24"/>
  <c r="S53" i="24"/>
  <c r="S52" i="24"/>
  <c r="M52" i="24"/>
  <c r="J52" i="24"/>
  <c r="G52" i="24"/>
  <c r="U54" i="24"/>
  <c r="S51" i="24"/>
  <c r="M51" i="24"/>
  <c r="J51" i="24"/>
  <c r="G51" i="24"/>
  <c r="S50" i="24"/>
  <c r="M50" i="24"/>
  <c r="J50" i="24"/>
  <c r="G50" i="24"/>
  <c r="S49" i="24"/>
  <c r="M49" i="24"/>
  <c r="J49" i="24"/>
  <c r="G49" i="24"/>
  <c r="S48" i="24"/>
  <c r="M48" i="24"/>
  <c r="J48" i="24"/>
  <c r="G48" i="24"/>
  <c r="S47" i="24"/>
  <c r="M47" i="24"/>
  <c r="J47" i="24"/>
  <c r="G47" i="24"/>
  <c r="S46" i="24"/>
  <c r="M46" i="24"/>
  <c r="J46" i="24"/>
  <c r="G46" i="24"/>
  <c r="S45" i="24"/>
  <c r="M45" i="24"/>
  <c r="J45" i="24"/>
  <c r="G45" i="24"/>
  <c r="S44" i="24"/>
  <c r="M44" i="24"/>
  <c r="J44" i="24"/>
  <c r="G44" i="24"/>
  <c r="S43" i="24"/>
  <c r="M43" i="24"/>
  <c r="J43" i="24"/>
  <c r="G43" i="24"/>
  <c r="S42" i="24"/>
  <c r="M42" i="24"/>
  <c r="J42" i="24"/>
  <c r="G42" i="24"/>
  <c r="AW116" i="12"/>
  <c r="AW122" i="12"/>
  <c r="AU88" i="12"/>
  <c r="AU92" i="12"/>
  <c r="C106" i="22" s="1"/>
  <c r="AU94" i="12"/>
  <c r="C107" i="22" s="1"/>
  <c r="AU96" i="12"/>
  <c r="C108" i="22" s="1"/>
  <c r="AU162" i="12"/>
  <c r="AU174" i="12"/>
  <c r="AU178" i="12"/>
  <c r="AU179" i="12"/>
  <c r="F170" i="12"/>
  <c r="T157" i="12"/>
  <c r="BA168" i="12" s="1"/>
  <c r="FH333" i="12" s="1"/>
  <c r="W543" i="12"/>
  <c r="T543" i="12"/>
  <c r="Q543" i="12"/>
  <c r="V21" i="12"/>
  <c r="R528" i="12" s="1"/>
  <c r="B58" i="17"/>
  <c r="G66" i="17"/>
  <c r="I66" i="17"/>
  <c r="K66" i="17"/>
  <c r="M66" i="17"/>
  <c r="O66" i="17"/>
  <c r="Q66" i="17"/>
  <c r="S66" i="17"/>
  <c r="U66" i="17"/>
  <c r="W66" i="17"/>
  <c r="Y66" i="17"/>
  <c r="AA66" i="17"/>
  <c r="E66" i="17"/>
  <c r="AC60" i="17"/>
  <c r="AC57" i="17"/>
  <c r="F238" i="12"/>
  <c r="AB197" i="12"/>
  <c r="T33" i="12"/>
  <c r="AB187" i="12" s="1"/>
  <c r="BR333" i="12"/>
  <c r="AY92" i="12"/>
  <c r="N106" i="22" s="1"/>
  <c r="FN336" i="12"/>
  <c r="AJ30" i="24"/>
  <c r="AI30" i="24"/>
  <c r="AH30" i="24"/>
  <c r="AG30" i="24"/>
  <c r="AF30" i="24"/>
  <c r="AE30" i="24"/>
  <c r="X29" i="24"/>
  <c r="O29" i="24"/>
  <c r="L29" i="24"/>
  <c r="AI29" i="24" s="1"/>
  <c r="I29" i="24"/>
  <c r="AH29" i="24" s="1"/>
  <c r="F29" i="24"/>
  <c r="BA179" i="12"/>
  <c r="T174" i="12"/>
  <c r="BA182" i="12" s="1"/>
  <c r="FQ333" i="12" s="1"/>
  <c r="FR349" i="12" s="1"/>
  <c r="Q3" i="14"/>
  <c r="Q9" i="14"/>
  <c r="R9" i="14" s="1"/>
  <c r="P5" i="14"/>
  <c r="I9" i="14"/>
  <c r="C5" i="14"/>
  <c r="C3" i="14"/>
  <c r="I3" i="14"/>
  <c r="P7" i="14"/>
  <c r="BI335" i="12"/>
  <c r="Q3" i="15"/>
  <c r="Q9" i="15"/>
  <c r="R9" i="15" s="1"/>
  <c r="P5" i="15"/>
  <c r="I9" i="15"/>
  <c r="C5" i="15"/>
  <c r="C3" i="15"/>
  <c r="I3" i="15"/>
  <c r="P7" i="15"/>
  <c r="AY94" i="12"/>
  <c r="N107" i="22" s="1"/>
  <c r="CH333" i="12"/>
  <c r="BY335" i="12"/>
  <c r="P7" i="16"/>
  <c r="Q3" i="16"/>
  <c r="Q9" i="16"/>
  <c r="R9" i="16" s="1"/>
  <c r="P5" i="16"/>
  <c r="I3" i="16"/>
  <c r="I9" i="16"/>
  <c r="C5" i="16"/>
  <c r="C3" i="16"/>
  <c r="AY96" i="12"/>
  <c r="CX333" i="12"/>
  <c r="CM338" i="12" s="1"/>
  <c r="CR338" i="12" s="1"/>
  <c r="CO335" i="12"/>
  <c r="J4" i="17"/>
  <c r="S23" i="12" s="1"/>
  <c r="J11" i="17"/>
  <c r="J13" i="17"/>
  <c r="J15" i="17"/>
  <c r="J17" i="17"/>
  <c r="J19" i="17"/>
  <c r="J21" i="17"/>
  <c r="J23" i="17"/>
  <c r="J25" i="17"/>
  <c r="J27" i="17"/>
  <c r="J29" i="17"/>
  <c r="J31" i="17"/>
  <c r="B63" i="17"/>
  <c r="AC47" i="17"/>
  <c r="AC48" i="17"/>
  <c r="AC49" i="17"/>
  <c r="AC50" i="17"/>
  <c r="AC51" i="17"/>
  <c r="AC52" i="17"/>
  <c r="AC53" i="17"/>
  <c r="AC54" i="17"/>
  <c r="AC55" i="17"/>
  <c r="AC56" i="17"/>
  <c r="AC46" i="17"/>
  <c r="J103" i="23"/>
  <c r="D138" i="23"/>
  <c r="D114" i="23"/>
  <c r="D115" i="23"/>
  <c r="D116" i="23"/>
  <c r="D117" i="23"/>
  <c r="D118" i="23"/>
  <c r="D119" i="23"/>
  <c r="D120" i="23"/>
  <c r="D121" i="23"/>
  <c r="D122" i="23"/>
  <c r="D123" i="23"/>
  <c r="D124" i="23"/>
  <c r="D125" i="23"/>
  <c r="D126" i="23"/>
  <c r="D127" i="23"/>
  <c r="D128" i="23"/>
  <c r="D129" i="23"/>
  <c r="D130" i="23"/>
  <c r="D131" i="23"/>
  <c r="D132" i="23"/>
  <c r="D133" i="23"/>
  <c r="D134" i="23"/>
  <c r="D135" i="23"/>
  <c r="D136" i="23"/>
  <c r="D137" i="23"/>
  <c r="D113" i="23"/>
  <c r="BB92" i="12"/>
  <c r="BB94" i="12"/>
  <c r="BB96" i="12"/>
  <c r="F25" i="24"/>
  <c r="AC25" i="24" s="1"/>
  <c r="I25" i="24"/>
  <c r="I26" i="24" s="1"/>
  <c r="AH26" i="24" s="1"/>
  <c r="L25" i="24"/>
  <c r="L26" i="24" s="1"/>
  <c r="L27" i="24" s="1"/>
  <c r="AJ27" i="24" s="1"/>
  <c r="O25" i="24"/>
  <c r="O26" i="24" s="1"/>
  <c r="O27" i="24" s="1"/>
  <c r="GU337" i="12"/>
  <c r="GV337" i="12" s="1"/>
  <c r="DR335" i="12"/>
  <c r="DE335" i="12"/>
  <c r="AB203" i="12"/>
  <c r="FS361" i="12"/>
  <c r="FS373" i="12" s="1"/>
  <c r="FS385" i="12" s="1"/>
  <c r="FS397" i="12" s="1"/>
  <c r="FS409" i="12" s="1"/>
  <c r="FS421" i="12" s="1"/>
  <c r="FS433" i="12" s="1"/>
  <c r="FS445" i="12" s="1"/>
  <c r="FS457" i="12" s="1"/>
  <c r="FS469" i="12" s="1"/>
  <c r="FS481" i="12" s="1"/>
  <c r="W17" i="22"/>
  <c r="W21" i="22"/>
  <c r="T27" i="22"/>
  <c r="AY102" i="12" s="1"/>
  <c r="N109" i="22" s="1"/>
  <c r="AJ9" i="22"/>
  <c r="AS9" i="22"/>
  <c r="CC93" i="22"/>
  <c r="I35" i="22" s="1"/>
  <c r="CB123" i="22"/>
  <c r="CC123" i="22"/>
  <c r="F102" i="12"/>
  <c r="AU102" i="12" s="1"/>
  <c r="C109" i="22" s="1"/>
  <c r="BR335" i="12"/>
  <c r="BG334" i="12"/>
  <c r="CX335" i="12"/>
  <c r="CH335" i="12"/>
  <c r="BW334" i="12"/>
  <c r="S526" i="12"/>
  <c r="S516" i="12"/>
  <c r="S506" i="12"/>
  <c r="D11" i="12"/>
  <c r="CM334" i="12"/>
  <c r="O102" i="12"/>
  <c r="N474" i="12"/>
  <c r="S532" i="12" s="1"/>
  <c r="J104" i="12"/>
  <c r="J102" i="12"/>
  <c r="F104" i="12"/>
  <c r="N476" i="12"/>
  <c r="S537" i="12" s="1"/>
  <c r="S504" i="12"/>
  <c r="S524" i="12"/>
  <c r="S514" i="12"/>
  <c r="J483" i="12"/>
  <c r="DP332" i="12"/>
  <c r="DP336" i="12" s="1"/>
  <c r="DP333" i="12"/>
  <c r="EC335" i="12"/>
  <c r="DC333" i="12"/>
  <c r="DC334" i="12"/>
  <c r="DC332" i="12"/>
  <c r="DC336" i="12" s="1"/>
  <c r="P199" i="12"/>
  <c r="I199" i="12"/>
  <c r="CM332" i="12"/>
  <c r="CM336" i="12" s="1"/>
  <c r="BG332" i="12"/>
  <c r="BG336" i="12" s="1"/>
  <c r="BW332" i="12"/>
  <c r="BW336" i="12" s="1"/>
  <c r="CM333" i="12"/>
  <c r="BW333" i="12"/>
  <c r="BG333" i="12"/>
  <c r="X20" i="24"/>
  <c r="X21" i="24" s="1"/>
  <c r="X22" i="24" s="1"/>
  <c r="X23" i="24" s="1"/>
  <c r="X24" i="24" s="1"/>
  <c r="X25" i="24" s="1"/>
  <c r="X26" i="24" s="1"/>
  <c r="X27" i="24" s="1"/>
  <c r="U25" i="24"/>
  <c r="U26" i="24" s="1"/>
  <c r="U27" i="24" s="1"/>
  <c r="U28" i="24" s="1"/>
  <c r="U29" i="24" s="1"/>
  <c r="AJ18" i="24"/>
  <c r="AI18" i="24"/>
  <c r="AH18" i="24"/>
  <c r="AG18" i="24"/>
  <c r="AF18" i="24"/>
  <c r="AE18" i="24"/>
  <c r="AD18" i="24"/>
  <c r="AD24" i="24"/>
  <c r="AC24" i="24"/>
  <c r="U20" i="24"/>
  <c r="U21" i="24" s="1"/>
  <c r="U22" i="24" s="1"/>
  <c r="U23" i="24" s="1"/>
  <c r="O20" i="24"/>
  <c r="O21" i="24" s="1"/>
  <c r="O22" i="24" s="1"/>
  <c r="O23" i="24" s="1"/>
  <c r="L20" i="24"/>
  <c r="L21" i="24" s="1"/>
  <c r="L22" i="24" s="1"/>
  <c r="L23" i="24" s="1"/>
  <c r="I20" i="24"/>
  <c r="I21" i="24" s="1"/>
  <c r="I22" i="24" s="1"/>
  <c r="I23" i="24" s="1"/>
  <c r="F20" i="24"/>
  <c r="F21" i="24" s="1"/>
  <c r="F22" i="24" s="1"/>
  <c r="F23" i="24" s="1"/>
  <c r="AE28" i="24"/>
  <c r="AF28" i="24"/>
  <c r="AI28" i="24"/>
  <c r="AJ28" i="24"/>
  <c r="AG28" i="24"/>
  <c r="AH28" i="24"/>
  <c r="L370" i="12"/>
  <c r="N475" i="12"/>
  <c r="S536" i="12" s="1"/>
  <c r="F14" i="17"/>
  <c r="J14" i="17" s="1"/>
  <c r="F28" i="17"/>
  <c r="J28" i="17" s="1"/>
  <c r="F16" i="17"/>
  <c r="J16" i="17" s="1"/>
  <c r="S702" i="12"/>
  <c r="FO339" i="12"/>
  <c r="FO340" i="12" s="1"/>
  <c r="AY36" i="12" l="1"/>
  <c r="AY38" i="12"/>
  <c r="BX40" i="12"/>
  <c r="BX38" i="12"/>
  <c r="E190" i="24"/>
  <c r="F190" i="24" s="1"/>
  <c r="F189" i="24"/>
  <c r="K189" i="24"/>
  <c r="L188" i="24"/>
  <c r="O188" i="24"/>
  <c r="H189" i="24"/>
  <c r="I188" i="24"/>
  <c r="V179" i="12"/>
  <c r="P179" i="12"/>
  <c r="P177" i="12"/>
  <c r="P178" i="12"/>
  <c r="AB191" i="12"/>
  <c r="AU212" i="12" s="1"/>
  <c r="AW212" i="12" s="1"/>
  <c r="R7" i="23"/>
  <c r="BD380" i="12"/>
  <c r="BE380" i="12" s="1"/>
  <c r="ER380" i="12" s="1"/>
  <c r="AP186" i="12"/>
  <c r="AU175" i="12"/>
  <c r="BD354" i="12"/>
  <c r="BE354" i="12" s="1"/>
  <c r="GU354" i="12" s="1"/>
  <c r="BD370" i="12"/>
  <c r="BE370" i="12" s="1"/>
  <c r="DC370" i="12" s="1"/>
  <c r="DP370" i="12" s="1"/>
  <c r="D271" i="12"/>
  <c r="BD371" i="12"/>
  <c r="BE371" i="12" s="1"/>
  <c r="EF371" i="12" s="1"/>
  <c r="M199" i="12"/>
  <c r="D247" i="12"/>
  <c r="BD341" i="12"/>
  <c r="DK332" i="12"/>
  <c r="DD338" i="12" s="1"/>
  <c r="AG11" i="22" s="1"/>
  <c r="BD407" i="12"/>
  <c r="BE407" i="12" s="1"/>
  <c r="BG407" i="12" s="1"/>
  <c r="BD347" i="12"/>
  <c r="D275" i="12"/>
  <c r="BD378" i="12"/>
  <c r="BE378" i="12" s="1"/>
  <c r="BG378" i="12" s="1"/>
  <c r="D285" i="12"/>
  <c r="D261" i="12"/>
  <c r="BD369" i="12"/>
  <c r="BE369" i="12" s="1"/>
  <c r="BG369" i="12" s="1"/>
  <c r="AA96" i="12"/>
  <c r="BA185" i="12"/>
  <c r="H175" i="12" s="1"/>
  <c r="AB199" i="12"/>
  <c r="N436" i="12"/>
  <c r="G701" i="12" s="1"/>
  <c r="K701" i="12" s="1"/>
  <c r="AK179" i="12"/>
  <c r="V177" i="12"/>
  <c r="FI619" i="12"/>
  <c r="FI643" i="12"/>
  <c r="FI642" i="12"/>
  <c r="FI608" i="12"/>
  <c r="FI621" i="12"/>
  <c r="FI626" i="12"/>
  <c r="FI606" i="12"/>
  <c r="FI611" i="12"/>
  <c r="FI609" i="12"/>
  <c r="FI628" i="12"/>
  <c r="FI607" i="12"/>
  <c r="FI641" i="12"/>
  <c r="FI614" i="12"/>
  <c r="FI648" i="12"/>
  <c r="FI647" i="12"/>
  <c r="FI592" i="12"/>
  <c r="AX122" i="12"/>
  <c r="BC27" i="12"/>
  <c r="AJ26" i="24"/>
  <c r="AI26" i="24"/>
  <c r="AF29" i="24"/>
  <c r="AE29" i="24"/>
  <c r="BR332" i="12"/>
  <c r="BH338" i="12" s="1"/>
  <c r="Q475" i="12"/>
  <c r="AB201" i="12"/>
  <c r="T226" i="12"/>
  <c r="I323" i="12"/>
  <c r="R6" i="22"/>
  <c r="AG178" i="12"/>
  <c r="AG177" i="12"/>
  <c r="BL166" i="12"/>
  <c r="BJ137" i="12"/>
  <c r="X177" i="12" s="1"/>
  <c r="FI610" i="12"/>
  <c r="FI603" i="12"/>
  <c r="FI637" i="12"/>
  <c r="FI636" i="12"/>
  <c r="FI640" i="12"/>
  <c r="FI635" i="12"/>
  <c r="AJ29" i="24"/>
  <c r="BD358" i="12"/>
  <c r="BE358" i="12" s="1"/>
  <c r="ER358" i="12" s="1"/>
  <c r="BD361" i="12"/>
  <c r="BE361" i="12" s="1"/>
  <c r="GU361" i="12" s="1"/>
  <c r="BD385" i="12"/>
  <c r="BE385" i="12" s="1"/>
  <c r="BD379" i="12"/>
  <c r="BE379" i="12" s="1"/>
  <c r="GU379" i="12" s="1"/>
  <c r="BD406" i="12"/>
  <c r="BE406" i="12" s="1"/>
  <c r="GU406" i="12" s="1"/>
  <c r="BD402" i="12"/>
  <c r="BE402" i="12" s="1"/>
  <c r="ER402" i="12" s="1"/>
  <c r="BD377" i="12"/>
  <c r="BE377" i="12" s="1"/>
  <c r="EF377" i="12" s="1"/>
  <c r="D295" i="12"/>
  <c r="I27" i="24"/>
  <c r="AG26" i="24"/>
  <c r="F32" i="17"/>
  <c r="J32" i="17" s="1"/>
  <c r="F30" i="17"/>
  <c r="J30" i="17" s="1"/>
  <c r="F12" i="17"/>
  <c r="J12" i="17" s="1"/>
  <c r="F24" i="17"/>
  <c r="J24" i="17" s="1"/>
  <c r="F20" i="17"/>
  <c r="J20" i="17" s="1"/>
  <c r="F22" i="17"/>
  <c r="J22" i="17" s="1"/>
  <c r="F18" i="17"/>
  <c r="J18" i="17" s="1"/>
  <c r="FR409" i="12"/>
  <c r="FQ336" i="12"/>
  <c r="BA174" i="12"/>
  <c r="U166" i="12" s="1"/>
  <c r="K72" i="12"/>
  <c r="BD362" i="12"/>
  <c r="BE362" i="12" s="1"/>
  <c r="ER362" i="12" s="1"/>
  <c r="BD346" i="12"/>
  <c r="F182" i="12"/>
  <c r="BD403" i="12"/>
  <c r="BE403" i="12" s="1"/>
  <c r="GU403" i="12" s="1"/>
  <c r="BD408" i="12"/>
  <c r="BE408" i="12" s="1"/>
  <c r="EF408" i="12" s="1"/>
  <c r="D249" i="12"/>
  <c r="BD409" i="12"/>
  <c r="BE409" i="12" s="1"/>
  <c r="GU409" i="12" s="1"/>
  <c r="BD405" i="12"/>
  <c r="BE405" i="12" s="1"/>
  <c r="GU405" i="12" s="1"/>
  <c r="BD345" i="12"/>
  <c r="BD359" i="12"/>
  <c r="BE359" i="12" s="1"/>
  <c r="GU359" i="12" s="1"/>
  <c r="D265" i="12"/>
  <c r="S230" i="19"/>
  <c r="BD367" i="12"/>
  <c r="BE367" i="12" s="1"/>
  <c r="BW367" i="12" s="1"/>
  <c r="BD388" i="12"/>
  <c r="BE388" i="12" s="1"/>
  <c r="GU388" i="12" s="1"/>
  <c r="AU170" i="12"/>
  <c r="BD398" i="12"/>
  <c r="BE398" i="12" s="1"/>
  <c r="GU398" i="12" s="1"/>
  <c r="D253" i="12"/>
  <c r="BA175" i="12"/>
  <c r="U168" i="12" s="1"/>
  <c r="BD363" i="12"/>
  <c r="BE363" i="12" s="1"/>
  <c r="EF363" i="12" s="1"/>
  <c r="BD389" i="12"/>
  <c r="BE389" i="12" s="1"/>
  <c r="CM389" i="12" s="1"/>
  <c r="D255" i="12"/>
  <c r="BD392" i="12"/>
  <c r="BE392" i="12" s="1"/>
  <c r="BG392" i="12" s="1"/>
  <c r="D263" i="12"/>
  <c r="BD393" i="12"/>
  <c r="BE393" i="12" s="1"/>
  <c r="EF393" i="12" s="1"/>
  <c r="BD338" i="12"/>
  <c r="AX725" i="12"/>
  <c r="BD344" i="12"/>
  <c r="BD355" i="12"/>
  <c r="BE355" i="12" s="1"/>
  <c r="GU355" i="12" s="1"/>
  <c r="BD397" i="12"/>
  <c r="BE397" i="12" s="1"/>
  <c r="CM397" i="12" s="1"/>
  <c r="BD382" i="12"/>
  <c r="BE382" i="12" s="1"/>
  <c r="GU382" i="12" s="1"/>
  <c r="D293" i="12"/>
  <c r="K109" i="23"/>
  <c r="R109" i="23" s="1"/>
  <c r="C17" i="23" s="1"/>
  <c r="FI627" i="12"/>
  <c r="FI601" i="12"/>
  <c r="FI645" i="12"/>
  <c r="FI622" i="12"/>
  <c r="FI620" i="12"/>
  <c r="FI591" i="12"/>
  <c r="FI604" i="12"/>
  <c r="FI613" i="12"/>
  <c r="FI630" i="12"/>
  <c r="FI618" i="12"/>
  <c r="FI624" i="12"/>
  <c r="FI600" i="12"/>
  <c r="FI646" i="12"/>
  <c r="FI638" i="12"/>
  <c r="FI625" i="12"/>
  <c r="FI597" i="12"/>
  <c r="FI595" i="12"/>
  <c r="FI605" i="12"/>
  <c r="FI602" i="12"/>
  <c r="FI632" i="12"/>
  <c r="FI612" i="12"/>
  <c r="FI590" i="12"/>
  <c r="FI631" i="12"/>
  <c r="FI644" i="12"/>
  <c r="FI649" i="12"/>
  <c r="FI593" i="12"/>
  <c r="FI599" i="12"/>
  <c r="FI633" i="12"/>
  <c r="V178" i="12"/>
  <c r="FR385" i="12"/>
  <c r="FI594" i="12"/>
  <c r="FI615" i="12"/>
  <c r="FI617" i="12"/>
  <c r="FI639" i="12"/>
  <c r="FI634" i="12"/>
  <c r="FI598" i="12"/>
  <c r="FI616" i="12"/>
  <c r="F10" i="17"/>
  <c r="J10" i="17" s="1"/>
  <c r="F26" i="17"/>
  <c r="J26" i="17" s="1"/>
  <c r="D267" i="12"/>
  <c r="R518" i="12"/>
  <c r="T82" i="12"/>
  <c r="AP179" i="12"/>
  <c r="BD395" i="12"/>
  <c r="BE395" i="12" s="1"/>
  <c r="BG395" i="12" s="1"/>
  <c r="AK168" i="12"/>
  <c r="AA475" i="12"/>
  <c r="S505" i="12" s="1"/>
  <c r="BD343" i="12"/>
  <c r="D259" i="12"/>
  <c r="AP203" i="12"/>
  <c r="W27" i="22"/>
  <c r="BD399" i="12"/>
  <c r="BE399" i="12" s="1"/>
  <c r="ER399" i="12" s="1"/>
  <c r="S474" i="12"/>
  <c r="BD360" i="12"/>
  <c r="BE360" i="12" s="1"/>
  <c r="ER360" i="12" s="1"/>
  <c r="BD396" i="12"/>
  <c r="BE396" i="12" s="1"/>
  <c r="BD364" i="12"/>
  <c r="BE364" i="12" s="1"/>
  <c r="BW364" i="12" s="1"/>
  <c r="H155" i="12"/>
  <c r="BD384" i="12"/>
  <c r="BE384" i="12" s="1"/>
  <c r="BD381" i="12"/>
  <c r="BE381" i="12" s="1"/>
  <c r="GU381" i="12" s="1"/>
  <c r="F164" i="12"/>
  <c r="BD391" i="12"/>
  <c r="BE391" i="12" s="1"/>
  <c r="CM391" i="12" s="1"/>
  <c r="BD342" i="12"/>
  <c r="D291" i="12"/>
  <c r="BD351" i="12"/>
  <c r="BE351" i="12" s="1"/>
  <c r="GU351" i="12" s="1"/>
  <c r="D269" i="12"/>
  <c r="D287" i="12"/>
  <c r="BD353" i="12"/>
  <c r="BE353" i="12" s="1"/>
  <c r="ER353" i="12" s="1"/>
  <c r="AU187" i="12"/>
  <c r="BD366" i="12"/>
  <c r="BE366" i="12" s="1"/>
  <c r="H157" i="12"/>
  <c r="H168" i="12"/>
  <c r="F205" i="12"/>
  <c r="BD387" i="12"/>
  <c r="BE387" i="12" s="1"/>
  <c r="CM387" i="12" s="1"/>
  <c r="BD365" i="12"/>
  <c r="BE365" i="12" s="1"/>
  <c r="EF365" i="12" s="1"/>
  <c r="AU172" i="12"/>
  <c r="BD404" i="12"/>
  <c r="BE404" i="12" s="1"/>
  <c r="EF404" i="12" s="1"/>
  <c r="BD386" i="12"/>
  <c r="BE386" i="12" s="1"/>
  <c r="D289" i="12"/>
  <c r="BD373" i="12"/>
  <c r="BE373" i="12" s="1"/>
  <c r="ER373" i="12" s="1"/>
  <c r="G153" i="12"/>
  <c r="D277" i="12"/>
  <c r="BD390" i="12"/>
  <c r="BE390" i="12" s="1"/>
  <c r="BD352" i="12"/>
  <c r="BE352" i="12" s="1"/>
  <c r="EF352" i="12" s="1"/>
  <c r="D251" i="12"/>
  <c r="BD376" i="12"/>
  <c r="BE376" i="12" s="1"/>
  <c r="GU376" i="12" s="1"/>
  <c r="AU185" i="12"/>
  <c r="BD340" i="12"/>
  <c r="BD368" i="12"/>
  <c r="BE368" i="12" s="1"/>
  <c r="ER368" i="12" s="1"/>
  <c r="BD372" i="12"/>
  <c r="BE372" i="12" s="1"/>
  <c r="GU372" i="12" s="1"/>
  <c r="BD350" i="12"/>
  <c r="BE350" i="12" s="1"/>
  <c r="BD357" i="12"/>
  <c r="BE357" i="12" s="1"/>
  <c r="EF357" i="12" s="1"/>
  <c r="D257" i="12"/>
  <c r="BD394" i="12"/>
  <c r="BE394" i="12" s="1"/>
  <c r="ER394" i="12" s="1"/>
  <c r="BD374" i="12"/>
  <c r="BE374" i="12" s="1"/>
  <c r="EF374" i="12" s="1"/>
  <c r="BD356" i="12"/>
  <c r="BE356" i="12" s="1"/>
  <c r="D245" i="12"/>
  <c r="BD401" i="12"/>
  <c r="BE401" i="12" s="1"/>
  <c r="ER401" i="12" s="1"/>
  <c r="D283" i="12"/>
  <c r="D281" i="12"/>
  <c r="D273" i="12"/>
  <c r="BD383" i="12"/>
  <c r="BE383" i="12" s="1"/>
  <c r="ER383" i="12" s="1"/>
  <c r="BD339" i="12"/>
  <c r="D279" i="12"/>
  <c r="BD349" i="12"/>
  <c r="AK153" i="12"/>
  <c r="BD375" i="12"/>
  <c r="BE375" i="12" s="1"/>
  <c r="ER375" i="12" s="1"/>
  <c r="BD348" i="12"/>
  <c r="R508" i="12"/>
  <c r="BD400" i="12"/>
  <c r="BE400" i="12" s="1"/>
  <c r="EF400" i="12" s="1"/>
  <c r="FI623" i="12"/>
  <c r="FI596" i="12"/>
  <c r="FI629" i="12"/>
  <c r="BJ157" i="12"/>
  <c r="BJ159" i="12" s="1"/>
  <c r="AC66" i="17"/>
  <c r="S58" i="17" s="1"/>
  <c r="FS493" i="12"/>
  <c r="FS505" i="12" s="1"/>
  <c r="FS517" i="12" s="1"/>
  <c r="FS529" i="12" s="1"/>
  <c r="FS541" i="12" s="1"/>
  <c r="FS553" i="12" s="1"/>
  <c r="FS565" i="12" s="1"/>
  <c r="FS577" i="12" s="1"/>
  <c r="FS589" i="12" s="1"/>
  <c r="FR481" i="12"/>
  <c r="S477" i="12"/>
  <c r="CX332" i="12"/>
  <c r="S522" i="12"/>
  <c r="Q477" i="12"/>
  <c r="N108" i="22"/>
  <c r="N110" i="22" s="1"/>
  <c r="AA477" i="12"/>
  <c r="S476" i="12"/>
  <c r="Q476" i="12"/>
  <c r="S512" i="12"/>
  <c r="CH332" i="12"/>
  <c r="Y11" i="22"/>
  <c r="AC11" i="22" s="1"/>
  <c r="AA102" i="12"/>
  <c r="FR433" i="12"/>
  <c r="FR457" i="12"/>
  <c r="FR397" i="12"/>
  <c r="FR361" i="12"/>
  <c r="AX38" i="12"/>
  <c r="AX40" i="12" s="1"/>
  <c r="AU15" i="12"/>
  <c r="N471" i="12"/>
  <c r="O471" i="12"/>
  <c r="AX116" i="12"/>
  <c r="FP339" i="12"/>
  <c r="FR445" i="12"/>
  <c r="FR421" i="12"/>
  <c r="FR469" i="12"/>
  <c r="FR373" i="12"/>
  <c r="AI27" i="24"/>
  <c r="AA86" i="12"/>
  <c r="AA94" i="12"/>
  <c r="AA92" i="12"/>
  <c r="AA476" i="12"/>
  <c r="AY56" i="12"/>
  <c r="Q471" i="12"/>
  <c r="AG29" i="24"/>
  <c r="AD25" i="24"/>
  <c r="F26" i="24"/>
  <c r="S475" i="12"/>
  <c r="S502" i="12"/>
  <c r="BG52" i="12"/>
  <c r="BG50" i="12" s="1"/>
  <c r="BI44" i="12" s="1"/>
  <c r="FP340" i="12"/>
  <c r="FO341" i="12"/>
  <c r="AY15" i="12"/>
  <c r="AU109" i="12" l="1"/>
  <c r="BX36" i="12"/>
  <c r="J17" i="12" s="1"/>
  <c r="AV110" i="12" s="1"/>
  <c r="FR505" i="12"/>
  <c r="H190" i="24"/>
  <c r="I190" i="24" s="1"/>
  <c r="I189" i="24"/>
  <c r="O190" i="24"/>
  <c r="O189" i="24"/>
  <c r="K190" i="24"/>
  <c r="L190" i="24" s="1"/>
  <c r="L189" i="24"/>
  <c r="DC392" i="12"/>
  <c r="DP392" i="12" s="1"/>
  <c r="ER363" i="12"/>
  <c r="ER407" i="12"/>
  <c r="GU373" i="12"/>
  <c r="GU363" i="12"/>
  <c r="CM363" i="12"/>
  <c r="CM371" i="12"/>
  <c r="DC373" i="12"/>
  <c r="DP373" i="12" s="1"/>
  <c r="X179" i="12"/>
  <c r="X178" i="12"/>
  <c r="ER408" i="12"/>
  <c r="DC363" i="12"/>
  <c r="DP363" i="12" s="1"/>
  <c r="EF351" i="12"/>
  <c r="BW363" i="12"/>
  <c r="ER364" i="12"/>
  <c r="CM364" i="12"/>
  <c r="BG363" i="12"/>
  <c r="BG364" i="12"/>
  <c r="ER352" i="12"/>
  <c r="CM405" i="12"/>
  <c r="ER393" i="12"/>
  <c r="GU353" i="12"/>
  <c r="BW378" i="12"/>
  <c r="GU369" i="12"/>
  <c r="BW380" i="12"/>
  <c r="CM395" i="12"/>
  <c r="BW369" i="12"/>
  <c r="BG380" i="12"/>
  <c r="ER391" i="12"/>
  <c r="ER354" i="12"/>
  <c r="EF389" i="12"/>
  <c r="GU395" i="12"/>
  <c r="CM354" i="12"/>
  <c r="DC375" i="12"/>
  <c r="DP375" i="12" s="1"/>
  <c r="DC380" i="12"/>
  <c r="DP380" i="12" s="1"/>
  <c r="ER378" i="12"/>
  <c r="EF380" i="12"/>
  <c r="EF354" i="12"/>
  <c r="ER355" i="12"/>
  <c r="GU375" i="12"/>
  <c r="GU408" i="12"/>
  <c r="GU378" i="12"/>
  <c r="DC378" i="12"/>
  <c r="DP378" i="12" s="1"/>
  <c r="CM378" i="12"/>
  <c r="EF378" i="12"/>
  <c r="GU397" i="12"/>
  <c r="GU380" i="12"/>
  <c r="EF375" i="12"/>
  <c r="CM375" i="12"/>
  <c r="CM380" i="12"/>
  <c r="CM370" i="12"/>
  <c r="EF407" i="12"/>
  <c r="GU374" i="12"/>
  <c r="ER371" i="12"/>
  <c r="BG358" i="12"/>
  <c r="GU370" i="12"/>
  <c r="CM407" i="12"/>
  <c r="GU364" i="12"/>
  <c r="GU407" i="12"/>
  <c r="EF370" i="12"/>
  <c r="ER370" i="12"/>
  <c r="EF361" i="12"/>
  <c r="BW354" i="12"/>
  <c r="BW370" i="12"/>
  <c r="DC369" i="12"/>
  <c r="DP369" i="12" s="1"/>
  <c r="GU367" i="12"/>
  <c r="DC364" i="12"/>
  <c r="DP364" i="12" s="1"/>
  <c r="ER367" i="12"/>
  <c r="BG370" i="12"/>
  <c r="BJ143" i="12"/>
  <c r="T178" i="12" s="1"/>
  <c r="CM393" i="12"/>
  <c r="BG389" i="12"/>
  <c r="GU377" i="12"/>
  <c r="BG365" i="12"/>
  <c r="AY25" i="12"/>
  <c r="AZ31" i="12" s="1"/>
  <c r="AZ159" i="12"/>
  <c r="ER389" i="12"/>
  <c r="ER400" i="12"/>
  <c r="ER377" i="12"/>
  <c r="CM381" i="12"/>
  <c r="DC398" i="12"/>
  <c r="DP398" i="12" s="1"/>
  <c r="BG393" i="12"/>
  <c r="ER381" i="12"/>
  <c r="AB205" i="12"/>
  <c r="EF403" i="12"/>
  <c r="EF381" i="12"/>
  <c r="DC381" i="12"/>
  <c r="DP381" i="12" s="1"/>
  <c r="ER398" i="12"/>
  <c r="GU393" i="12"/>
  <c r="DC354" i="12"/>
  <c r="DP354" i="12" s="1"/>
  <c r="BG354" i="12"/>
  <c r="DC365" i="12"/>
  <c r="DP365" i="12" s="1"/>
  <c r="BG398" i="12"/>
  <c r="DC377" i="12"/>
  <c r="DP377" i="12" s="1"/>
  <c r="FR577" i="12"/>
  <c r="CM398" i="12"/>
  <c r="BW377" i="12"/>
  <c r="CB97" i="22"/>
  <c r="AF11" i="22"/>
  <c r="CA97" i="22" s="1"/>
  <c r="I485" i="12"/>
  <c r="BG387" i="12"/>
  <c r="ER395" i="12"/>
  <c r="EF359" i="12"/>
  <c r="EF382" i="12"/>
  <c r="EF358" i="12"/>
  <c r="ER387" i="12"/>
  <c r="DC387" i="12"/>
  <c r="DP387" i="12" s="1"/>
  <c r="DC371" i="12"/>
  <c r="DP371" i="12" s="1"/>
  <c r="FR493" i="12"/>
  <c r="FR517" i="12"/>
  <c r="Y17" i="22"/>
  <c r="BA187" i="12"/>
  <c r="I482" i="12"/>
  <c r="DU338" i="12"/>
  <c r="BG406" i="12"/>
  <c r="BW395" i="12"/>
  <c r="EF376" i="12"/>
  <c r="EF395" i="12"/>
  <c r="EF369" i="12"/>
  <c r="GU371" i="12"/>
  <c r="EF406" i="12"/>
  <c r="FR553" i="12"/>
  <c r="CM376" i="12"/>
  <c r="BW371" i="12"/>
  <c r="DC395" i="12"/>
  <c r="DP395" i="12" s="1"/>
  <c r="BR334" i="12"/>
  <c r="ER359" i="12"/>
  <c r="BG371" i="12"/>
  <c r="I58" i="17"/>
  <c r="Y58" i="17"/>
  <c r="G58" i="17"/>
  <c r="O58" i="17"/>
  <c r="U58" i="17"/>
  <c r="AA58" i="17"/>
  <c r="W58" i="17"/>
  <c r="Q58" i="17"/>
  <c r="ER369" i="12"/>
  <c r="CM369" i="12"/>
  <c r="M58" i="17"/>
  <c r="FR565" i="12"/>
  <c r="DC407" i="12"/>
  <c r="DP407" i="12" s="1"/>
  <c r="BW407" i="12"/>
  <c r="D23" i="14"/>
  <c r="C23" i="14" s="1"/>
  <c r="CM367" i="12"/>
  <c r="F481" i="12"/>
  <c r="EF367" i="12"/>
  <c r="ER357" i="12"/>
  <c r="BG408" i="12"/>
  <c r="ER379" i="12"/>
  <c r="J34" i="17"/>
  <c r="K20" i="17" s="1"/>
  <c r="BJ147" i="12"/>
  <c r="T179" i="12" s="1"/>
  <c r="BG376" i="12"/>
  <c r="EF364" i="12"/>
  <c r="K28" i="17"/>
  <c r="K30" i="17"/>
  <c r="K26" i="17"/>
  <c r="K16" i="17"/>
  <c r="K14" i="17"/>
  <c r="K24" i="17"/>
  <c r="EF397" i="12"/>
  <c r="ER397" i="12"/>
  <c r="ER388" i="12"/>
  <c r="EF388" i="12"/>
  <c r="BW388" i="12"/>
  <c r="CM388" i="12"/>
  <c r="BG388" i="12"/>
  <c r="DC388" i="12"/>
  <c r="DP388" i="12" s="1"/>
  <c r="CM409" i="12"/>
  <c r="DC409" i="12"/>
  <c r="DP409" i="12" s="1"/>
  <c r="BG409" i="12"/>
  <c r="ER409" i="12"/>
  <c r="BW409" i="12"/>
  <c r="GU402" i="12"/>
  <c r="DC402" i="12"/>
  <c r="DP402" i="12" s="1"/>
  <c r="BG402" i="12"/>
  <c r="GU394" i="12"/>
  <c r="GU383" i="12"/>
  <c r="GU404" i="12"/>
  <c r="GU392" i="12"/>
  <c r="BG391" i="12"/>
  <c r="CM392" i="12"/>
  <c r="BW392" i="12"/>
  <c r="CM404" i="12"/>
  <c r="CM402" i="12"/>
  <c r="DC397" i="12"/>
  <c r="DP397" i="12" s="1"/>
  <c r="FR529" i="12"/>
  <c r="FR541" i="12"/>
  <c r="ER404" i="12"/>
  <c r="EF402" i="12"/>
  <c r="EF355" i="12"/>
  <c r="DC355" i="12"/>
  <c r="DP355" i="12" s="1"/>
  <c r="CM355" i="12"/>
  <c r="BG355" i="12"/>
  <c r="BW355" i="12"/>
  <c r="BE349" i="12"/>
  <c r="BE345" i="12"/>
  <c r="BE344" i="12"/>
  <c r="BE343" i="12"/>
  <c r="BE347" i="12"/>
  <c r="BE342" i="12"/>
  <c r="BE341" i="12"/>
  <c r="BE340" i="12"/>
  <c r="BE338" i="12"/>
  <c r="BE346" i="12"/>
  <c r="BE339" i="12"/>
  <c r="BE348" i="12"/>
  <c r="DC367" i="12"/>
  <c r="DP367" i="12" s="1"/>
  <c r="BG367" i="12"/>
  <c r="DC359" i="12"/>
  <c r="DP359" i="12" s="1"/>
  <c r="BW359" i="12"/>
  <c r="CM359" i="12"/>
  <c r="BG359" i="12"/>
  <c r="ER406" i="12"/>
  <c r="CM406" i="12"/>
  <c r="BW406" i="12"/>
  <c r="DC406" i="12"/>
  <c r="DP406" i="12" s="1"/>
  <c r="CM361" i="12"/>
  <c r="BW361" i="12"/>
  <c r="DC361" i="12"/>
  <c r="DP361" i="12" s="1"/>
  <c r="BG361" i="12"/>
  <c r="ER361" i="12"/>
  <c r="CM385" i="12"/>
  <c r="BG385" i="12"/>
  <c r="EF385" i="12"/>
  <c r="DC385" i="12"/>
  <c r="DP385" i="12" s="1"/>
  <c r="BW385" i="12"/>
  <c r="ER385" i="12"/>
  <c r="BW404" i="12"/>
  <c r="BG397" i="12"/>
  <c r="BG372" i="12"/>
  <c r="BW402" i="12"/>
  <c r="GU401" i="12"/>
  <c r="EF392" i="12"/>
  <c r="DC393" i="12"/>
  <c r="DP393" i="12" s="1"/>
  <c r="BW393" i="12"/>
  <c r="GU389" i="12"/>
  <c r="DC389" i="12"/>
  <c r="DP389" i="12" s="1"/>
  <c r="BW389" i="12"/>
  <c r="EF398" i="12"/>
  <c r="BW398" i="12"/>
  <c r="CM408" i="12"/>
  <c r="BW408" i="12"/>
  <c r="DC408" i="12"/>
  <c r="DP408" i="12" s="1"/>
  <c r="EF362" i="12"/>
  <c r="GU362" i="12"/>
  <c r="BG362" i="12"/>
  <c r="BW362" i="12"/>
  <c r="CM362" i="12"/>
  <c r="DC362" i="12"/>
  <c r="DP362" i="12" s="1"/>
  <c r="AG27" i="24"/>
  <c r="AH27" i="24"/>
  <c r="CM379" i="12"/>
  <c r="EF379" i="12"/>
  <c r="BW379" i="12"/>
  <c r="DC379" i="12"/>
  <c r="DP379" i="12" s="1"/>
  <c r="BG379" i="12"/>
  <c r="GU358" i="12"/>
  <c r="BW358" i="12"/>
  <c r="DC358" i="12"/>
  <c r="DP358" i="12" s="1"/>
  <c r="CM358" i="12"/>
  <c r="EF409" i="12"/>
  <c r="GU385" i="12"/>
  <c r="BW397" i="12"/>
  <c r="ER392" i="12"/>
  <c r="S501" i="12"/>
  <c r="S503" i="12"/>
  <c r="CM382" i="12"/>
  <c r="ER382" i="12"/>
  <c r="BW382" i="12"/>
  <c r="BG382" i="12"/>
  <c r="DC382" i="12"/>
  <c r="DP382" i="12" s="1"/>
  <c r="ER405" i="12"/>
  <c r="EF405" i="12"/>
  <c r="DC405" i="12"/>
  <c r="DP405" i="12" s="1"/>
  <c r="BW405" i="12"/>
  <c r="BG405" i="12"/>
  <c r="BW403" i="12"/>
  <c r="BG403" i="12"/>
  <c r="ER403" i="12"/>
  <c r="CM403" i="12"/>
  <c r="DC403" i="12"/>
  <c r="DP403" i="12" s="1"/>
  <c r="CM377" i="12"/>
  <c r="BG377" i="12"/>
  <c r="BJ141" i="12"/>
  <c r="FQ337" i="12"/>
  <c r="G149" i="12"/>
  <c r="Y155" i="12"/>
  <c r="G141" i="12"/>
  <c r="V147" i="12"/>
  <c r="G139" i="12"/>
  <c r="G135" i="12"/>
  <c r="AU166" i="12"/>
  <c r="G137" i="12"/>
  <c r="BA166" i="12"/>
  <c r="G147" i="12"/>
  <c r="V149" i="12"/>
  <c r="G143" i="12"/>
  <c r="GU368" i="12"/>
  <c r="CM368" i="12"/>
  <c r="DC368" i="12"/>
  <c r="DP368" i="12" s="1"/>
  <c r="EF368" i="12"/>
  <c r="BG368" i="12"/>
  <c r="BW368" i="12"/>
  <c r="ER376" i="12"/>
  <c r="BW376" i="12"/>
  <c r="DC376" i="12"/>
  <c r="DP376" i="12" s="1"/>
  <c r="EF373" i="12"/>
  <c r="BW373" i="12"/>
  <c r="BG373" i="12"/>
  <c r="CM373" i="12"/>
  <c r="EF353" i="12"/>
  <c r="DC353" i="12"/>
  <c r="DP353" i="12" s="1"/>
  <c r="CM353" i="12"/>
  <c r="BG353" i="12"/>
  <c r="BW353" i="12"/>
  <c r="ER351" i="12"/>
  <c r="BW351" i="12"/>
  <c r="CM351" i="12"/>
  <c r="BG351" i="12"/>
  <c r="DC351" i="12"/>
  <c r="DP351" i="12" s="1"/>
  <c r="BG399" i="12"/>
  <c r="GU399" i="12"/>
  <c r="DC399" i="12"/>
  <c r="DP399" i="12" s="1"/>
  <c r="BW399" i="12"/>
  <c r="EF399" i="12"/>
  <c r="CM399" i="12"/>
  <c r="BG375" i="12"/>
  <c r="BW375" i="12"/>
  <c r="ER356" i="12"/>
  <c r="BW356" i="12"/>
  <c r="CM356" i="12"/>
  <c r="GU356" i="12"/>
  <c r="EF356" i="12"/>
  <c r="BG356" i="12"/>
  <c r="DC356" i="12"/>
  <c r="DP356" i="12" s="1"/>
  <c r="GU357" i="12"/>
  <c r="CM357" i="12"/>
  <c r="BW357" i="12"/>
  <c r="DC357" i="12"/>
  <c r="DP357" i="12" s="1"/>
  <c r="BG357" i="12"/>
  <c r="ER390" i="12"/>
  <c r="GU390" i="12"/>
  <c r="CM390" i="12"/>
  <c r="EF390" i="12"/>
  <c r="DC390" i="12"/>
  <c r="DP390" i="12" s="1"/>
  <c r="BW390" i="12"/>
  <c r="BG390" i="12"/>
  <c r="GU365" i="12"/>
  <c r="ER365" i="12"/>
  <c r="BW365" i="12"/>
  <c r="CM365" i="12"/>
  <c r="BG381" i="12"/>
  <c r="BW381" i="12"/>
  <c r="CM396" i="12"/>
  <c r="DC396" i="12"/>
  <c r="DP396" i="12" s="1"/>
  <c r="ER396" i="12"/>
  <c r="GU396" i="12"/>
  <c r="BG396" i="12"/>
  <c r="EF396" i="12"/>
  <c r="BW396" i="12"/>
  <c r="K58" i="17"/>
  <c r="E58" i="17"/>
  <c r="BG400" i="12"/>
  <c r="GU400" i="12"/>
  <c r="CM400" i="12"/>
  <c r="BW400" i="12"/>
  <c r="DC400" i="12"/>
  <c r="DP400" i="12" s="1"/>
  <c r="BW374" i="12"/>
  <c r="DC374" i="12"/>
  <c r="DP374" i="12" s="1"/>
  <c r="CM374" i="12"/>
  <c r="ER374" i="12"/>
  <c r="BG374" i="12"/>
  <c r="ER350" i="12"/>
  <c r="EF350" i="12"/>
  <c r="GU350" i="12"/>
  <c r="BW350" i="12"/>
  <c r="BG350" i="12"/>
  <c r="DC350" i="12"/>
  <c r="DP350" i="12" s="1"/>
  <c r="CM350" i="12"/>
  <c r="CM352" i="12"/>
  <c r="GU352" i="12"/>
  <c r="BG352" i="12"/>
  <c r="BW352" i="12"/>
  <c r="DC352" i="12"/>
  <c r="DP352" i="12" s="1"/>
  <c r="EF386" i="12"/>
  <c r="BW386" i="12"/>
  <c r="GU386" i="12"/>
  <c r="ER386" i="12"/>
  <c r="DC386" i="12"/>
  <c r="DP386" i="12" s="1"/>
  <c r="CM386" i="12"/>
  <c r="BG386" i="12"/>
  <c r="EF387" i="12"/>
  <c r="GU387" i="12"/>
  <c r="BW387" i="12"/>
  <c r="EF366" i="12"/>
  <c r="DC366" i="12"/>
  <c r="DP366" i="12" s="1"/>
  <c r="BW366" i="12"/>
  <c r="GU366" i="12"/>
  <c r="CM366" i="12"/>
  <c r="ER366" i="12"/>
  <c r="BG366" i="12"/>
  <c r="CM384" i="12"/>
  <c r="EF384" i="12"/>
  <c r="BG384" i="12"/>
  <c r="BW384" i="12"/>
  <c r="ER384" i="12"/>
  <c r="GU384" i="12"/>
  <c r="DC384" i="12"/>
  <c r="DP384" i="12" s="1"/>
  <c r="EF360" i="12"/>
  <c r="BG360" i="12"/>
  <c r="GU360" i="12"/>
  <c r="CM360" i="12"/>
  <c r="BW360" i="12"/>
  <c r="DC360" i="12"/>
  <c r="DP360" i="12" s="1"/>
  <c r="F35" i="17"/>
  <c r="V25" i="12" s="1"/>
  <c r="K18" i="17"/>
  <c r="K12" i="17"/>
  <c r="K22" i="17"/>
  <c r="BW383" i="12"/>
  <c r="DC383" i="12"/>
  <c r="DP383" i="12" s="1"/>
  <c r="EF383" i="12"/>
  <c r="BG383" i="12"/>
  <c r="CM383" i="12"/>
  <c r="BG401" i="12"/>
  <c r="CM401" i="12"/>
  <c r="DC401" i="12"/>
  <c r="DP401" i="12" s="1"/>
  <c r="BW401" i="12"/>
  <c r="EF401" i="12"/>
  <c r="BG394" i="12"/>
  <c r="BW394" i="12"/>
  <c r="EF394" i="12"/>
  <c r="CM394" i="12"/>
  <c r="DC394" i="12"/>
  <c r="DP394" i="12" s="1"/>
  <c r="ER372" i="12"/>
  <c r="CM372" i="12"/>
  <c r="EF372" i="12"/>
  <c r="BW372" i="12"/>
  <c r="DC372" i="12"/>
  <c r="DP372" i="12" s="1"/>
  <c r="BG404" i="12"/>
  <c r="DC404" i="12"/>
  <c r="DP404" i="12" s="1"/>
  <c r="GU391" i="12"/>
  <c r="EF391" i="12"/>
  <c r="DC391" i="12"/>
  <c r="DP391" i="12" s="1"/>
  <c r="BW391" i="12"/>
  <c r="K10" i="17"/>
  <c r="K32" i="17"/>
  <c r="AE26" i="24"/>
  <c r="AF26" i="24"/>
  <c r="F27" i="24"/>
  <c r="S515" i="12"/>
  <c r="S511" i="12"/>
  <c r="S513" i="12"/>
  <c r="AA84" i="12"/>
  <c r="Y12" i="23"/>
  <c r="Y104" i="12"/>
  <c r="Y13" i="22"/>
  <c r="H480" i="12"/>
  <c r="O104" i="12"/>
  <c r="AA478" i="12"/>
  <c r="F106" i="12"/>
  <c r="GH336" i="12"/>
  <c r="S478" i="12"/>
  <c r="S531" i="12"/>
  <c r="O243" i="12"/>
  <c r="F480" i="12"/>
  <c r="G108" i="12"/>
  <c r="S104" i="12"/>
  <c r="F110" i="12"/>
  <c r="W102" i="12"/>
  <c r="Q478" i="12"/>
  <c r="Q479" i="12" s="1"/>
  <c r="Q496" i="12" s="1"/>
  <c r="F398" i="12" s="1"/>
  <c r="G480" i="12"/>
  <c r="U104" i="12"/>
  <c r="T104" i="12"/>
  <c r="DM335" i="12"/>
  <c r="Y102" i="12"/>
  <c r="S102" i="12"/>
  <c r="I480" i="12"/>
  <c r="R533" i="12" s="1"/>
  <c r="G107" i="12"/>
  <c r="J480" i="12"/>
  <c r="BX338" i="12"/>
  <c r="CH334" i="12"/>
  <c r="G481" i="12"/>
  <c r="S525" i="12"/>
  <c r="S521" i="12"/>
  <c r="S523" i="12"/>
  <c r="N481" i="12"/>
  <c r="S527" i="12" s="1"/>
  <c r="Q519" i="12"/>
  <c r="G401" i="12" s="1"/>
  <c r="CN338" i="12"/>
  <c r="H481" i="12"/>
  <c r="CX334" i="12"/>
  <c r="FS601" i="12"/>
  <c r="FR589" i="12"/>
  <c r="FO342" i="12"/>
  <c r="FP341" i="12"/>
  <c r="AU19" i="12"/>
  <c r="Q114" i="12" s="1"/>
  <c r="BG338" i="12" l="1"/>
  <c r="BL338" i="12" s="1"/>
  <c r="BR338" i="12" s="1"/>
  <c r="BH339" i="12" s="1"/>
  <c r="BW338" i="12"/>
  <c r="CB338" i="12" s="1"/>
  <c r="AU33" i="12"/>
  <c r="Q13" i="12" s="1"/>
  <c r="DX338" i="12"/>
  <c r="EA338" i="12" s="1"/>
  <c r="DK338" i="12" s="1"/>
  <c r="DD339" i="12" s="1"/>
  <c r="DQ339" i="12" s="1"/>
  <c r="BA31" i="12"/>
  <c r="BO339" i="12"/>
  <c r="S253" i="12"/>
  <c r="V255" i="12"/>
  <c r="V247" i="12"/>
  <c r="S251" i="12"/>
  <c r="S247" i="12"/>
  <c r="BJ149" i="12"/>
  <c r="BA189" i="12" s="1"/>
  <c r="T177" i="12"/>
  <c r="BW345" i="12"/>
  <c r="ER345" i="12"/>
  <c r="GU345" i="12"/>
  <c r="BG345" i="12"/>
  <c r="EL346" i="12"/>
  <c r="EL358" i="12" s="1"/>
  <c r="EL370" i="12" s="1"/>
  <c r="EL382" i="12" s="1"/>
  <c r="EL394" i="12" s="1"/>
  <c r="EL406" i="12" s="1"/>
  <c r="EL418" i="12" s="1"/>
  <c r="EL430" i="12" s="1"/>
  <c r="EL442" i="12" s="1"/>
  <c r="EL454" i="12" s="1"/>
  <c r="EL466" i="12" s="1"/>
  <c r="EL478" i="12" s="1"/>
  <c r="EL490" i="12" s="1"/>
  <c r="EL502" i="12" s="1"/>
  <c r="EL514" i="12" s="1"/>
  <c r="EL526" i="12" s="1"/>
  <c r="EL538" i="12" s="1"/>
  <c r="EL550" i="12" s="1"/>
  <c r="EL562" i="12" s="1"/>
  <c r="EL574" i="12" s="1"/>
  <c r="EL586" i="12" s="1"/>
  <c r="EL598" i="12" s="1"/>
  <c r="EL610" i="12" s="1"/>
  <c r="EL622" i="12" s="1"/>
  <c r="EL634" i="12" s="1"/>
  <c r="EL646" i="12" s="1"/>
  <c r="EF345" i="12"/>
  <c r="DC345" i="12"/>
  <c r="DP345" i="12" s="1"/>
  <c r="CM345" i="12"/>
  <c r="V253" i="12"/>
  <c r="DH338" i="12"/>
  <c r="ER338" i="12"/>
  <c r="GU338" i="12"/>
  <c r="DC338" i="12"/>
  <c r="DP338" i="12" s="1"/>
  <c r="CE338" i="12"/>
  <c r="EL338" i="12"/>
  <c r="CU338" i="12"/>
  <c r="EL339" i="12"/>
  <c r="EL351" i="12" s="1"/>
  <c r="EL363" i="12" s="1"/>
  <c r="EL375" i="12" s="1"/>
  <c r="EL387" i="12" s="1"/>
  <c r="EL399" i="12" s="1"/>
  <c r="EL411" i="12" s="1"/>
  <c r="BO338" i="12"/>
  <c r="EF338" i="12"/>
  <c r="ER347" i="12"/>
  <c r="DC347" i="12"/>
  <c r="DP347" i="12" s="1"/>
  <c r="EF347" i="12"/>
  <c r="CM347" i="12"/>
  <c r="EL348" i="12"/>
  <c r="EL360" i="12" s="1"/>
  <c r="EL372" i="12" s="1"/>
  <c r="EL384" i="12" s="1"/>
  <c r="EL396" i="12" s="1"/>
  <c r="EL408" i="12" s="1"/>
  <c r="EL420" i="12" s="1"/>
  <c r="EL432" i="12" s="1"/>
  <c r="EL444" i="12" s="1"/>
  <c r="EL456" i="12" s="1"/>
  <c r="EL468" i="12" s="1"/>
  <c r="EL480" i="12" s="1"/>
  <c r="EL492" i="12" s="1"/>
  <c r="EL504" i="12" s="1"/>
  <c r="EL516" i="12" s="1"/>
  <c r="EL528" i="12" s="1"/>
  <c r="EL540" i="12" s="1"/>
  <c r="EL552" i="12" s="1"/>
  <c r="EL564" i="12" s="1"/>
  <c r="EL576" i="12" s="1"/>
  <c r="EL588" i="12" s="1"/>
  <c r="EL600" i="12" s="1"/>
  <c r="EL612" i="12" s="1"/>
  <c r="EL624" i="12" s="1"/>
  <c r="EL636" i="12" s="1"/>
  <c r="EL648" i="12" s="1"/>
  <c r="GU347" i="12"/>
  <c r="BG347" i="12"/>
  <c r="BW347" i="12"/>
  <c r="CM349" i="12"/>
  <c r="BG349" i="12"/>
  <c r="GU349" i="12"/>
  <c r="EF349" i="12"/>
  <c r="BW349" i="12"/>
  <c r="DC349" i="12"/>
  <c r="DP349" i="12" s="1"/>
  <c r="ER349" i="12"/>
  <c r="BW342" i="12"/>
  <c r="CM342" i="12"/>
  <c r="DC342" i="12"/>
  <c r="DP342" i="12" s="1"/>
  <c r="EF342" i="12"/>
  <c r="ER342" i="12"/>
  <c r="BG342" i="12"/>
  <c r="GU342" i="12"/>
  <c r="EL343" i="12"/>
  <c r="EL355" i="12" s="1"/>
  <c r="EL367" i="12" s="1"/>
  <c r="EL379" i="12" s="1"/>
  <c r="EL391" i="12" s="1"/>
  <c r="EL403" i="12" s="1"/>
  <c r="EL415" i="12" s="1"/>
  <c r="EL427" i="12" s="1"/>
  <c r="EL439" i="12" s="1"/>
  <c r="EL451" i="12" s="1"/>
  <c r="EL463" i="12" s="1"/>
  <c r="EL475" i="12" s="1"/>
  <c r="EL487" i="12" s="1"/>
  <c r="EL499" i="12" s="1"/>
  <c r="EL511" i="12" s="1"/>
  <c r="EL523" i="12" s="1"/>
  <c r="EL535" i="12" s="1"/>
  <c r="EL547" i="12" s="1"/>
  <c r="EL559" i="12" s="1"/>
  <c r="EL571" i="12" s="1"/>
  <c r="EL583" i="12" s="1"/>
  <c r="EL595" i="12" s="1"/>
  <c r="EL607" i="12" s="1"/>
  <c r="EL619" i="12" s="1"/>
  <c r="EL631" i="12" s="1"/>
  <c r="EL643" i="12" s="1"/>
  <c r="K35" i="17"/>
  <c r="S249" i="12"/>
  <c r="V251" i="12"/>
  <c r="V249" i="12"/>
  <c r="GU348" i="12"/>
  <c r="BG348" i="12"/>
  <c r="ER348" i="12"/>
  <c r="CM348" i="12"/>
  <c r="DC348" i="12"/>
  <c r="DP348" i="12" s="1"/>
  <c r="BW348" i="12"/>
  <c r="EF348" i="12"/>
  <c r="EL349" i="12"/>
  <c r="EL361" i="12" s="1"/>
  <c r="EL373" i="12" s="1"/>
  <c r="EL385" i="12" s="1"/>
  <c r="EL397" i="12" s="1"/>
  <c r="EL409" i="12" s="1"/>
  <c r="EL421" i="12" s="1"/>
  <c r="EL433" i="12" s="1"/>
  <c r="EL445" i="12" s="1"/>
  <c r="EL457" i="12" s="1"/>
  <c r="EL469" i="12" s="1"/>
  <c r="EL481" i="12" s="1"/>
  <c r="EL493" i="12" s="1"/>
  <c r="EL505" i="12" s="1"/>
  <c r="EL517" i="12" s="1"/>
  <c r="EL529" i="12" s="1"/>
  <c r="EL541" i="12" s="1"/>
  <c r="EL553" i="12" s="1"/>
  <c r="EL565" i="12" s="1"/>
  <c r="EL577" i="12" s="1"/>
  <c r="EL589" i="12" s="1"/>
  <c r="EL601" i="12" s="1"/>
  <c r="EL613" i="12" s="1"/>
  <c r="EL625" i="12" s="1"/>
  <c r="EL637" i="12" s="1"/>
  <c r="EL649" i="12" s="1"/>
  <c r="DC340" i="12"/>
  <c r="DP340" i="12" s="1"/>
  <c r="GU340" i="12"/>
  <c r="ER340" i="12"/>
  <c r="BG340" i="12"/>
  <c r="BW340" i="12"/>
  <c r="CM340" i="12"/>
  <c r="EF340" i="12"/>
  <c r="EL341" i="12"/>
  <c r="EL353" i="12" s="1"/>
  <c r="EL365" i="12" s="1"/>
  <c r="EL377" i="12" s="1"/>
  <c r="EL389" i="12" s="1"/>
  <c r="EL401" i="12" s="1"/>
  <c r="EL413" i="12" s="1"/>
  <c r="EL425" i="12" s="1"/>
  <c r="EL437" i="12" s="1"/>
  <c r="EL449" i="12" s="1"/>
  <c r="EL461" i="12" s="1"/>
  <c r="EL473" i="12" s="1"/>
  <c r="EL485" i="12" s="1"/>
  <c r="EL497" i="12" s="1"/>
  <c r="EL509" i="12" s="1"/>
  <c r="EL521" i="12" s="1"/>
  <c r="EL533" i="12" s="1"/>
  <c r="EL545" i="12" s="1"/>
  <c r="EL557" i="12" s="1"/>
  <c r="EL569" i="12" s="1"/>
  <c r="EL581" i="12" s="1"/>
  <c r="EL593" i="12" s="1"/>
  <c r="EL605" i="12" s="1"/>
  <c r="EL617" i="12" s="1"/>
  <c r="EL629" i="12" s="1"/>
  <c r="EL641" i="12" s="1"/>
  <c r="CM343" i="12"/>
  <c r="BW343" i="12"/>
  <c r="BG343" i="12"/>
  <c r="DC343" i="12"/>
  <c r="DP343" i="12" s="1"/>
  <c r="EF343" i="12"/>
  <c r="EL344" i="12"/>
  <c r="EL356" i="12" s="1"/>
  <c r="EL368" i="12" s="1"/>
  <c r="EL380" i="12" s="1"/>
  <c r="EL392" i="12" s="1"/>
  <c r="EL404" i="12" s="1"/>
  <c r="EL416" i="12" s="1"/>
  <c r="EL428" i="12" s="1"/>
  <c r="EL440" i="12" s="1"/>
  <c r="EL452" i="12" s="1"/>
  <c r="EL464" i="12" s="1"/>
  <c r="EL476" i="12" s="1"/>
  <c r="EL488" i="12" s="1"/>
  <c r="EL500" i="12" s="1"/>
  <c r="EL512" i="12" s="1"/>
  <c r="EL524" i="12" s="1"/>
  <c r="EL536" i="12" s="1"/>
  <c r="EL548" i="12" s="1"/>
  <c r="EL560" i="12" s="1"/>
  <c r="EL572" i="12" s="1"/>
  <c r="EL584" i="12" s="1"/>
  <c r="EL596" i="12" s="1"/>
  <c r="EL608" i="12" s="1"/>
  <c r="EL620" i="12" s="1"/>
  <c r="EL632" i="12" s="1"/>
  <c r="EL644" i="12" s="1"/>
  <c r="ER343" i="12"/>
  <c r="GU343" i="12"/>
  <c r="ER346" i="12"/>
  <c r="DC346" i="12"/>
  <c r="DP346" i="12" s="1"/>
  <c r="CM346" i="12"/>
  <c r="BW346" i="12"/>
  <c r="BG346" i="12"/>
  <c r="EF346" i="12"/>
  <c r="EL347" i="12"/>
  <c r="EL359" i="12" s="1"/>
  <c r="EL371" i="12" s="1"/>
  <c r="EL383" i="12" s="1"/>
  <c r="EL395" i="12" s="1"/>
  <c r="EL407" i="12" s="1"/>
  <c r="EL419" i="12" s="1"/>
  <c r="EL431" i="12" s="1"/>
  <c r="EL443" i="12" s="1"/>
  <c r="EL455" i="12" s="1"/>
  <c r="EL467" i="12" s="1"/>
  <c r="EL479" i="12" s="1"/>
  <c r="EL491" i="12" s="1"/>
  <c r="EL503" i="12" s="1"/>
  <c r="EL515" i="12" s="1"/>
  <c r="EL527" i="12" s="1"/>
  <c r="EL539" i="12" s="1"/>
  <c r="EL551" i="12" s="1"/>
  <c r="EL563" i="12" s="1"/>
  <c r="EL575" i="12" s="1"/>
  <c r="EL587" i="12" s="1"/>
  <c r="EL599" i="12" s="1"/>
  <c r="EL611" i="12" s="1"/>
  <c r="EL623" i="12" s="1"/>
  <c r="EL635" i="12" s="1"/>
  <c r="EL647" i="12" s="1"/>
  <c r="GU346" i="12"/>
  <c r="R520" i="12"/>
  <c r="AC58" i="17"/>
  <c r="CM339" i="12"/>
  <c r="BG339" i="12"/>
  <c r="ER339" i="12"/>
  <c r="DC339" i="12"/>
  <c r="DP339" i="12" s="1"/>
  <c r="BW339" i="12"/>
  <c r="GU339" i="12"/>
  <c r="EL340" i="12"/>
  <c r="EL352" i="12" s="1"/>
  <c r="EL364" i="12" s="1"/>
  <c r="EL376" i="12" s="1"/>
  <c r="EL388" i="12" s="1"/>
  <c r="EL400" i="12" s="1"/>
  <c r="EL412" i="12" s="1"/>
  <c r="EL424" i="12" s="1"/>
  <c r="EL436" i="12" s="1"/>
  <c r="EL448" i="12" s="1"/>
  <c r="EL460" i="12" s="1"/>
  <c r="EL472" i="12" s="1"/>
  <c r="EL484" i="12" s="1"/>
  <c r="EL496" i="12" s="1"/>
  <c r="EL508" i="12" s="1"/>
  <c r="EL520" i="12" s="1"/>
  <c r="EL532" i="12" s="1"/>
  <c r="EL544" i="12" s="1"/>
  <c r="EL556" i="12" s="1"/>
  <c r="EL568" i="12" s="1"/>
  <c r="EL580" i="12" s="1"/>
  <c r="EL592" i="12" s="1"/>
  <c r="EL604" i="12" s="1"/>
  <c r="EL616" i="12" s="1"/>
  <c r="EL628" i="12" s="1"/>
  <c r="EL640" i="12" s="1"/>
  <c r="EF339" i="12"/>
  <c r="BG341" i="12"/>
  <c r="ER341" i="12"/>
  <c r="CM341" i="12"/>
  <c r="EF341" i="12"/>
  <c r="GU341" i="12"/>
  <c r="DC341" i="12"/>
  <c r="DP341" i="12" s="1"/>
  <c r="EL342" i="12"/>
  <c r="EL354" i="12" s="1"/>
  <c r="EL366" i="12" s="1"/>
  <c r="EL378" i="12" s="1"/>
  <c r="EL390" i="12" s="1"/>
  <c r="EL402" i="12" s="1"/>
  <c r="EL414" i="12" s="1"/>
  <c r="EL426" i="12" s="1"/>
  <c r="EL438" i="12" s="1"/>
  <c r="EL450" i="12" s="1"/>
  <c r="EL462" i="12" s="1"/>
  <c r="EL474" i="12" s="1"/>
  <c r="EL486" i="12" s="1"/>
  <c r="EL498" i="12" s="1"/>
  <c r="EL510" i="12" s="1"/>
  <c r="EL522" i="12" s="1"/>
  <c r="EL534" i="12" s="1"/>
  <c r="EL546" i="12" s="1"/>
  <c r="EL558" i="12" s="1"/>
  <c r="EL570" i="12" s="1"/>
  <c r="EL582" i="12" s="1"/>
  <c r="EL594" i="12" s="1"/>
  <c r="EL606" i="12" s="1"/>
  <c r="EL618" i="12" s="1"/>
  <c r="EL630" i="12" s="1"/>
  <c r="EL642" i="12" s="1"/>
  <c r="BW341" i="12"/>
  <c r="BG344" i="12"/>
  <c r="EF344" i="12"/>
  <c r="GU344" i="12"/>
  <c r="ER344" i="12"/>
  <c r="CM344" i="12"/>
  <c r="DC344" i="12"/>
  <c r="DP344" i="12" s="1"/>
  <c r="EL345" i="12"/>
  <c r="EL357" i="12" s="1"/>
  <c r="EL369" i="12" s="1"/>
  <c r="EL381" i="12" s="1"/>
  <c r="EL393" i="12" s="1"/>
  <c r="EL405" i="12" s="1"/>
  <c r="EL417" i="12" s="1"/>
  <c r="EL429" i="12" s="1"/>
  <c r="EL441" i="12" s="1"/>
  <c r="EL453" i="12" s="1"/>
  <c r="EL465" i="12" s="1"/>
  <c r="EL477" i="12" s="1"/>
  <c r="EL489" i="12" s="1"/>
  <c r="EL501" i="12" s="1"/>
  <c r="EL513" i="12" s="1"/>
  <c r="EL525" i="12" s="1"/>
  <c r="EL537" i="12" s="1"/>
  <c r="EL549" i="12" s="1"/>
  <c r="EL561" i="12" s="1"/>
  <c r="EL573" i="12" s="1"/>
  <c r="EL585" i="12" s="1"/>
  <c r="EL597" i="12" s="1"/>
  <c r="EL609" i="12" s="1"/>
  <c r="EL621" i="12" s="1"/>
  <c r="EL633" i="12" s="1"/>
  <c r="EL645" i="12" s="1"/>
  <c r="BW344" i="12"/>
  <c r="BA170" i="12"/>
  <c r="S255" i="12"/>
  <c r="D23" i="16"/>
  <c r="C23" i="16" s="1"/>
  <c r="CX338" i="12"/>
  <c r="CN339" i="12" s="1"/>
  <c r="CU339" i="12" s="1"/>
  <c r="R530" i="12"/>
  <c r="Y10" i="23"/>
  <c r="Y9" i="22"/>
  <c r="I325" i="12"/>
  <c r="K729" i="12"/>
  <c r="FS613" i="12"/>
  <c r="FR601" i="12"/>
  <c r="D23" i="15"/>
  <c r="C23" i="15" s="1"/>
  <c r="CH338" i="12"/>
  <c r="BX339" i="12" s="1"/>
  <c r="O481" i="12"/>
  <c r="S487" i="12"/>
  <c r="S486" i="12"/>
  <c r="Q529" i="12"/>
  <c r="G402" i="12" s="1"/>
  <c r="Q534" i="12"/>
  <c r="G403" i="12" s="1"/>
  <c r="AC12" i="23"/>
  <c r="W12" i="23"/>
  <c r="AE27" i="24"/>
  <c r="AF27" i="24"/>
  <c r="AY29" i="12"/>
  <c r="Q133" i="12"/>
  <c r="FO343" i="12"/>
  <c r="FP342" i="12"/>
  <c r="J15" i="12"/>
  <c r="AV109" i="12" s="1"/>
  <c r="BL339" i="12" l="1"/>
  <c r="BR339" i="12" s="1"/>
  <c r="BH340" i="12" s="1"/>
  <c r="BL340" i="12" s="1"/>
  <c r="BR340" i="12" s="1"/>
  <c r="BH341" i="12" s="1"/>
  <c r="GH338" i="12"/>
  <c r="BO340" i="12"/>
  <c r="DH339" i="12"/>
  <c r="DU339" i="12"/>
  <c r="DX339" i="12" s="1"/>
  <c r="EA339" i="12" s="1"/>
  <c r="DK339" i="12" s="1"/>
  <c r="DD340" i="12" s="1"/>
  <c r="CC137" i="12"/>
  <c r="F217" i="12"/>
  <c r="F218" i="12"/>
  <c r="F214" i="12"/>
  <c r="F219" i="12"/>
  <c r="F211" i="12"/>
  <c r="F216" i="12"/>
  <c r="BP151" i="12"/>
  <c r="BP149" i="12"/>
  <c r="BP147" i="12"/>
  <c r="BP153" i="12"/>
  <c r="EX341" i="12"/>
  <c r="FC341" i="12" s="1"/>
  <c r="AG179" i="12"/>
  <c r="GL338" i="12"/>
  <c r="BA172" i="12"/>
  <c r="T153" i="12" s="1"/>
  <c r="H159" i="12"/>
  <c r="GV375" i="12"/>
  <c r="FR375" i="12" s="1"/>
  <c r="EX344" i="12"/>
  <c r="FC344" i="12" s="1"/>
  <c r="GV359" i="12"/>
  <c r="FR359" i="12" s="1"/>
  <c r="GV392" i="12"/>
  <c r="FR392" i="12" s="1"/>
  <c r="V245" i="12"/>
  <c r="GV391" i="12"/>
  <c r="FR391" i="12" s="1"/>
  <c r="GV386" i="12"/>
  <c r="FR386" i="12" s="1"/>
  <c r="GV340" i="12"/>
  <c r="FR340" i="12" s="1"/>
  <c r="GV403" i="12"/>
  <c r="FR403" i="12" s="1"/>
  <c r="GV400" i="12"/>
  <c r="FR400" i="12" s="1"/>
  <c r="GV381" i="12"/>
  <c r="FR381" i="12" s="1"/>
  <c r="GV338" i="12"/>
  <c r="FR338" i="12" s="1"/>
  <c r="GV371" i="12"/>
  <c r="FR371" i="12" s="1"/>
  <c r="GV388" i="12"/>
  <c r="FR388" i="12" s="1"/>
  <c r="GV343" i="12"/>
  <c r="FR343" i="12" s="1"/>
  <c r="GV370" i="12"/>
  <c r="FR370" i="12" s="1"/>
  <c r="GV383" i="12"/>
  <c r="FR383" i="12" s="1"/>
  <c r="GV407" i="12"/>
  <c r="FR407" i="12" s="1"/>
  <c r="GV394" i="12"/>
  <c r="FR394" i="12" s="1"/>
  <c r="GV395" i="12"/>
  <c r="FR395" i="12" s="1"/>
  <c r="GV353" i="12"/>
  <c r="FR353" i="12" s="1"/>
  <c r="GV389" i="12"/>
  <c r="FR389" i="12" s="1"/>
  <c r="GV365" i="12"/>
  <c r="FR365" i="12" s="1"/>
  <c r="GV402" i="12"/>
  <c r="FR402" i="12" s="1"/>
  <c r="GV348" i="12"/>
  <c r="FR348" i="12" s="1"/>
  <c r="GV379" i="12"/>
  <c r="FR379" i="12" s="1"/>
  <c r="GV354" i="12"/>
  <c r="FR354" i="12" s="1"/>
  <c r="GV351" i="12"/>
  <c r="FR351" i="12" s="1"/>
  <c r="GV385" i="12"/>
  <c r="GV352" i="12"/>
  <c r="FR352" i="12" s="1"/>
  <c r="GV349" i="12"/>
  <c r="GV390" i="12"/>
  <c r="FR390" i="12" s="1"/>
  <c r="GV363" i="12"/>
  <c r="FR363" i="12" s="1"/>
  <c r="GV401" i="12"/>
  <c r="FR401" i="12" s="1"/>
  <c r="GV356" i="12"/>
  <c r="FR356" i="12" s="1"/>
  <c r="GV382" i="12"/>
  <c r="FR382" i="12" s="1"/>
  <c r="GV398" i="12"/>
  <c r="FR398" i="12" s="1"/>
  <c r="GV393" i="12"/>
  <c r="FR393" i="12" s="1"/>
  <c r="GV342" i="12"/>
  <c r="FR342" i="12" s="1"/>
  <c r="GV374" i="12"/>
  <c r="FR374" i="12" s="1"/>
  <c r="GV358" i="12"/>
  <c r="FR358" i="12" s="1"/>
  <c r="GV396" i="12"/>
  <c r="FR396" i="12" s="1"/>
  <c r="GV344" i="12"/>
  <c r="FR344" i="12" s="1"/>
  <c r="GV362" i="12"/>
  <c r="FR362" i="12" s="1"/>
  <c r="GV372" i="12"/>
  <c r="FR372" i="12" s="1"/>
  <c r="GV347" i="12"/>
  <c r="FR347" i="12" s="1"/>
  <c r="GV408" i="12"/>
  <c r="FR408" i="12" s="1"/>
  <c r="GV346" i="12"/>
  <c r="FR346" i="12" s="1"/>
  <c r="GV367" i="12"/>
  <c r="FR367" i="12" s="1"/>
  <c r="GV369" i="12"/>
  <c r="FR369" i="12" s="1"/>
  <c r="GV364" i="12"/>
  <c r="FR364" i="12" s="1"/>
  <c r="GV368" i="12"/>
  <c r="FR368" i="12" s="1"/>
  <c r="GV378" i="12"/>
  <c r="FR378" i="12" s="1"/>
  <c r="GV405" i="12"/>
  <c r="FR405" i="12" s="1"/>
  <c r="GV339" i="12"/>
  <c r="FR339" i="12" s="1"/>
  <c r="GV384" i="12"/>
  <c r="FR384" i="12" s="1"/>
  <c r="GV404" i="12"/>
  <c r="FR404" i="12" s="1"/>
  <c r="GV350" i="12"/>
  <c r="FR350" i="12" s="1"/>
  <c r="GV409" i="12"/>
  <c r="GV399" i="12"/>
  <c r="FR399" i="12" s="1"/>
  <c r="GV357" i="12"/>
  <c r="FR357" i="12" s="1"/>
  <c r="GV366" i="12"/>
  <c r="FR366" i="12" s="1"/>
  <c r="GV341" i="12"/>
  <c r="FR341" i="12" s="1"/>
  <c r="GV380" i="12"/>
  <c r="FR380" i="12" s="1"/>
  <c r="GV360" i="12"/>
  <c r="FR360" i="12" s="1"/>
  <c r="GV377" i="12"/>
  <c r="FR377" i="12" s="1"/>
  <c r="GV355" i="12"/>
  <c r="FR355" i="12" s="1"/>
  <c r="GV397" i="12"/>
  <c r="GV361" i="12"/>
  <c r="GV387" i="12"/>
  <c r="FR387" i="12" s="1"/>
  <c r="GV345" i="12"/>
  <c r="FR345" i="12" s="1"/>
  <c r="GV376" i="12"/>
  <c r="FR376" i="12" s="1"/>
  <c r="GV373" i="12"/>
  <c r="GV406" i="12"/>
  <c r="FR406" i="12" s="1"/>
  <c r="S245" i="12"/>
  <c r="EL350" i="12"/>
  <c r="T245" i="12"/>
  <c r="EX339" i="12"/>
  <c r="FC339" i="12" s="1"/>
  <c r="EX340" i="12"/>
  <c r="FC340" i="12" s="1"/>
  <c r="EX345" i="12"/>
  <c r="FC345" i="12" s="1"/>
  <c r="EX338" i="12"/>
  <c r="FC338" i="12" s="1"/>
  <c r="CB339" i="12"/>
  <c r="CH339" i="12" s="1"/>
  <c r="BX340" i="12" s="1"/>
  <c r="CE339" i="12"/>
  <c r="EX375" i="12"/>
  <c r="EX376" i="12"/>
  <c r="EX368" i="12"/>
  <c r="CC91" i="22"/>
  <c r="I31" i="22" s="1"/>
  <c r="EX378" i="12"/>
  <c r="F231" i="12"/>
  <c r="EX351" i="12"/>
  <c r="EX370" i="12"/>
  <c r="EX386" i="12"/>
  <c r="EX396" i="12"/>
  <c r="EX405" i="12"/>
  <c r="EX356" i="12"/>
  <c r="EX380" i="12"/>
  <c r="EX365" i="12"/>
  <c r="T70" i="12"/>
  <c r="T72" i="12" s="1"/>
  <c r="X118" i="12" s="1"/>
  <c r="BY159" i="12" s="1"/>
  <c r="EX364" i="12"/>
  <c r="EX367" i="12"/>
  <c r="F232" i="12"/>
  <c r="EX381" i="12"/>
  <c r="EX408" i="12"/>
  <c r="EX391" i="12"/>
  <c r="EX388" i="12"/>
  <c r="EX398" i="12"/>
  <c r="EX409" i="12"/>
  <c r="EX358" i="12"/>
  <c r="EX403" i="12"/>
  <c r="EX394" i="12"/>
  <c r="EX390" i="12"/>
  <c r="EX389" i="12"/>
  <c r="EX397" i="12"/>
  <c r="EX382" i="12"/>
  <c r="EX352" i="12"/>
  <c r="EX372" i="12"/>
  <c r="EX383" i="12"/>
  <c r="EX362" i="12"/>
  <c r="EX371" i="12"/>
  <c r="EX350" i="12"/>
  <c r="EX361" i="12"/>
  <c r="EX355" i="12"/>
  <c r="EX407" i="12"/>
  <c r="EX377" i="12"/>
  <c r="EX360" i="12"/>
  <c r="EX401" i="12"/>
  <c r="AU114" i="12"/>
  <c r="AU125" i="12" s="1"/>
  <c r="EX379" i="12"/>
  <c r="EX393" i="12"/>
  <c r="EX395" i="12"/>
  <c r="EX366" i="12"/>
  <c r="EX404" i="12"/>
  <c r="EX384" i="12"/>
  <c r="EX402" i="12"/>
  <c r="EX347" i="12"/>
  <c r="FC347" i="12" s="1"/>
  <c r="EX342" i="12"/>
  <c r="FC342" i="12" s="1"/>
  <c r="EX348" i="12"/>
  <c r="FC348" i="12" s="1"/>
  <c r="EX346" i="12"/>
  <c r="FC346" i="12" s="1"/>
  <c r="EX385" i="12"/>
  <c r="AY90" i="12"/>
  <c r="V122" i="12" s="1"/>
  <c r="EX354" i="12"/>
  <c r="EX400" i="12"/>
  <c r="EX373" i="12"/>
  <c r="EX349" i="12"/>
  <c r="FC349" i="12" s="1"/>
  <c r="EX343" i="12"/>
  <c r="FC343" i="12" s="1"/>
  <c r="EX406" i="12"/>
  <c r="EX363" i="12"/>
  <c r="EX399" i="12"/>
  <c r="EX369" i="12"/>
  <c r="EX359" i="12"/>
  <c r="EX374" i="12"/>
  <c r="F220" i="12"/>
  <c r="EX353" i="12"/>
  <c r="EX392" i="12"/>
  <c r="EX387" i="12"/>
  <c r="P31" i="12"/>
  <c r="CC92" i="22" s="1"/>
  <c r="I33" i="22" s="1"/>
  <c r="EX357" i="12"/>
  <c r="S484" i="12"/>
  <c r="S485" i="12"/>
  <c r="R483" i="12" s="1"/>
  <c r="FS625" i="12"/>
  <c r="FR613" i="12"/>
  <c r="J105" i="23"/>
  <c r="AI112" i="23" s="1"/>
  <c r="AC10" i="23"/>
  <c r="Y20" i="23"/>
  <c r="AC20" i="23" s="1"/>
  <c r="C32" i="23"/>
  <c r="C33" i="23"/>
  <c r="C30" i="23"/>
  <c r="C10" i="23"/>
  <c r="C34" i="23"/>
  <c r="W10" i="23"/>
  <c r="CR339" i="12"/>
  <c r="I324" i="12"/>
  <c r="X701" i="12"/>
  <c r="AC701" i="12" s="1"/>
  <c r="AC9" i="22"/>
  <c r="C9" i="22"/>
  <c r="FO344" i="12"/>
  <c r="FP343" i="12"/>
  <c r="EL423" i="12"/>
  <c r="U122" i="12" l="1"/>
  <c r="X122" i="12"/>
  <c r="CD137" i="12"/>
  <c r="GL339" i="12"/>
  <c r="AV125" i="12"/>
  <c r="F129" i="12" s="1"/>
  <c r="DQ340" i="12"/>
  <c r="DU340" i="12"/>
  <c r="DH340" i="12"/>
  <c r="GH339" i="12"/>
  <c r="EL362" i="12"/>
  <c r="T247" i="12"/>
  <c r="CB340" i="12"/>
  <c r="CH340" i="12" s="1"/>
  <c r="BX341" i="12" s="1"/>
  <c r="CE340" i="12"/>
  <c r="T68" i="12"/>
  <c r="FC337" i="12"/>
  <c r="CX339" i="12"/>
  <c r="CN340" i="12" s="1"/>
  <c r="FS637" i="12"/>
  <c r="FR625" i="12"/>
  <c r="FO345" i="12"/>
  <c r="FP344" i="12"/>
  <c r="AU117" i="12"/>
  <c r="AU120" i="12" s="1"/>
  <c r="AU127" i="12" s="1"/>
  <c r="AU129" i="12" s="1"/>
  <c r="FK333" i="12" s="1"/>
  <c r="AY191" i="12"/>
  <c r="EX336" i="12"/>
  <c r="EL435" i="12"/>
  <c r="BL341" i="12"/>
  <c r="BR341" i="12" s="1"/>
  <c r="BH342" i="12" s="1"/>
  <c r="BO341" i="12"/>
  <c r="DX340" i="12" l="1"/>
  <c r="EA340" i="12" s="1"/>
  <c r="DK340" i="12" s="1"/>
  <c r="DD341" i="12" s="1"/>
  <c r="EL374" i="12"/>
  <c r="T249" i="12"/>
  <c r="CR340" i="12"/>
  <c r="CX340" i="12" s="1"/>
  <c r="CN341" i="12" s="1"/>
  <c r="CU340" i="12"/>
  <c r="GL340" i="12" s="1"/>
  <c r="CE341" i="12"/>
  <c r="CB341" i="12"/>
  <c r="CH341" i="12" s="1"/>
  <c r="BX342" i="12" s="1"/>
  <c r="FS649" i="12"/>
  <c r="FR649" i="12" s="1"/>
  <c r="FR637" i="12"/>
  <c r="FL336" i="12"/>
  <c r="FL393" i="12" s="1"/>
  <c r="BV145" i="12"/>
  <c r="CC141" i="12" s="1"/>
  <c r="L19" i="12" s="1"/>
  <c r="FP345" i="12"/>
  <c r="FO346" i="12"/>
  <c r="AV127" i="12"/>
  <c r="F130" i="12" s="1"/>
  <c r="X120" i="12"/>
  <c r="FK357" i="12"/>
  <c r="FK358" i="12"/>
  <c r="FK338" i="12"/>
  <c r="FL338" i="12" s="1"/>
  <c r="FJ338" i="12" s="1"/>
  <c r="FK343" i="12"/>
  <c r="FK351" i="12"/>
  <c r="FK352" i="12"/>
  <c r="FK356" i="12"/>
  <c r="FK341" i="12"/>
  <c r="FK350" i="12"/>
  <c r="FK359" i="12"/>
  <c r="FK348" i="12"/>
  <c r="FK344" i="12"/>
  <c r="FK340" i="12"/>
  <c r="FK349" i="12"/>
  <c r="FK360" i="12"/>
  <c r="FK342" i="12"/>
  <c r="FK346" i="12"/>
  <c r="FK339" i="12"/>
  <c r="FK353" i="12"/>
  <c r="FL353" i="12" s="1"/>
  <c r="FK354" i="12"/>
  <c r="FK347" i="12"/>
  <c r="FK345" i="12"/>
  <c r="FK355" i="12"/>
  <c r="FK361" i="12"/>
  <c r="EL447" i="12"/>
  <c r="BL342" i="12"/>
  <c r="BO342" i="12"/>
  <c r="FL348" i="12" l="1"/>
  <c r="FJ348" i="12" s="1"/>
  <c r="AL122" i="12"/>
  <c r="BY145" i="12"/>
  <c r="AY135" i="12" s="1"/>
  <c r="FL340" i="12"/>
  <c r="FJ340" i="12" s="1"/>
  <c r="BV157" i="12"/>
  <c r="FL346" i="12"/>
  <c r="FN346" i="12" s="1"/>
  <c r="FL347" i="12"/>
  <c r="FN347" i="12" s="1"/>
  <c r="FL360" i="12"/>
  <c r="FJ360" i="12" s="1"/>
  <c r="FL356" i="12"/>
  <c r="FJ356" i="12" s="1"/>
  <c r="FL355" i="12"/>
  <c r="FJ355" i="12" s="1"/>
  <c r="FL351" i="12"/>
  <c r="FJ351" i="12" s="1"/>
  <c r="FL350" i="12"/>
  <c r="FN350" i="12" s="1"/>
  <c r="FN338" i="12"/>
  <c r="FQ338" i="12" s="1"/>
  <c r="FL357" i="12"/>
  <c r="FJ357" i="12" s="1"/>
  <c r="DQ341" i="12"/>
  <c r="DH341" i="12"/>
  <c r="DU341" i="12"/>
  <c r="GH340" i="12"/>
  <c r="FL345" i="12"/>
  <c r="FJ345" i="12" s="1"/>
  <c r="FL339" i="12"/>
  <c r="FJ339" i="12" s="1"/>
  <c r="FL342" i="12"/>
  <c r="FN342" i="12" s="1"/>
  <c r="FQ342" i="12" s="1"/>
  <c r="FL344" i="12"/>
  <c r="FN344" i="12" s="1"/>
  <c r="FQ344" i="12" s="1"/>
  <c r="FL341" i="12"/>
  <c r="FJ341" i="12" s="1"/>
  <c r="FL343" i="12"/>
  <c r="FN343" i="12" s="1"/>
  <c r="FQ343" i="12" s="1"/>
  <c r="FL407" i="12"/>
  <c r="FN407" i="12" s="1"/>
  <c r="FL406" i="12"/>
  <c r="FN406" i="12" s="1"/>
  <c r="FL362" i="12"/>
  <c r="FJ362" i="12" s="1"/>
  <c r="FL395" i="12"/>
  <c r="FJ395" i="12" s="1"/>
  <c r="EL386" i="12"/>
  <c r="T251" i="12"/>
  <c r="FL361" i="12"/>
  <c r="FN361" i="12" s="1"/>
  <c r="FL354" i="12"/>
  <c r="FJ354" i="12" s="1"/>
  <c r="FL349" i="12"/>
  <c r="FJ349" i="12" s="1"/>
  <c r="FL383" i="12"/>
  <c r="FJ383" i="12" s="1"/>
  <c r="FL400" i="12"/>
  <c r="FJ400" i="12" s="1"/>
  <c r="FL388" i="12"/>
  <c r="FJ388" i="12" s="1"/>
  <c r="FL374" i="12"/>
  <c r="FN374" i="12" s="1"/>
  <c r="CB342" i="12"/>
  <c r="CH342" i="12" s="1"/>
  <c r="BX343" i="12" s="1"/>
  <c r="CE342" i="12"/>
  <c r="CR341" i="12"/>
  <c r="CU341" i="12"/>
  <c r="FL364" i="12"/>
  <c r="FJ364" i="12" s="1"/>
  <c r="FL382" i="12"/>
  <c r="FJ382" i="12" s="1"/>
  <c r="FL359" i="12"/>
  <c r="FJ359" i="12" s="1"/>
  <c r="FL390" i="12"/>
  <c r="FN390" i="12" s="1"/>
  <c r="FL386" i="12"/>
  <c r="FN386" i="12" s="1"/>
  <c r="FL402" i="12"/>
  <c r="FN402" i="12" s="1"/>
  <c r="FL397" i="12"/>
  <c r="FJ397" i="12" s="1"/>
  <c r="FL367" i="12"/>
  <c r="FJ367" i="12" s="1"/>
  <c r="FL389" i="12"/>
  <c r="FJ389" i="12" s="1"/>
  <c r="FL378" i="12"/>
  <c r="FN378" i="12" s="1"/>
  <c r="FL394" i="12"/>
  <c r="FN394" i="12" s="1"/>
  <c r="FL365" i="12"/>
  <c r="FJ365" i="12" s="1"/>
  <c r="FL391" i="12"/>
  <c r="FN391" i="12" s="1"/>
  <c r="FL373" i="12"/>
  <c r="FJ373" i="12" s="1"/>
  <c r="FL352" i="12"/>
  <c r="FJ352" i="12" s="1"/>
  <c r="FL358" i="12"/>
  <c r="FJ358" i="12" s="1"/>
  <c r="FL409" i="12"/>
  <c r="FN409" i="12" s="1"/>
  <c r="FL401" i="12"/>
  <c r="FJ401" i="12" s="1"/>
  <c r="FL403" i="12"/>
  <c r="FJ403" i="12" s="1"/>
  <c r="FL387" i="12"/>
  <c r="FN387" i="12" s="1"/>
  <c r="FL396" i="12"/>
  <c r="FJ396" i="12" s="1"/>
  <c r="FL379" i="12"/>
  <c r="FN379" i="12" s="1"/>
  <c r="FL408" i="12"/>
  <c r="FJ408" i="12" s="1"/>
  <c r="FL372" i="12"/>
  <c r="FJ372" i="12" s="1"/>
  <c r="FL399" i="12"/>
  <c r="FJ399" i="12" s="1"/>
  <c r="FL375" i="12"/>
  <c r="FJ375" i="12" s="1"/>
  <c r="FL371" i="12"/>
  <c r="FN371" i="12" s="1"/>
  <c r="FL381" i="12"/>
  <c r="FN381" i="12" s="1"/>
  <c r="FL392" i="12"/>
  <c r="FN392" i="12" s="1"/>
  <c r="FL366" i="12"/>
  <c r="FN366" i="12" s="1"/>
  <c r="FL363" i="12"/>
  <c r="FN363" i="12" s="1"/>
  <c r="FL377" i="12"/>
  <c r="FN377" i="12" s="1"/>
  <c r="FL405" i="12"/>
  <c r="FN405" i="12" s="1"/>
  <c r="FL380" i="12"/>
  <c r="FJ380" i="12" s="1"/>
  <c r="FL385" i="12"/>
  <c r="FN385" i="12" s="1"/>
  <c r="FL384" i="12"/>
  <c r="FN384" i="12" s="1"/>
  <c r="FL369" i="12"/>
  <c r="FJ369" i="12" s="1"/>
  <c r="FL376" i="12"/>
  <c r="FJ376" i="12" s="1"/>
  <c r="FL398" i="12"/>
  <c r="FJ398" i="12" s="1"/>
  <c r="FL368" i="12"/>
  <c r="FN368" i="12" s="1"/>
  <c r="FL370" i="12"/>
  <c r="FN370" i="12" s="1"/>
  <c r="FL404" i="12"/>
  <c r="FN404" i="12" s="1"/>
  <c r="AV135" i="12"/>
  <c r="FN334" i="12"/>
  <c r="FP346" i="12"/>
  <c r="FO347" i="12"/>
  <c r="FJ353" i="12"/>
  <c r="FN353" i="12"/>
  <c r="FN393" i="12"/>
  <c r="FJ393" i="12"/>
  <c r="BR342" i="12"/>
  <c r="BH343" i="12" s="1"/>
  <c r="BO343" i="12" s="1"/>
  <c r="EL459" i="12"/>
  <c r="FN348" i="12" l="1"/>
  <c r="BZ141" i="12"/>
  <c r="BS155" i="12"/>
  <c r="BS149" i="12" s="1"/>
  <c r="BY149" i="12" s="1"/>
  <c r="AY139" i="12" s="1"/>
  <c r="S145" i="12"/>
  <c r="V145" i="12"/>
  <c r="G145" i="12"/>
  <c r="BY157" i="12"/>
  <c r="AL120" i="12"/>
  <c r="CD141" i="12"/>
  <c r="CD139" i="12"/>
  <c r="FD335" i="12"/>
  <c r="FJ346" i="12"/>
  <c r="FN340" i="12"/>
  <c r="FQ340" i="12" s="1"/>
  <c r="F133" i="12"/>
  <c r="FQ346" i="12"/>
  <c r="FJ343" i="12"/>
  <c r="FJ347" i="12"/>
  <c r="FN355" i="12"/>
  <c r="FJ350" i="12"/>
  <c r="FN356" i="12"/>
  <c r="FN351" i="12"/>
  <c r="FN360" i="12"/>
  <c r="FN357" i="12"/>
  <c r="GL341" i="12"/>
  <c r="FN345" i="12"/>
  <c r="FQ345" i="12" s="1"/>
  <c r="DX341" i="12"/>
  <c r="EA341" i="12" s="1"/>
  <c r="DK341" i="12" s="1"/>
  <c r="DD342" i="12" s="1"/>
  <c r="FN362" i="12"/>
  <c r="FN341" i="12"/>
  <c r="FQ341" i="12" s="1"/>
  <c r="FJ378" i="12"/>
  <c r="FJ407" i="12"/>
  <c r="FN349" i="12"/>
  <c r="FJ374" i="12"/>
  <c r="FJ342" i="12"/>
  <c r="FJ405" i="12"/>
  <c r="FN399" i="12"/>
  <c r="FN339" i="12"/>
  <c r="FQ339" i="12" s="1"/>
  <c r="FJ344" i="12"/>
  <c r="FN358" i="12"/>
  <c r="FJ406" i="12"/>
  <c r="FJ404" i="12"/>
  <c r="FN375" i="12"/>
  <c r="FN372" i="12"/>
  <c r="FJ386" i="12"/>
  <c r="FJ384" i="12"/>
  <c r="FJ366" i="12"/>
  <c r="FJ387" i="12"/>
  <c r="FN364" i="12"/>
  <c r="FN388" i="12"/>
  <c r="FN395" i="12"/>
  <c r="FN359" i="12"/>
  <c r="FN376" i="12"/>
  <c r="FN380" i="12"/>
  <c r="FJ377" i="12"/>
  <c r="FJ381" i="12"/>
  <c r="FJ379" i="12"/>
  <c r="FN401" i="12"/>
  <c r="FJ391" i="12"/>
  <c r="FJ394" i="12"/>
  <c r="FN389" i="12"/>
  <c r="FN397" i="12"/>
  <c r="FN383" i="12"/>
  <c r="FN354" i="12"/>
  <c r="FJ392" i="12"/>
  <c r="FN396" i="12"/>
  <c r="FN373" i="12"/>
  <c r="FN365" i="12"/>
  <c r="FN367" i="12"/>
  <c r="FJ390" i="12"/>
  <c r="FJ368" i="12"/>
  <c r="FN400" i="12"/>
  <c r="FJ361" i="12"/>
  <c r="FN382" i="12"/>
  <c r="FN352" i="12"/>
  <c r="EL398" i="12"/>
  <c r="T253" i="12"/>
  <c r="FJ385" i="12"/>
  <c r="FJ363" i="12"/>
  <c r="FJ371" i="12"/>
  <c r="FN408" i="12"/>
  <c r="FN403" i="12"/>
  <c r="FJ402" i="12"/>
  <c r="FN398" i="12"/>
  <c r="FN369" i="12"/>
  <c r="FJ409" i="12"/>
  <c r="CX341" i="12"/>
  <c r="CN342" i="12" s="1"/>
  <c r="GH341" i="12"/>
  <c r="CB343" i="12"/>
  <c r="CH343" i="12" s="1"/>
  <c r="BX344" i="12" s="1"/>
  <c r="CE343" i="12"/>
  <c r="FJ370" i="12"/>
  <c r="AB170" i="12"/>
  <c r="L242" i="12" s="1"/>
  <c r="S170" i="12"/>
  <c r="F349" i="12"/>
  <c r="L369" i="12"/>
  <c r="F329" i="12"/>
  <c r="BL343" i="12"/>
  <c r="FP347" i="12"/>
  <c r="FQ347" i="12" s="1"/>
  <c r="FO348" i="12"/>
  <c r="EL471" i="12"/>
  <c r="F160" i="24" l="1"/>
  <c r="U160" i="24"/>
  <c r="I160" i="24"/>
  <c r="BS147" i="12"/>
  <c r="BS153" i="12"/>
  <c r="BY153" i="12" s="1"/>
  <c r="AY143" i="12" s="1"/>
  <c r="BY155" i="12"/>
  <c r="AY145" i="12" s="1"/>
  <c r="BS151" i="12"/>
  <c r="BY151" i="12" s="1"/>
  <c r="AY141" i="12" s="1"/>
  <c r="BV155" i="12"/>
  <c r="AL145" i="12" s="1"/>
  <c r="AV145" i="12"/>
  <c r="AV139" i="12"/>
  <c r="BV149" i="12"/>
  <c r="AL139" i="12" s="1"/>
  <c r="DQ342" i="12"/>
  <c r="DH342" i="12"/>
  <c r="DU342" i="12"/>
  <c r="EL410" i="12"/>
  <c r="T255" i="12"/>
  <c r="CE344" i="12"/>
  <c r="CB344" i="12"/>
  <c r="CH344" i="12" s="1"/>
  <c r="BX345" i="12" s="1"/>
  <c r="CU342" i="12"/>
  <c r="CR342" i="12"/>
  <c r="BR343" i="12"/>
  <c r="BH344" i="12" s="1"/>
  <c r="BL344" i="12" s="1"/>
  <c r="FP348" i="12"/>
  <c r="FQ348" i="12" s="1"/>
  <c r="FO349" i="12"/>
  <c r="EL483" i="12"/>
  <c r="I161" i="24" l="1"/>
  <c r="L160" i="24"/>
  <c r="F161" i="24"/>
  <c r="BS157" i="12"/>
  <c r="BV147" i="12"/>
  <c r="AL137" i="12" s="1"/>
  <c r="AV137" i="12"/>
  <c r="BV151" i="12"/>
  <c r="AL141" i="12" s="1"/>
  <c r="BV153" i="12"/>
  <c r="AL143" i="12" s="1"/>
  <c r="AV143" i="12"/>
  <c r="AV141" i="12"/>
  <c r="AE145" i="12"/>
  <c r="X145" i="12"/>
  <c r="BY147" i="12"/>
  <c r="AY137" i="12" s="1"/>
  <c r="X141" i="12"/>
  <c r="X139" i="12"/>
  <c r="X143" i="12"/>
  <c r="GL342" i="12"/>
  <c r="DX342" i="12"/>
  <c r="EA342" i="12" s="1"/>
  <c r="DK342" i="12" s="1"/>
  <c r="DD343" i="12" s="1"/>
  <c r="EL422" i="12"/>
  <c r="T257" i="12"/>
  <c r="CX342" i="12"/>
  <c r="CN343" i="12" s="1"/>
  <c r="GH342" i="12"/>
  <c r="CB345" i="12"/>
  <c r="CH345" i="12" s="1"/>
  <c r="BX346" i="12" s="1"/>
  <c r="CE345" i="12"/>
  <c r="BO344" i="12"/>
  <c r="BR344" i="12"/>
  <c r="BH345" i="12" s="1"/>
  <c r="BO345" i="12" s="1"/>
  <c r="FP349" i="12"/>
  <c r="FQ349" i="12" s="1"/>
  <c r="L245" i="12" s="1"/>
  <c r="FO350" i="12"/>
  <c r="EL495" i="12"/>
  <c r="L161" i="24" l="1"/>
  <c r="F162" i="24"/>
  <c r="I162" i="24"/>
  <c r="AV193" i="12"/>
  <c r="AL147" i="12"/>
  <c r="AY147" i="12"/>
  <c r="AE149" i="12" s="1"/>
  <c r="X137" i="12"/>
  <c r="AY193" i="12"/>
  <c r="X153" i="12" s="1"/>
  <c r="AB153" i="12" s="1"/>
  <c r="DU343" i="12"/>
  <c r="DH343" i="12"/>
  <c r="DQ343" i="12"/>
  <c r="EL434" i="12"/>
  <c r="T259" i="12"/>
  <c r="CB346" i="12"/>
  <c r="CH346" i="12" s="1"/>
  <c r="BX347" i="12" s="1"/>
  <c r="CE346" i="12"/>
  <c r="CU343" i="12"/>
  <c r="CR343" i="12"/>
  <c r="BL345" i="12"/>
  <c r="BR345" i="12" s="1"/>
  <c r="BH346" i="12" s="1"/>
  <c r="BL346" i="12" s="1"/>
  <c r="BR346" i="12" s="1"/>
  <c r="BH347" i="12" s="1"/>
  <c r="FP350" i="12"/>
  <c r="FQ350" i="12" s="1"/>
  <c r="FO351" i="12"/>
  <c r="EL507" i="12"/>
  <c r="F163" i="24" l="1"/>
  <c r="I163" i="24"/>
  <c r="L162" i="24"/>
  <c r="AB168" i="12"/>
  <c r="Q168" i="12"/>
  <c r="AE147" i="12"/>
  <c r="GL343" i="12"/>
  <c r="DX343" i="12"/>
  <c r="EA343" i="12" s="1"/>
  <c r="DK343" i="12" s="1"/>
  <c r="DD344" i="12" s="1"/>
  <c r="EL446" i="12"/>
  <c r="T261" i="12"/>
  <c r="CX343" i="12"/>
  <c r="CN344" i="12" s="1"/>
  <c r="GH343" i="12"/>
  <c r="CB347" i="12"/>
  <c r="CH347" i="12" s="1"/>
  <c r="BX348" i="12" s="1"/>
  <c r="CE347" i="12"/>
  <c r="BO346" i="12"/>
  <c r="FP351" i="12"/>
  <c r="FQ351" i="12" s="1"/>
  <c r="FO352" i="12"/>
  <c r="EL519" i="12"/>
  <c r="BO347" i="12"/>
  <c r="BL347" i="12"/>
  <c r="I164" i="24" l="1"/>
  <c r="I180" i="24"/>
  <c r="U180" i="24"/>
  <c r="O180" i="24"/>
  <c r="F164" i="24"/>
  <c r="F180" i="24"/>
  <c r="L163" i="24"/>
  <c r="DH344" i="12"/>
  <c r="DU344" i="12"/>
  <c r="DQ344" i="12"/>
  <c r="EL458" i="12"/>
  <c r="T263" i="12"/>
  <c r="CB348" i="12"/>
  <c r="CH348" i="12" s="1"/>
  <c r="BX349" i="12" s="1"/>
  <c r="CE348" i="12"/>
  <c r="CR344" i="12"/>
  <c r="CU344" i="12"/>
  <c r="FO353" i="12"/>
  <c r="FP352" i="12"/>
  <c r="FQ352" i="12" s="1"/>
  <c r="EL531" i="12"/>
  <c r="BR347" i="12"/>
  <c r="BH348" i="12" s="1"/>
  <c r="BR107" i="12" l="1"/>
  <c r="T137" i="12" s="1"/>
  <c r="AP121" i="12" s="1"/>
  <c r="O167" i="24"/>
  <c r="BR110" i="12" s="1"/>
  <c r="T143" i="12" s="1"/>
  <c r="F167" i="24"/>
  <c r="L164" i="24"/>
  <c r="L180" i="24"/>
  <c r="I167" i="24"/>
  <c r="BR108" i="12" s="1"/>
  <c r="T139" i="12" s="1"/>
  <c r="GL344" i="12"/>
  <c r="DX344" i="12"/>
  <c r="EA344" i="12" s="1"/>
  <c r="DK344" i="12" s="1"/>
  <c r="DD345" i="12" s="1"/>
  <c r="EL470" i="12"/>
  <c r="T265" i="12"/>
  <c r="CX344" i="12"/>
  <c r="CN345" i="12" s="1"/>
  <c r="GH344" i="12"/>
  <c r="CE349" i="12"/>
  <c r="J23" i="15" s="1"/>
  <c r="CB349" i="12"/>
  <c r="FP353" i="12"/>
  <c r="FQ353" i="12" s="1"/>
  <c r="FO354" i="12"/>
  <c r="EL543" i="12"/>
  <c r="BL348" i="12"/>
  <c r="BR348" i="12" s="1"/>
  <c r="BH349" i="12" s="1"/>
  <c r="BO348" i="12"/>
  <c r="AZ153" i="12" l="1"/>
  <c r="AE139" i="12"/>
  <c r="AZ151" i="12"/>
  <c r="AZ157" i="12"/>
  <c r="AE143" i="12"/>
  <c r="AE137" i="12"/>
  <c r="BR109" i="12"/>
  <c r="T141" i="12" s="1"/>
  <c r="AE141" i="12" s="1"/>
  <c r="F168" i="24"/>
  <c r="O168" i="24"/>
  <c r="L167" i="24"/>
  <c r="I168" i="24"/>
  <c r="DU345" i="12"/>
  <c r="DQ345" i="12"/>
  <c r="DH345" i="12"/>
  <c r="EL482" i="12"/>
  <c r="T267" i="12"/>
  <c r="M23" i="15"/>
  <c r="P23" i="15" s="1"/>
  <c r="CH349" i="12"/>
  <c r="CR345" i="12"/>
  <c r="CU345" i="12"/>
  <c r="FO355" i="12"/>
  <c r="FP354" i="12"/>
  <c r="FQ354" i="12" s="1"/>
  <c r="EL555" i="12"/>
  <c r="BL349" i="12"/>
  <c r="BR349" i="12" s="1"/>
  <c r="BO349" i="12"/>
  <c r="AZ155" i="12" l="1"/>
  <c r="FD385" i="12" s="1"/>
  <c r="L168" i="24"/>
  <c r="F169" i="24"/>
  <c r="O169" i="24"/>
  <c r="I169" i="24"/>
  <c r="DX345" i="12"/>
  <c r="EA345" i="12" s="1"/>
  <c r="DK345" i="12" s="1"/>
  <c r="DD346" i="12" s="1"/>
  <c r="DQ346" i="12" s="1"/>
  <c r="GL345" i="12"/>
  <c r="EL494" i="12"/>
  <c r="T269" i="12"/>
  <c r="CX345" i="12"/>
  <c r="CN346" i="12" s="1"/>
  <c r="GH345" i="12"/>
  <c r="G23" i="15"/>
  <c r="BX350" i="12"/>
  <c r="G484" i="12"/>
  <c r="FO356" i="12"/>
  <c r="FP355" i="12"/>
  <c r="FQ355" i="12" s="1"/>
  <c r="EL567" i="12"/>
  <c r="J23" i="14"/>
  <c r="G23" i="14"/>
  <c r="BH350" i="12"/>
  <c r="F484" i="12"/>
  <c r="M23" i="14"/>
  <c r="FD368" i="12" l="1"/>
  <c r="FD362" i="12"/>
  <c r="FD403" i="12"/>
  <c r="FD392" i="12"/>
  <c r="FD402" i="12"/>
  <c r="FD407" i="12"/>
  <c r="FD406" i="12"/>
  <c r="FD352" i="12"/>
  <c r="FD408" i="12"/>
  <c r="FD345" i="12"/>
  <c r="FD340" i="12"/>
  <c r="FD344" i="12"/>
  <c r="FD399" i="12"/>
  <c r="FD377" i="12"/>
  <c r="FD347" i="12"/>
  <c r="FD367" i="12"/>
  <c r="FD383" i="12"/>
  <c r="FD381" i="12"/>
  <c r="FD346" i="12"/>
  <c r="FD380" i="12"/>
  <c r="FD400" i="12"/>
  <c r="FD354" i="12"/>
  <c r="FD339" i="12"/>
  <c r="FD401" i="12"/>
  <c r="FD358" i="12"/>
  <c r="FD355" i="12"/>
  <c r="FD391" i="12"/>
  <c r="FD374" i="12"/>
  <c r="FD387" i="12"/>
  <c r="FD386" i="12"/>
  <c r="FD349" i="12"/>
  <c r="AB135" i="12"/>
  <c r="AB166" i="12" s="1"/>
  <c r="AB164" i="12" s="1"/>
  <c r="FD343" i="12"/>
  <c r="FD338" i="12"/>
  <c r="FT338" i="12" s="1"/>
  <c r="FD350" i="12"/>
  <c r="FD370" i="12"/>
  <c r="FD373" i="12"/>
  <c r="FD365" i="12"/>
  <c r="FD342" i="12"/>
  <c r="FD351" i="12"/>
  <c r="FD371" i="12"/>
  <c r="FD397" i="12"/>
  <c r="FD372" i="12"/>
  <c r="FD364" i="12"/>
  <c r="FD356" i="12"/>
  <c r="FD376" i="12"/>
  <c r="FD360" i="12"/>
  <c r="FD405" i="12"/>
  <c r="FD359" i="12"/>
  <c r="FD369" i="12"/>
  <c r="FD388" i="12"/>
  <c r="FD390" i="12"/>
  <c r="FD389" i="12"/>
  <c r="FD363" i="12"/>
  <c r="FD348" i="12"/>
  <c r="FD396" i="12"/>
  <c r="FD375" i="12"/>
  <c r="FD361" i="12"/>
  <c r="FD341" i="12"/>
  <c r="FD395" i="12"/>
  <c r="FD382" i="12"/>
  <c r="FD394" i="12"/>
  <c r="FD384" i="12"/>
  <c r="FD366" i="12"/>
  <c r="FD379" i="12"/>
  <c r="FD398" i="12"/>
  <c r="FD404" i="12"/>
  <c r="FD409" i="12"/>
  <c r="FD393" i="12"/>
  <c r="FD378" i="12"/>
  <c r="FD357" i="12"/>
  <c r="FD353" i="12"/>
  <c r="I170" i="24"/>
  <c r="I171" i="24"/>
  <c r="O170" i="24"/>
  <c r="O171" i="24"/>
  <c r="F170" i="24"/>
  <c r="F171" i="24"/>
  <c r="L169" i="24"/>
  <c r="DU346" i="12"/>
  <c r="DX346" i="12" s="1"/>
  <c r="EA346" i="12" s="1"/>
  <c r="DK346" i="12" s="1"/>
  <c r="DD347" i="12" s="1"/>
  <c r="DH346" i="12"/>
  <c r="EL506" i="12"/>
  <c r="T271" i="12"/>
  <c r="CR346" i="12"/>
  <c r="CU346" i="12"/>
  <c r="CE350" i="12"/>
  <c r="D25" i="15"/>
  <c r="C25" i="15" s="1"/>
  <c r="CB350" i="12"/>
  <c r="CH350" i="12" s="1"/>
  <c r="BX351" i="12" s="1"/>
  <c r="FP356" i="12"/>
  <c r="FQ356" i="12" s="1"/>
  <c r="FO357" i="12"/>
  <c r="EL579" i="12"/>
  <c r="P23" i="14"/>
  <c r="D25" i="14"/>
  <c r="C25" i="14" s="1"/>
  <c r="BO350" i="12"/>
  <c r="BL350" i="12"/>
  <c r="AB182" i="12" l="1"/>
  <c r="F213" i="12"/>
  <c r="G249" i="12"/>
  <c r="G251" i="12"/>
  <c r="G247" i="12"/>
  <c r="Q166" i="12"/>
  <c r="G253" i="12"/>
  <c r="G255" i="12"/>
  <c r="G245" i="12"/>
  <c r="FY338" i="12"/>
  <c r="GQ338" i="12" s="1"/>
  <c r="L170" i="24"/>
  <c r="L171" i="24"/>
  <c r="GL346" i="12"/>
  <c r="DU347" i="12"/>
  <c r="DH347" i="12"/>
  <c r="DQ347" i="12"/>
  <c r="EL518" i="12"/>
  <c r="T273" i="12"/>
  <c r="CB351" i="12"/>
  <c r="CH351" i="12" s="1"/>
  <c r="BX352" i="12" s="1"/>
  <c r="CE351" i="12"/>
  <c r="CX346" i="12"/>
  <c r="CN347" i="12" s="1"/>
  <c r="GH346" i="12"/>
  <c r="FO358" i="12"/>
  <c r="FP357" i="12"/>
  <c r="FQ357" i="12" s="1"/>
  <c r="EL591" i="12"/>
  <c r="EL603" i="12" s="1"/>
  <c r="EL615" i="12" s="1"/>
  <c r="EL627" i="12" s="1"/>
  <c r="EL639" i="12" s="1"/>
  <c r="BR350" i="12"/>
  <c r="BH351" i="12" s="1"/>
  <c r="AB208" i="12" l="1"/>
  <c r="F215" i="12"/>
  <c r="GC338" i="12"/>
  <c r="FT339" i="12" s="1"/>
  <c r="DX347" i="12"/>
  <c r="EA347" i="12" s="1"/>
  <c r="DK347" i="12" s="1"/>
  <c r="DD348" i="12" s="1"/>
  <c r="EL530" i="12"/>
  <c r="T275" i="12"/>
  <c r="CU347" i="12"/>
  <c r="GL347" i="12" s="1"/>
  <c r="CR347" i="12"/>
  <c r="CB352" i="12"/>
  <c r="CH352" i="12" s="1"/>
  <c r="BX353" i="12" s="1"/>
  <c r="CE352" i="12"/>
  <c r="FO359" i="12"/>
  <c r="FP358" i="12"/>
  <c r="FQ358" i="12" s="1"/>
  <c r="BO351" i="12"/>
  <c r="BL351" i="12"/>
  <c r="BR351" i="12" s="1"/>
  <c r="BH352" i="12" s="1"/>
  <c r="F208" i="12" l="1"/>
  <c r="F212" i="12" s="1"/>
  <c r="M208" i="12"/>
  <c r="FY339" i="12"/>
  <c r="GQ339" i="12" s="1"/>
  <c r="DH348" i="12"/>
  <c r="DQ348" i="12"/>
  <c r="DU348" i="12"/>
  <c r="EL542" i="12"/>
  <c r="T277" i="12"/>
  <c r="CE353" i="12"/>
  <c r="CB353" i="12"/>
  <c r="CH353" i="12" s="1"/>
  <c r="BX354" i="12" s="1"/>
  <c r="CX347" i="12"/>
  <c r="CN348" i="12" s="1"/>
  <c r="GH347" i="12"/>
  <c r="FO360" i="12"/>
  <c r="FP359" i="12"/>
  <c r="FQ359" i="12" s="1"/>
  <c r="BO352" i="12"/>
  <c r="BL352" i="12"/>
  <c r="GC339" i="12" l="1"/>
  <c r="FT340" i="12" s="1"/>
  <c r="FY340" i="12"/>
  <c r="GQ340" i="12" s="1"/>
  <c r="DX348" i="12"/>
  <c r="EA348" i="12" s="1"/>
  <c r="DK348" i="12" s="1"/>
  <c r="DD349" i="12" s="1"/>
  <c r="EL554" i="12"/>
  <c r="T279" i="12"/>
  <c r="CR348" i="12"/>
  <c r="CU348" i="12"/>
  <c r="GL348" i="12" s="1"/>
  <c r="CE354" i="12"/>
  <c r="CB354" i="12"/>
  <c r="CH354" i="12" s="1"/>
  <c r="BX355" i="12" s="1"/>
  <c r="FO361" i="12"/>
  <c r="FP360" i="12"/>
  <c r="FQ360" i="12" s="1"/>
  <c r="BR352" i="12"/>
  <c r="BH353" i="12" s="1"/>
  <c r="GC340" i="12" l="1"/>
  <c r="FT341" i="12" s="1"/>
  <c r="FY341" i="12"/>
  <c r="GQ341" i="12" s="1"/>
  <c r="DU349" i="12"/>
  <c r="AP11" i="22" s="1"/>
  <c r="DH349" i="12"/>
  <c r="AJ11" i="22" s="1"/>
  <c r="DQ349" i="12"/>
  <c r="EL566" i="12"/>
  <c r="T281" i="12"/>
  <c r="CB355" i="12"/>
  <c r="CH355" i="12" s="1"/>
  <c r="BX356" i="12" s="1"/>
  <c r="CE355" i="12"/>
  <c r="CX348" i="12"/>
  <c r="CN349" i="12" s="1"/>
  <c r="GH348" i="12"/>
  <c r="FO362" i="12"/>
  <c r="FP361" i="12"/>
  <c r="FQ361" i="12" s="1"/>
  <c r="L247" i="12" s="1"/>
  <c r="BO353" i="12"/>
  <c r="BL353" i="12"/>
  <c r="GC341" i="12" l="1"/>
  <c r="FT342" i="12" s="1"/>
  <c r="FY342" i="12" s="1"/>
  <c r="GQ342" i="12" s="1"/>
  <c r="DX349" i="12"/>
  <c r="AS11" i="22" s="1"/>
  <c r="EL578" i="12"/>
  <c r="T283" i="12"/>
  <c r="CU349" i="12"/>
  <c r="CR349" i="12"/>
  <c r="CX349" i="12" s="1"/>
  <c r="CE356" i="12"/>
  <c r="CB356" i="12"/>
  <c r="CH356" i="12" s="1"/>
  <c r="BX357" i="12" s="1"/>
  <c r="FO363" i="12"/>
  <c r="FP362" i="12"/>
  <c r="FQ362" i="12" s="1"/>
  <c r="BR353" i="12"/>
  <c r="BH354" i="12" s="1"/>
  <c r="GC342" i="12" l="1"/>
  <c r="FT343" i="12" s="1"/>
  <c r="FY343" i="12" s="1"/>
  <c r="GQ343" i="12" s="1"/>
  <c r="EA349" i="12"/>
  <c r="DK349" i="12" s="1"/>
  <c r="DD350" i="12" s="1"/>
  <c r="EL590" i="12"/>
  <c r="T285" i="12"/>
  <c r="CE357" i="12"/>
  <c r="CB357" i="12"/>
  <c r="CH357" i="12" s="1"/>
  <c r="BX358" i="12" s="1"/>
  <c r="CN350" i="12"/>
  <c r="G23" i="16"/>
  <c r="H484" i="12"/>
  <c r="J23" i="16"/>
  <c r="GL349" i="12"/>
  <c r="Q245" i="12" s="1"/>
  <c r="M23" i="16"/>
  <c r="GH349" i="12"/>
  <c r="O245" i="12" s="1"/>
  <c r="FO364" i="12"/>
  <c r="FP363" i="12"/>
  <c r="FQ363" i="12" s="1"/>
  <c r="BL354" i="12"/>
  <c r="BR354" i="12" s="1"/>
  <c r="BH355" i="12" s="1"/>
  <c r="BO354" i="12"/>
  <c r="GC343" i="12" l="1"/>
  <c r="FT344" i="12" s="1"/>
  <c r="FY344" i="12" s="1"/>
  <c r="GQ344" i="12" s="1"/>
  <c r="DU350" i="12"/>
  <c r="DQ350" i="12"/>
  <c r="AG13" i="22"/>
  <c r="DH350" i="12"/>
  <c r="EL602" i="12"/>
  <c r="T287" i="12"/>
  <c r="D25" i="16"/>
  <c r="C25" i="16" s="1"/>
  <c r="CU350" i="12"/>
  <c r="CR350" i="12"/>
  <c r="P23" i="16"/>
  <c r="CE358" i="12"/>
  <c r="CB358" i="12"/>
  <c r="CH358" i="12" s="1"/>
  <c r="BX359" i="12" s="1"/>
  <c r="FO365" i="12"/>
  <c r="FP364" i="12"/>
  <c r="FQ364" i="12" s="1"/>
  <c r="BL355" i="12"/>
  <c r="BR355" i="12" s="1"/>
  <c r="BH356" i="12" s="1"/>
  <c r="BO355" i="12"/>
  <c r="GC344" i="12" l="1"/>
  <c r="FT345" i="12" s="1"/>
  <c r="GL350" i="12"/>
  <c r="DX350" i="12"/>
  <c r="EA350" i="12" s="1"/>
  <c r="DK350" i="12" s="1"/>
  <c r="DD351" i="12" s="1"/>
  <c r="AF13" i="22"/>
  <c r="CA98" i="22" s="1"/>
  <c r="BZ97" i="22" s="1"/>
  <c r="CB98" i="22"/>
  <c r="I488" i="12"/>
  <c r="EL614" i="12"/>
  <c r="T289" i="12"/>
  <c r="CE359" i="12"/>
  <c r="CB359" i="12"/>
  <c r="CH359" i="12" s="1"/>
  <c r="BX360" i="12" s="1"/>
  <c r="CX350" i="12"/>
  <c r="CN351" i="12" s="1"/>
  <c r="GH350" i="12"/>
  <c r="FO366" i="12"/>
  <c r="FP365" i="12"/>
  <c r="FQ365" i="12" s="1"/>
  <c r="BL356" i="12"/>
  <c r="BR356" i="12" s="1"/>
  <c r="BH357" i="12" s="1"/>
  <c r="BO356" i="12"/>
  <c r="FY345" i="12" l="1"/>
  <c r="GQ345" i="12" s="1"/>
  <c r="DU351" i="12"/>
  <c r="DQ351" i="12"/>
  <c r="DH351" i="12"/>
  <c r="EL626" i="12"/>
  <c r="T291" i="12"/>
  <c r="CU351" i="12"/>
  <c r="CR351" i="12"/>
  <c r="CB360" i="12"/>
  <c r="CH360" i="12" s="1"/>
  <c r="BX361" i="12" s="1"/>
  <c r="CE360" i="12"/>
  <c r="FO367" i="12"/>
  <c r="FP366" i="12"/>
  <c r="FQ366" i="12" s="1"/>
  <c r="BL357" i="12"/>
  <c r="BR357" i="12" s="1"/>
  <c r="BH358" i="12" s="1"/>
  <c r="BO357" i="12"/>
  <c r="GC345" i="12" l="1"/>
  <c r="FT346" i="12" s="1"/>
  <c r="GL351" i="12"/>
  <c r="GH351" i="12"/>
  <c r="DX351" i="12"/>
  <c r="EA351" i="12" s="1"/>
  <c r="DK351" i="12" s="1"/>
  <c r="DD352" i="12" s="1"/>
  <c r="DQ352" i="12" s="1"/>
  <c r="EL638" i="12"/>
  <c r="T295" i="12" s="1"/>
  <c r="T293" i="12"/>
  <c r="CX351" i="12"/>
  <c r="CN352" i="12" s="1"/>
  <c r="CR352" i="12" s="1"/>
  <c r="CX352" i="12" s="1"/>
  <c r="CN353" i="12" s="1"/>
  <c r="CE361" i="12"/>
  <c r="J25" i="15" s="1"/>
  <c r="CB361" i="12"/>
  <c r="FP367" i="12"/>
  <c r="FQ367" i="12" s="1"/>
  <c r="FO368" i="12"/>
  <c r="BL358" i="12"/>
  <c r="BR358" i="12" s="1"/>
  <c r="BH359" i="12" s="1"/>
  <c r="BO358" i="12"/>
  <c r="FY346" i="12" l="1"/>
  <c r="GQ346" i="12" s="1"/>
  <c r="DU352" i="12"/>
  <c r="GH352" i="12" s="1"/>
  <c r="DH352" i="12"/>
  <c r="T297" i="12"/>
  <c r="CU352" i="12"/>
  <c r="CU353" i="12"/>
  <c r="CR353" i="12"/>
  <c r="CX353" i="12" s="1"/>
  <c r="CN354" i="12" s="1"/>
  <c r="M25" i="15"/>
  <c r="P25" i="15" s="1"/>
  <c r="CH361" i="12"/>
  <c r="FO369" i="12"/>
  <c r="FP368" i="12"/>
  <c r="FQ368" i="12" s="1"/>
  <c r="BL359" i="12"/>
  <c r="BO359" i="12"/>
  <c r="GC346" i="12" l="1"/>
  <c r="FT347" i="12" s="1"/>
  <c r="DX352" i="12"/>
  <c r="EA352" i="12" s="1"/>
  <c r="DK352" i="12" s="1"/>
  <c r="DD353" i="12" s="1"/>
  <c r="GL352" i="12"/>
  <c r="G25" i="15"/>
  <c r="BX362" i="12"/>
  <c r="G487" i="12"/>
  <c r="CU354" i="12"/>
  <c r="CR354" i="12"/>
  <c r="CX354" i="12" s="1"/>
  <c r="CN355" i="12" s="1"/>
  <c r="FP369" i="12"/>
  <c r="FQ369" i="12" s="1"/>
  <c r="FO370" i="12"/>
  <c r="BR359" i="12"/>
  <c r="BH360" i="12" s="1"/>
  <c r="FY347" i="12" l="1"/>
  <c r="CU355" i="12"/>
  <c r="CR355" i="12"/>
  <c r="CX355" i="12" s="1"/>
  <c r="CN356" i="12" s="1"/>
  <c r="D27" i="15"/>
  <c r="C27" i="15" s="1"/>
  <c r="CE362" i="12"/>
  <c r="CB362" i="12"/>
  <c r="CH362" i="12" s="1"/>
  <c r="BX363" i="12" s="1"/>
  <c r="CE363" i="12" s="1"/>
  <c r="FO371" i="12"/>
  <c r="FP370" i="12"/>
  <c r="FQ370" i="12" s="1"/>
  <c r="DH353" i="12"/>
  <c r="DQ353" i="12"/>
  <c r="DU353" i="12"/>
  <c r="BO360" i="12"/>
  <c r="BL360" i="12"/>
  <c r="GQ347" i="12" l="1"/>
  <c r="GC347" i="12"/>
  <c r="FT348" i="12" s="1"/>
  <c r="CB363" i="12"/>
  <c r="CH363" i="12" s="1"/>
  <c r="BX364" i="12" s="1"/>
  <c r="CU356" i="12"/>
  <c r="CR356" i="12"/>
  <c r="CX356" i="12" s="1"/>
  <c r="CN357" i="12" s="1"/>
  <c r="FP371" i="12"/>
  <c r="FQ371" i="12" s="1"/>
  <c r="FO372" i="12"/>
  <c r="DX353" i="12"/>
  <c r="EA353" i="12" s="1"/>
  <c r="DK353" i="12" s="1"/>
  <c r="DD354" i="12" s="1"/>
  <c r="BR360" i="12"/>
  <c r="BH361" i="12" s="1"/>
  <c r="GH353" i="12"/>
  <c r="GL353" i="12"/>
  <c r="FY348" i="12" l="1"/>
  <c r="CU357" i="12"/>
  <c r="CR357" i="12"/>
  <c r="CX357" i="12" s="1"/>
  <c r="CN358" i="12" s="1"/>
  <c r="FO373" i="12"/>
  <c r="FP372" i="12"/>
  <c r="FQ372" i="12" s="1"/>
  <c r="DQ354" i="12"/>
  <c r="DU354" i="12"/>
  <c r="DH354" i="12"/>
  <c r="CB364" i="12"/>
  <c r="CH364" i="12" s="1"/>
  <c r="BX365" i="12" s="1"/>
  <c r="CE364" i="12"/>
  <c r="BL361" i="12"/>
  <c r="BR361" i="12" s="1"/>
  <c r="BO361" i="12"/>
  <c r="GQ348" i="12" l="1"/>
  <c r="GC348" i="12"/>
  <c r="FT349" i="12" s="1"/>
  <c r="CR358" i="12"/>
  <c r="CX358" i="12" s="1"/>
  <c r="CN359" i="12" s="1"/>
  <c r="CU358" i="12"/>
  <c r="FO374" i="12"/>
  <c r="FP373" i="12"/>
  <c r="FQ373" i="12" s="1"/>
  <c r="L249" i="12" s="1"/>
  <c r="M25" i="14"/>
  <c r="CE365" i="12"/>
  <c r="CB365" i="12"/>
  <c r="CH365" i="12" s="1"/>
  <c r="BX366" i="12" s="1"/>
  <c r="GH354" i="12"/>
  <c r="J25" i="14"/>
  <c r="GL354" i="12"/>
  <c r="DX354" i="12"/>
  <c r="EA354" i="12" s="1"/>
  <c r="DK354" i="12" s="1"/>
  <c r="DD355" i="12" s="1"/>
  <c r="G25" i="14"/>
  <c r="F487" i="12"/>
  <c r="BH362" i="12"/>
  <c r="FY349" i="12" l="1"/>
  <c r="P25" i="14"/>
  <c r="CR359" i="12"/>
  <c r="CX359" i="12" s="1"/>
  <c r="CN360" i="12" s="1"/>
  <c r="CU359" i="12"/>
  <c r="FO375" i="12"/>
  <c r="FP374" i="12"/>
  <c r="FQ374" i="12" s="1"/>
  <c r="DQ355" i="12"/>
  <c r="DU355" i="12"/>
  <c r="GH355" i="12" s="1"/>
  <c r="DH355" i="12"/>
  <c r="GL355" i="12" s="1"/>
  <c r="CE366" i="12"/>
  <c r="CB366" i="12"/>
  <c r="CH366" i="12" s="1"/>
  <c r="BX367" i="12" s="1"/>
  <c r="BL362" i="12"/>
  <c r="BR362" i="12" s="1"/>
  <c r="BH363" i="12" s="1"/>
  <c r="D27" i="14"/>
  <c r="C27" i="14" s="1"/>
  <c r="BO362" i="12"/>
  <c r="GQ349" i="12" l="1"/>
  <c r="Y245" i="12"/>
  <c r="GC349" i="12"/>
  <c r="FT350" i="12" s="1"/>
  <c r="CU360" i="12"/>
  <c r="CR360" i="12"/>
  <c r="CX360" i="12" s="1"/>
  <c r="CN361" i="12" s="1"/>
  <c r="FO376" i="12"/>
  <c r="FP375" i="12"/>
  <c r="FQ375" i="12" s="1"/>
  <c r="CB367" i="12"/>
  <c r="CH367" i="12" s="1"/>
  <c r="BX368" i="12" s="1"/>
  <c r="CE367" i="12"/>
  <c r="DX355" i="12"/>
  <c r="EA355" i="12" s="1"/>
  <c r="DK355" i="12" s="1"/>
  <c r="DD356" i="12" s="1"/>
  <c r="BO363" i="12"/>
  <c r="BL363" i="12"/>
  <c r="V568" i="12" l="1"/>
  <c r="O568" i="12" s="1"/>
  <c r="AA245" i="12"/>
  <c r="G702" i="12"/>
  <c r="FY350" i="12"/>
  <c r="GQ350" i="12" s="1"/>
  <c r="GW350" i="12" s="1"/>
  <c r="GW349" i="12"/>
  <c r="CR361" i="12"/>
  <c r="M25" i="16" s="1"/>
  <c r="CU361" i="12"/>
  <c r="J25" i="16" s="1"/>
  <c r="FP376" i="12"/>
  <c r="FQ376" i="12" s="1"/>
  <c r="FO377" i="12"/>
  <c r="DH356" i="12"/>
  <c r="GL356" i="12" s="1"/>
  <c r="DU356" i="12"/>
  <c r="GH356" i="12" s="1"/>
  <c r="DQ356" i="12"/>
  <c r="CE368" i="12"/>
  <c r="CB368" i="12"/>
  <c r="CH368" i="12" s="1"/>
  <c r="BX369" i="12" s="1"/>
  <c r="BR363" i="12"/>
  <c r="BH364" i="12" s="1"/>
  <c r="K702" i="12" l="1"/>
  <c r="AT702" i="12" s="1"/>
  <c r="X702" i="12" s="1"/>
  <c r="AC702" i="12" s="1"/>
  <c r="P702" i="12"/>
  <c r="GC350" i="12"/>
  <c r="FT351" i="12" s="1"/>
  <c r="AP437" i="12"/>
  <c r="AH245" i="12"/>
  <c r="F565" i="12" s="1"/>
  <c r="P25" i="16"/>
  <c r="CX361" i="12"/>
  <c r="FP377" i="12"/>
  <c r="FQ377" i="12" s="1"/>
  <c r="FO378" i="12"/>
  <c r="CE369" i="12"/>
  <c r="CB369" i="12"/>
  <c r="CH369" i="12" s="1"/>
  <c r="BX370" i="12" s="1"/>
  <c r="BO364" i="12"/>
  <c r="BL364" i="12"/>
  <c r="BR364" i="12" s="1"/>
  <c r="BH365" i="12" s="1"/>
  <c r="DX356" i="12"/>
  <c r="EA356" i="12" s="1"/>
  <c r="DK356" i="12" s="1"/>
  <c r="DD357" i="12" s="1"/>
  <c r="FY351" i="12" l="1"/>
  <c r="GQ351" i="12" s="1"/>
  <c r="F113" i="23"/>
  <c r="L567" i="12"/>
  <c r="I566" i="12"/>
  <c r="AJ702" i="12"/>
  <c r="H487" i="12"/>
  <c r="CN362" i="12"/>
  <c r="G25" i="16"/>
  <c r="FP378" i="12"/>
  <c r="FQ378" i="12" s="1"/>
  <c r="FO379" i="12"/>
  <c r="CE370" i="12"/>
  <c r="CB370" i="12"/>
  <c r="CH370" i="12" s="1"/>
  <c r="BX371" i="12" s="1"/>
  <c r="DU357" i="12"/>
  <c r="GH357" i="12" s="1"/>
  <c r="DH357" i="12"/>
  <c r="GL357" i="12" s="1"/>
  <c r="DQ357" i="12"/>
  <c r="BO365" i="12"/>
  <c r="BL365" i="12"/>
  <c r="BR365" i="12" s="1"/>
  <c r="BH366" i="12" s="1"/>
  <c r="GW351" i="12" l="1"/>
  <c r="GC351" i="12"/>
  <c r="FT352" i="12" s="1"/>
  <c r="FY352" i="12" s="1"/>
  <c r="GQ352" i="12" s="1"/>
  <c r="GW352" i="12" s="1"/>
  <c r="D27" i="16"/>
  <c r="C27" i="16" s="1"/>
  <c r="CR362" i="12"/>
  <c r="CX362" i="12" s="1"/>
  <c r="CN363" i="12" s="1"/>
  <c r="CU362" i="12"/>
  <c r="FO380" i="12"/>
  <c r="FP379" i="12"/>
  <c r="FQ379" i="12" s="1"/>
  <c r="CE371" i="12"/>
  <c r="CB371" i="12"/>
  <c r="CH371" i="12" s="1"/>
  <c r="BX372" i="12" s="1"/>
  <c r="BL366" i="12"/>
  <c r="BR366" i="12" s="1"/>
  <c r="BH367" i="12" s="1"/>
  <c r="BO366" i="12"/>
  <c r="DX357" i="12"/>
  <c r="EA357" i="12" s="1"/>
  <c r="DK357" i="12" s="1"/>
  <c r="DD358" i="12" s="1"/>
  <c r="GC352" i="12" l="1"/>
  <c r="FT353" i="12" s="1"/>
  <c r="FY353" i="12" s="1"/>
  <c r="GQ353" i="12" s="1"/>
  <c r="GW353" i="12" s="1"/>
  <c r="CU363" i="12"/>
  <c r="CR363" i="12"/>
  <c r="CX363" i="12" s="1"/>
  <c r="CN364" i="12" s="1"/>
  <c r="FO381" i="12"/>
  <c r="FP380" i="12"/>
  <c r="FQ380" i="12" s="1"/>
  <c r="CB372" i="12"/>
  <c r="CH372" i="12" s="1"/>
  <c r="BX373" i="12" s="1"/>
  <c r="CE372" i="12"/>
  <c r="DH358" i="12"/>
  <c r="GL358" i="12" s="1"/>
  <c r="DU358" i="12"/>
  <c r="GH358" i="12" s="1"/>
  <c r="DQ358" i="12"/>
  <c r="BL367" i="12"/>
  <c r="BO367" i="12"/>
  <c r="GC353" i="12" l="1"/>
  <c r="FT354" i="12" s="1"/>
  <c r="FY354" i="12" s="1"/>
  <c r="GQ354" i="12" s="1"/>
  <c r="GW354" i="12" s="1"/>
  <c r="CU364" i="12"/>
  <c r="CR364" i="12"/>
  <c r="CX364" i="12" s="1"/>
  <c r="CN365" i="12" s="1"/>
  <c r="FO382" i="12"/>
  <c r="FP381" i="12"/>
  <c r="FQ381" i="12" s="1"/>
  <c r="DX358" i="12"/>
  <c r="EA358" i="12" s="1"/>
  <c r="DK358" i="12" s="1"/>
  <c r="DD359" i="12" s="1"/>
  <c r="CB373" i="12"/>
  <c r="M27" i="15" s="1"/>
  <c r="CE373" i="12"/>
  <c r="J27" i="15" s="1"/>
  <c r="BR367" i="12"/>
  <c r="BH368" i="12" s="1"/>
  <c r="GC354" i="12" l="1"/>
  <c r="FT355" i="12" s="1"/>
  <c r="FY355" i="12" s="1"/>
  <c r="GQ355" i="12" s="1"/>
  <c r="GW355" i="12" s="1"/>
  <c r="CU365" i="12"/>
  <c r="CR365" i="12"/>
  <c r="CX365" i="12" s="1"/>
  <c r="CN366" i="12" s="1"/>
  <c r="FP382" i="12"/>
  <c r="FQ382" i="12" s="1"/>
  <c r="FO383" i="12"/>
  <c r="BL368" i="12"/>
  <c r="BR368" i="12" s="1"/>
  <c r="BH369" i="12" s="1"/>
  <c r="BO368" i="12"/>
  <c r="P27" i="15"/>
  <c r="CH373" i="12"/>
  <c r="DH359" i="12"/>
  <c r="GL359" i="12" s="1"/>
  <c r="DU359" i="12"/>
  <c r="GH359" i="12" s="1"/>
  <c r="DQ359" i="12"/>
  <c r="GC355" i="12" l="1"/>
  <c r="FT356" i="12" s="1"/>
  <c r="FY356" i="12" s="1"/>
  <c r="GQ356" i="12" s="1"/>
  <c r="GW356" i="12" s="1"/>
  <c r="CR366" i="12"/>
  <c r="CX366" i="12" s="1"/>
  <c r="CN367" i="12" s="1"/>
  <c r="CU366" i="12"/>
  <c r="FP383" i="12"/>
  <c r="FQ383" i="12" s="1"/>
  <c r="FO384" i="12"/>
  <c r="BO369" i="12"/>
  <c r="BL369" i="12"/>
  <c r="DX359" i="12"/>
  <c r="EA359" i="12" s="1"/>
  <c r="DK359" i="12" s="1"/>
  <c r="DD360" i="12" s="1"/>
  <c r="BX374" i="12"/>
  <c r="G490" i="12"/>
  <c r="G27" i="15"/>
  <c r="GC356" i="12" l="1"/>
  <c r="FT357" i="12" s="1"/>
  <c r="FY357" i="12" s="1"/>
  <c r="GQ357" i="12" s="1"/>
  <c r="GW357" i="12" s="1"/>
  <c r="CU367" i="12"/>
  <c r="CR367" i="12"/>
  <c r="CX367" i="12" s="1"/>
  <c r="CN368" i="12" s="1"/>
  <c r="FO385" i="12"/>
  <c r="FP384" i="12"/>
  <c r="FQ384" i="12" s="1"/>
  <c r="DH360" i="12"/>
  <c r="GL360" i="12" s="1"/>
  <c r="DU360" i="12"/>
  <c r="GH360" i="12" s="1"/>
  <c r="DQ360" i="12"/>
  <c r="L487" i="12"/>
  <c r="BR369" i="12"/>
  <c r="BH370" i="12" s="1"/>
  <c r="D29" i="15"/>
  <c r="C29" i="15" s="1"/>
  <c r="CB374" i="12"/>
  <c r="CH374" i="12" s="1"/>
  <c r="BX375" i="12" s="1"/>
  <c r="CE374" i="12"/>
  <c r="GC357" i="12" l="1"/>
  <c r="FT358" i="12" s="1"/>
  <c r="FY358" i="12" s="1"/>
  <c r="GQ358" i="12" s="1"/>
  <c r="GW358" i="12" s="1"/>
  <c r="CR368" i="12"/>
  <c r="CX368" i="12" s="1"/>
  <c r="CN369" i="12" s="1"/>
  <c r="CU368" i="12"/>
  <c r="FP385" i="12"/>
  <c r="FQ385" i="12" s="1"/>
  <c r="L251" i="12" s="1"/>
  <c r="FO386" i="12"/>
  <c r="DX360" i="12"/>
  <c r="EA360" i="12" s="1"/>
  <c r="DK360" i="12" s="1"/>
  <c r="DD361" i="12" s="1"/>
  <c r="CE375" i="12"/>
  <c r="CB375" i="12"/>
  <c r="BL370" i="12"/>
  <c r="BR370" i="12" s="1"/>
  <c r="BH371" i="12" s="1"/>
  <c r="BO370" i="12"/>
  <c r="GC358" i="12" l="1"/>
  <c r="FT359" i="12" s="1"/>
  <c r="FY359" i="12" s="1"/>
  <c r="GQ359" i="12" s="1"/>
  <c r="GW359" i="12" s="1"/>
  <c r="CU369" i="12"/>
  <c r="CR369" i="12"/>
  <c r="CX369" i="12" s="1"/>
  <c r="CN370" i="12" s="1"/>
  <c r="FP386" i="12"/>
  <c r="FQ386" i="12" s="1"/>
  <c r="FO387" i="12"/>
  <c r="DQ361" i="12"/>
  <c r="DH361" i="12"/>
  <c r="DU361" i="12"/>
  <c r="BO371" i="12"/>
  <c r="BL371" i="12"/>
  <c r="CH375" i="12"/>
  <c r="BX376" i="12" s="1"/>
  <c r="GC359" i="12" l="1"/>
  <c r="FT360" i="12" s="1"/>
  <c r="CU370" i="12"/>
  <c r="CR370" i="12"/>
  <c r="CX370" i="12" s="1"/>
  <c r="CN371" i="12" s="1"/>
  <c r="FO388" i="12"/>
  <c r="FP387" i="12"/>
  <c r="FQ387" i="12" s="1"/>
  <c r="CB376" i="12"/>
  <c r="CH376" i="12" s="1"/>
  <c r="BX377" i="12" s="1"/>
  <c r="CE376" i="12"/>
  <c r="GL361" i="12"/>
  <c r="Q247" i="12" s="1"/>
  <c r="AJ13" i="22"/>
  <c r="BR371" i="12"/>
  <c r="BH372" i="12" s="1"/>
  <c r="GH361" i="12"/>
  <c r="AP13" i="22"/>
  <c r="DX361" i="12"/>
  <c r="AS13" i="22" s="1"/>
  <c r="FY360" i="12" l="1"/>
  <c r="GQ360" i="12" s="1"/>
  <c r="GW360" i="12" s="1"/>
  <c r="GW337" i="12" s="1"/>
  <c r="H437" i="12" s="1"/>
  <c r="N437" i="12" s="1"/>
  <c r="CR371" i="12"/>
  <c r="CX371" i="12" s="1"/>
  <c r="CN372" i="12" s="1"/>
  <c r="CU371" i="12"/>
  <c r="FP388" i="12"/>
  <c r="FQ388" i="12" s="1"/>
  <c r="FO389" i="12"/>
  <c r="EA361" i="12"/>
  <c r="DK361" i="12" s="1"/>
  <c r="DD362" i="12" s="1"/>
  <c r="DH362" i="12" s="1"/>
  <c r="AV11" i="22"/>
  <c r="CB377" i="12"/>
  <c r="CH377" i="12" s="1"/>
  <c r="BX378" i="12" s="1"/>
  <c r="CE377" i="12"/>
  <c r="O247" i="12"/>
  <c r="BL372" i="12"/>
  <c r="BO372" i="12"/>
  <c r="GC360" i="12" l="1"/>
  <c r="FT361" i="12" s="1"/>
  <c r="FY361" i="12" s="1"/>
  <c r="CU372" i="12"/>
  <c r="CR372" i="12"/>
  <c r="CX372" i="12" s="1"/>
  <c r="CN373" i="12" s="1"/>
  <c r="AG15" i="22"/>
  <c r="CB99" i="22" s="1"/>
  <c r="DU362" i="12"/>
  <c r="GH362" i="12" s="1"/>
  <c r="FP389" i="12"/>
  <c r="FQ389" i="12" s="1"/>
  <c r="FO390" i="12"/>
  <c r="DQ362" i="12"/>
  <c r="CB378" i="12"/>
  <c r="CH378" i="12" s="1"/>
  <c r="BX379" i="12" s="1"/>
  <c r="CE378" i="12"/>
  <c r="AN11" i="22"/>
  <c r="J486" i="12"/>
  <c r="CC97" i="22"/>
  <c r="CD97" i="22" s="1"/>
  <c r="BR372" i="12"/>
  <c r="BH373" i="12" s="1"/>
  <c r="GL362" i="12"/>
  <c r="I491" i="12" l="1"/>
  <c r="O488" i="12" s="1"/>
  <c r="CR373" i="12"/>
  <c r="M27" i="16" s="1"/>
  <c r="CU373" i="12"/>
  <c r="J27" i="16" s="1"/>
  <c r="AF15" i="22"/>
  <c r="CA99" i="22" s="1"/>
  <c r="BZ98" i="22" s="1"/>
  <c r="DX362" i="12"/>
  <c r="EA362" i="12" s="1"/>
  <c r="DK362" i="12" s="1"/>
  <c r="DD363" i="12" s="1"/>
  <c r="DU363" i="12" s="1"/>
  <c r="FP390" i="12"/>
  <c r="FQ390" i="12" s="1"/>
  <c r="FO391" i="12"/>
  <c r="BO373" i="12"/>
  <c r="BL373" i="12"/>
  <c r="CB379" i="12"/>
  <c r="CH379" i="12" s="1"/>
  <c r="BX380" i="12" s="1"/>
  <c r="CE379" i="12"/>
  <c r="GQ361" i="12"/>
  <c r="GX361" i="12" s="1"/>
  <c r="Y247" i="12"/>
  <c r="GC361" i="12"/>
  <c r="FT362" i="12" s="1"/>
  <c r="CX373" i="12" l="1"/>
  <c r="G27" i="16" s="1"/>
  <c r="DH363" i="12"/>
  <c r="GL363" i="12" s="1"/>
  <c r="P27" i="16"/>
  <c r="DQ363" i="12"/>
  <c r="DX363" i="12" s="1"/>
  <c r="FP391" i="12"/>
  <c r="FQ391" i="12" s="1"/>
  <c r="FO392" i="12"/>
  <c r="CE380" i="12"/>
  <c r="CB380" i="12"/>
  <c r="CH380" i="12" s="1"/>
  <c r="BX381" i="12" s="1"/>
  <c r="M27" i="14"/>
  <c r="J27" i="14"/>
  <c r="G703" i="12"/>
  <c r="V573" i="12"/>
  <c r="AA247" i="12"/>
  <c r="BR373" i="12"/>
  <c r="GH363" i="12"/>
  <c r="FY362" i="12"/>
  <c r="CN374" i="12" l="1"/>
  <c r="CR374" i="12" s="1"/>
  <c r="CX374" i="12" s="1"/>
  <c r="CN375" i="12" s="1"/>
  <c r="H490" i="12"/>
  <c r="N487" i="12" s="1"/>
  <c r="K703" i="12"/>
  <c r="AT703" i="12" s="1"/>
  <c r="X703" i="12" s="1"/>
  <c r="AC703" i="12" s="1"/>
  <c r="S703" i="12"/>
  <c r="P703" i="12"/>
  <c r="P27" i="14"/>
  <c r="FO393" i="12"/>
  <c r="FP392" i="12"/>
  <c r="FQ392" i="12" s="1"/>
  <c r="CB381" i="12"/>
  <c r="CH381" i="12" s="1"/>
  <c r="BX382" i="12" s="1"/>
  <c r="CE381" i="12"/>
  <c r="AP438" i="12"/>
  <c r="AH247" i="12"/>
  <c r="GQ362" i="12"/>
  <c r="GC362" i="12"/>
  <c r="FT363" i="12" s="1"/>
  <c r="EA363" i="12"/>
  <c r="DK363" i="12" s="1"/>
  <c r="DD364" i="12" s="1"/>
  <c r="F490" i="12"/>
  <c r="BH374" i="12"/>
  <c r="G27" i="14"/>
  <c r="O573" i="12"/>
  <c r="Y573" i="12"/>
  <c r="CU374" i="12" l="1"/>
  <c r="D29" i="16"/>
  <c r="C29" i="16" s="1"/>
  <c r="CU375" i="12"/>
  <c r="CR375" i="12"/>
  <c r="CX375" i="12" s="1"/>
  <c r="CN376" i="12" s="1"/>
  <c r="GX362" i="12"/>
  <c r="FO394" i="12"/>
  <c r="FP393" i="12"/>
  <c r="FQ393" i="12" s="1"/>
  <c r="K487" i="12"/>
  <c r="CE382" i="12"/>
  <c r="CB382" i="12"/>
  <c r="CH382" i="12" s="1"/>
  <c r="BX383" i="12" s="1"/>
  <c r="BL374" i="12"/>
  <c r="BR374" i="12" s="1"/>
  <c r="BH375" i="12" s="1"/>
  <c r="D29" i="14"/>
  <c r="C29" i="14" s="1"/>
  <c r="BO374" i="12"/>
  <c r="DU364" i="12"/>
  <c r="DH364" i="12"/>
  <c r="DQ364" i="12"/>
  <c r="FY363" i="12"/>
  <c r="AJ703" i="12"/>
  <c r="AJ701" i="12" s="1"/>
  <c r="AU247" i="12"/>
  <c r="F570" i="12"/>
  <c r="CR376" i="12" l="1"/>
  <c r="CX376" i="12" s="1"/>
  <c r="CN377" i="12" s="1"/>
  <c r="CU376" i="12"/>
  <c r="FP394" i="12"/>
  <c r="FQ394" i="12" s="1"/>
  <c r="FO395" i="12"/>
  <c r="CE383" i="12"/>
  <c r="CB383" i="12"/>
  <c r="CH383" i="12" s="1"/>
  <c r="BX384" i="12" s="1"/>
  <c r="GQ363" i="12"/>
  <c r="GL364" i="12"/>
  <c r="F114" i="23"/>
  <c r="L572" i="12"/>
  <c r="I571" i="12"/>
  <c r="GC363" i="12"/>
  <c r="DX364" i="12"/>
  <c r="EA364" i="12" s="1"/>
  <c r="DK364" i="12" s="1"/>
  <c r="DD365" i="12" s="1"/>
  <c r="GH364" i="12"/>
  <c r="BO375" i="12"/>
  <c r="BL375" i="12"/>
  <c r="CR377" i="12" l="1"/>
  <c r="CX377" i="12" s="1"/>
  <c r="CN378" i="12" s="1"/>
  <c r="CU377" i="12"/>
  <c r="GX363" i="12"/>
  <c r="FP395" i="12"/>
  <c r="FQ395" i="12" s="1"/>
  <c r="FO396" i="12"/>
  <c r="CE384" i="12"/>
  <c r="CB384" i="12"/>
  <c r="CH384" i="12" s="1"/>
  <c r="BX385" i="12" s="1"/>
  <c r="DH365" i="12"/>
  <c r="DQ365" i="12"/>
  <c r="DU365" i="12"/>
  <c r="BR375" i="12"/>
  <c r="BH376" i="12" s="1"/>
  <c r="FT364" i="12"/>
  <c r="J113" i="23"/>
  <c r="CR378" i="12" l="1"/>
  <c r="CX378" i="12" s="1"/>
  <c r="CN379" i="12" s="1"/>
  <c r="CU378" i="12"/>
  <c r="FP396" i="12"/>
  <c r="FQ396" i="12" s="1"/>
  <c r="FO397" i="12"/>
  <c r="BL376" i="12"/>
  <c r="BR376" i="12" s="1"/>
  <c r="BH377" i="12" s="1"/>
  <c r="BO376" i="12"/>
  <c r="GH365" i="12"/>
  <c r="FY364" i="12"/>
  <c r="DX365" i="12"/>
  <c r="EA365" i="12" s="1"/>
  <c r="DK365" i="12" s="1"/>
  <c r="DD366" i="12" s="1"/>
  <c r="GL365" i="12"/>
  <c r="CE385" i="12"/>
  <c r="J29" i="15" s="1"/>
  <c r="CB385" i="12"/>
  <c r="M29" i="15" s="1"/>
  <c r="CU379" i="12" l="1"/>
  <c r="CR379" i="12"/>
  <c r="CX379" i="12" s="1"/>
  <c r="CN380" i="12" s="1"/>
  <c r="FO398" i="12"/>
  <c r="FP397" i="12"/>
  <c r="FQ397" i="12" s="1"/>
  <c r="L253" i="12" s="1"/>
  <c r="BO377" i="12"/>
  <c r="BL377" i="12"/>
  <c r="BR377" i="12" s="1"/>
  <c r="BH378" i="12" s="1"/>
  <c r="DU366" i="12"/>
  <c r="DH366" i="12"/>
  <c r="DQ366" i="12"/>
  <c r="CH385" i="12"/>
  <c r="P29" i="15"/>
  <c r="GQ364" i="12"/>
  <c r="GX364" i="12" s="1"/>
  <c r="GC364" i="12"/>
  <c r="FT365" i="12" s="1"/>
  <c r="CU380" i="12" l="1"/>
  <c r="CR380" i="12"/>
  <c r="CX380" i="12" s="1"/>
  <c r="CN381" i="12" s="1"/>
  <c r="FP398" i="12"/>
  <c r="FQ398" i="12" s="1"/>
  <c r="FO399" i="12"/>
  <c r="DX366" i="12"/>
  <c r="EA366" i="12" s="1"/>
  <c r="DK366" i="12" s="1"/>
  <c r="DD367" i="12" s="1"/>
  <c r="GH366" i="12"/>
  <c r="BO378" i="12"/>
  <c r="BL378" i="12"/>
  <c r="BR378" i="12" s="1"/>
  <c r="BH379" i="12" s="1"/>
  <c r="FY365" i="12"/>
  <c r="GC365" i="12" s="1"/>
  <c r="G493" i="12"/>
  <c r="BX386" i="12"/>
  <c r="G29" i="15"/>
  <c r="GL366" i="12"/>
  <c r="CU381" i="12" l="1"/>
  <c r="CR381" i="12"/>
  <c r="CX381" i="12" s="1"/>
  <c r="CN382" i="12" s="1"/>
  <c r="FP399" i="12"/>
  <c r="FQ399" i="12" s="1"/>
  <c r="FO400" i="12"/>
  <c r="CB386" i="12"/>
  <c r="CH386" i="12" s="1"/>
  <c r="BX387" i="12" s="1"/>
  <c r="D31" i="15"/>
  <c r="C31" i="15" s="1"/>
  <c r="CE386" i="12"/>
  <c r="FT366" i="12"/>
  <c r="BO379" i="12"/>
  <c r="BL379" i="12"/>
  <c r="DU367" i="12"/>
  <c r="GH367" i="12" s="1"/>
  <c r="DH367" i="12"/>
  <c r="GL367" i="12" s="1"/>
  <c r="DQ367" i="12"/>
  <c r="L490" i="12"/>
  <c r="GQ365" i="12"/>
  <c r="GX365" i="12" s="1"/>
  <c r="CU382" i="12" l="1"/>
  <c r="CR382" i="12"/>
  <c r="CX382" i="12" s="1"/>
  <c r="CN383" i="12" s="1"/>
  <c r="FO401" i="12"/>
  <c r="FP400" i="12"/>
  <c r="FQ400" i="12" s="1"/>
  <c r="BR379" i="12"/>
  <c r="BH380" i="12" s="1"/>
  <c r="DX367" i="12"/>
  <c r="EA367" i="12" s="1"/>
  <c r="DK367" i="12" s="1"/>
  <c r="DD368" i="12" s="1"/>
  <c r="FY366" i="12"/>
  <c r="GC366" i="12" s="1"/>
  <c r="FT367" i="12" s="1"/>
  <c r="FY367" i="12" s="1"/>
  <c r="GQ367" i="12" s="1"/>
  <c r="CE387" i="12"/>
  <c r="CB387" i="12"/>
  <c r="CU383" i="12" l="1"/>
  <c r="CR383" i="12"/>
  <c r="CX383" i="12" s="1"/>
  <c r="CN384" i="12" s="1"/>
  <c r="FO402" i="12"/>
  <c r="FP401" i="12"/>
  <c r="FQ401" i="12" s="1"/>
  <c r="GQ366" i="12"/>
  <c r="GX366" i="12" s="1"/>
  <c r="DU368" i="12"/>
  <c r="GH368" i="12" s="1"/>
  <c r="DH368" i="12"/>
  <c r="GL368" i="12" s="1"/>
  <c r="DQ368" i="12"/>
  <c r="BL380" i="12"/>
  <c r="BR380" i="12" s="1"/>
  <c r="BH381" i="12" s="1"/>
  <c r="BO380" i="12"/>
  <c r="CH387" i="12"/>
  <c r="BX388" i="12" s="1"/>
  <c r="GC367" i="12"/>
  <c r="GX367" i="12" l="1"/>
  <c r="CU384" i="12"/>
  <c r="CR384" i="12"/>
  <c r="CX384" i="12" s="1"/>
  <c r="CN385" i="12" s="1"/>
  <c r="FP402" i="12"/>
  <c r="FQ402" i="12" s="1"/>
  <c r="FO403" i="12"/>
  <c r="CE388" i="12"/>
  <c r="CB388" i="12"/>
  <c r="BL381" i="12"/>
  <c r="BR381" i="12" s="1"/>
  <c r="BH382" i="12" s="1"/>
  <c r="BO381" i="12"/>
  <c r="FT368" i="12"/>
  <c r="DX368" i="12"/>
  <c r="EA368" i="12" s="1"/>
  <c r="DK368" i="12" s="1"/>
  <c r="DD369" i="12" s="1"/>
  <c r="CU385" i="12" l="1"/>
  <c r="J29" i="16" s="1"/>
  <c r="CR385" i="12"/>
  <c r="M29" i="16" s="1"/>
  <c r="FO404" i="12"/>
  <c r="FP403" i="12"/>
  <c r="FQ403" i="12" s="1"/>
  <c r="BO382" i="12"/>
  <c r="BL382" i="12"/>
  <c r="FY368" i="12"/>
  <c r="GQ368" i="12" s="1"/>
  <c r="GX368" i="12" s="1"/>
  <c r="CH388" i="12"/>
  <c r="BX389" i="12" s="1"/>
  <c r="DU369" i="12"/>
  <c r="GH369" i="12" s="1"/>
  <c r="DH369" i="12"/>
  <c r="GL369" i="12" s="1"/>
  <c r="DQ369" i="12"/>
  <c r="CX385" i="12" l="1"/>
  <c r="H493" i="12" s="1"/>
  <c r="N490" i="12" s="1"/>
  <c r="P29" i="16"/>
  <c r="FO405" i="12"/>
  <c r="FP404" i="12"/>
  <c r="FQ404" i="12" s="1"/>
  <c r="GC368" i="12"/>
  <c r="FT369" i="12" s="1"/>
  <c r="DX369" i="12"/>
  <c r="EA369" i="12" s="1"/>
  <c r="DK369" i="12" s="1"/>
  <c r="DD370" i="12" s="1"/>
  <c r="CE389" i="12"/>
  <c r="CB389" i="12"/>
  <c r="CH389" i="12" s="1"/>
  <c r="BX390" i="12" s="1"/>
  <c r="BR382" i="12"/>
  <c r="BH383" i="12" s="1"/>
  <c r="CN386" i="12" l="1"/>
  <c r="CU386" i="12" s="1"/>
  <c r="G29" i="16"/>
  <c r="FO406" i="12"/>
  <c r="FP405" i="12"/>
  <c r="FQ405" i="12" s="1"/>
  <c r="BL383" i="12"/>
  <c r="BR383" i="12" s="1"/>
  <c r="BH384" i="12" s="1"/>
  <c r="BO383" i="12"/>
  <c r="CE390" i="12"/>
  <c r="CB390" i="12"/>
  <c r="CH390" i="12" s="1"/>
  <c r="BX391" i="12" s="1"/>
  <c r="DU370" i="12"/>
  <c r="GH370" i="12" s="1"/>
  <c r="DH370" i="12"/>
  <c r="GL370" i="12" s="1"/>
  <c r="DQ370" i="12"/>
  <c r="FY369" i="12"/>
  <c r="GQ369" i="12" s="1"/>
  <c r="GX369" i="12" s="1"/>
  <c r="D31" i="16" l="1"/>
  <c r="C31" i="16" s="1"/>
  <c r="CR386" i="12"/>
  <c r="CX386" i="12" s="1"/>
  <c r="CN387" i="12" s="1"/>
  <c r="CR387" i="12" s="1"/>
  <c r="CX387" i="12" s="1"/>
  <c r="CN388" i="12" s="1"/>
  <c r="FP406" i="12"/>
  <c r="FQ406" i="12" s="1"/>
  <c r="FO407" i="12"/>
  <c r="GC369" i="12"/>
  <c r="FT370" i="12" s="1"/>
  <c r="DX370" i="12"/>
  <c r="EA370" i="12" s="1"/>
  <c r="DK370" i="12" s="1"/>
  <c r="DD371" i="12" s="1"/>
  <c r="CB391" i="12"/>
  <c r="CH391" i="12" s="1"/>
  <c r="BX392" i="12" s="1"/>
  <c r="CE391" i="12"/>
  <c r="BL384" i="12"/>
  <c r="BO384" i="12"/>
  <c r="CU387" i="12" l="1"/>
  <c r="CR388" i="12"/>
  <c r="CX388" i="12" s="1"/>
  <c r="CN389" i="12" s="1"/>
  <c r="CU388" i="12"/>
  <c r="FO408" i="12"/>
  <c r="FP407" i="12"/>
  <c r="FQ407" i="12" s="1"/>
  <c r="DU371" i="12"/>
  <c r="GH371" i="12" s="1"/>
  <c r="DQ371" i="12"/>
  <c r="DH371" i="12"/>
  <c r="GL371" i="12" s="1"/>
  <c r="CE392" i="12"/>
  <c r="CB392" i="12"/>
  <c r="CH392" i="12" s="1"/>
  <c r="BX393" i="12" s="1"/>
  <c r="BR384" i="12"/>
  <c r="BH385" i="12" s="1"/>
  <c r="FY370" i="12"/>
  <c r="GQ370" i="12" s="1"/>
  <c r="GX370" i="12" s="1"/>
  <c r="CR389" i="12" l="1"/>
  <c r="CX389" i="12" s="1"/>
  <c r="CN390" i="12" s="1"/>
  <c r="CU389" i="12"/>
  <c r="FO409" i="12"/>
  <c r="FP408" i="12"/>
  <c r="FQ408" i="12" s="1"/>
  <c r="CB393" i="12"/>
  <c r="CH393" i="12" s="1"/>
  <c r="BX394" i="12" s="1"/>
  <c r="CE393" i="12"/>
  <c r="GC370" i="12"/>
  <c r="FT371" i="12" s="1"/>
  <c r="BO385" i="12"/>
  <c r="BL385" i="12"/>
  <c r="DX371" i="12"/>
  <c r="EA371" i="12" s="1"/>
  <c r="DK371" i="12" s="1"/>
  <c r="DD372" i="12" s="1"/>
  <c r="CR390" i="12" l="1"/>
  <c r="CX390" i="12" s="1"/>
  <c r="CN391" i="12" s="1"/>
  <c r="CU390" i="12"/>
  <c r="FO410" i="12"/>
  <c r="FP409" i="12"/>
  <c r="FQ409" i="12" s="1"/>
  <c r="L255" i="12" s="1"/>
  <c r="DH372" i="12"/>
  <c r="GL372" i="12" s="1"/>
  <c r="DU372" i="12"/>
  <c r="GH372" i="12" s="1"/>
  <c r="DQ372" i="12"/>
  <c r="M29" i="14"/>
  <c r="BR385" i="12"/>
  <c r="CB394" i="12"/>
  <c r="CH394" i="12" s="1"/>
  <c r="BX395" i="12" s="1"/>
  <c r="CE394" i="12"/>
  <c r="J29" i="14"/>
  <c r="FY371" i="12"/>
  <c r="GQ371" i="12" s="1"/>
  <c r="GX371" i="12" s="1"/>
  <c r="CR391" i="12" l="1"/>
  <c r="CX391" i="12" s="1"/>
  <c r="CN392" i="12" s="1"/>
  <c r="CU391" i="12"/>
  <c r="P29" i="14"/>
  <c r="FO411" i="12"/>
  <c r="FP410" i="12"/>
  <c r="GC371" i="12"/>
  <c r="FT372" i="12" s="1"/>
  <c r="CB395" i="12"/>
  <c r="CH395" i="12" s="1"/>
  <c r="BX396" i="12" s="1"/>
  <c r="CE395" i="12"/>
  <c r="F493" i="12"/>
  <c r="G29" i="14"/>
  <c r="BH386" i="12"/>
  <c r="DX372" i="12"/>
  <c r="EA372" i="12" s="1"/>
  <c r="DK372" i="12" s="1"/>
  <c r="DD373" i="12" s="1"/>
  <c r="CR392" i="12" l="1"/>
  <c r="CX392" i="12" s="1"/>
  <c r="CN393" i="12" s="1"/>
  <c r="CU392" i="12"/>
  <c r="FP411" i="12"/>
  <c r="FO412" i="12"/>
  <c r="DU373" i="12"/>
  <c r="DQ373" i="12"/>
  <c r="DH373" i="12"/>
  <c r="BL386" i="12"/>
  <c r="BO386" i="12"/>
  <c r="D31" i="14"/>
  <c r="C31" i="14" s="1"/>
  <c r="K490" i="12"/>
  <c r="FY372" i="12"/>
  <c r="GQ372" i="12" s="1"/>
  <c r="GX372" i="12" s="1"/>
  <c r="GX337" i="12" s="1"/>
  <c r="H438" i="12" s="1"/>
  <c r="N438" i="12" s="1"/>
  <c r="CE396" i="12"/>
  <c r="CB396" i="12"/>
  <c r="CH396" i="12" s="1"/>
  <c r="BX397" i="12" s="1"/>
  <c r="CU393" i="12" l="1"/>
  <c r="CR393" i="12"/>
  <c r="CX393" i="12" s="1"/>
  <c r="CN394" i="12" s="1"/>
  <c r="FP412" i="12"/>
  <c r="FO413" i="12"/>
  <c r="CE397" i="12"/>
  <c r="J31" i="15" s="1"/>
  <c r="CB397" i="12"/>
  <c r="M31" i="15" s="1"/>
  <c r="GC372" i="12"/>
  <c r="DX373" i="12"/>
  <c r="AS15" i="22" s="1"/>
  <c r="BR386" i="12"/>
  <c r="BH387" i="12" s="1"/>
  <c r="GL373" i="12"/>
  <c r="Q249" i="12" s="1"/>
  <c r="AJ15" i="22"/>
  <c r="GH373" i="12"/>
  <c r="O249" i="12" s="1"/>
  <c r="AP15" i="22"/>
  <c r="CU394" i="12" l="1"/>
  <c r="CR394" i="12"/>
  <c r="CX394" i="12" s="1"/>
  <c r="CN395" i="12" s="1"/>
  <c r="FP413" i="12"/>
  <c r="FO414" i="12"/>
  <c r="FT373" i="12"/>
  <c r="FY373" i="12" s="1"/>
  <c r="CH397" i="12"/>
  <c r="G31" i="15" s="1"/>
  <c r="AV13" i="22"/>
  <c r="BO387" i="12"/>
  <c r="BL387" i="12"/>
  <c r="EA373" i="12"/>
  <c r="DK373" i="12" s="1"/>
  <c r="DD374" i="12" s="1"/>
  <c r="P31" i="15"/>
  <c r="BX398" i="12" l="1"/>
  <c r="D33" i="15" s="1"/>
  <c r="C33" i="15" s="1"/>
  <c r="CU395" i="12"/>
  <c r="CR395" i="12"/>
  <c r="CX395" i="12" s="1"/>
  <c r="CN396" i="12" s="1"/>
  <c r="G496" i="12"/>
  <c r="L493" i="12" s="1"/>
  <c r="FP414" i="12"/>
  <c r="FO415" i="12"/>
  <c r="BR387" i="12"/>
  <c r="BH388" i="12" s="1"/>
  <c r="AG17" i="22"/>
  <c r="DU374" i="12"/>
  <c r="DQ374" i="12"/>
  <c r="DH374" i="12"/>
  <c r="GQ373" i="12"/>
  <c r="GY373" i="12" s="1"/>
  <c r="Y249" i="12"/>
  <c r="GC373" i="12"/>
  <c r="AN13" i="22"/>
  <c r="J489" i="12"/>
  <c r="CC98" i="22"/>
  <c r="CD98" i="22" s="1"/>
  <c r="CB398" i="12" l="1"/>
  <c r="CH398" i="12" s="1"/>
  <c r="BX399" i="12" s="1"/>
  <c r="CE398" i="12"/>
  <c r="CR396" i="12"/>
  <c r="CX396" i="12" s="1"/>
  <c r="CN397" i="12" s="1"/>
  <c r="CU396" i="12"/>
  <c r="FP415" i="12"/>
  <c r="FO416" i="12"/>
  <c r="DX374" i="12"/>
  <c r="I494" i="12"/>
  <c r="AF17" i="22"/>
  <c r="CA100" i="22" s="1"/>
  <c r="CB100" i="22"/>
  <c r="AA249" i="12"/>
  <c r="V578" i="12"/>
  <c r="G704" i="12"/>
  <c r="GL374" i="12"/>
  <c r="GH374" i="12"/>
  <c r="BO388" i="12"/>
  <c r="BL388" i="12"/>
  <c r="BR388" i="12" s="1"/>
  <c r="BH389" i="12" s="1"/>
  <c r="E31" i="15"/>
  <c r="E31" i="14"/>
  <c r="AH19" i="22"/>
  <c r="E31" i="16"/>
  <c r="CU397" i="12" l="1"/>
  <c r="J31" i="16" s="1"/>
  <c r="CR397" i="12"/>
  <c r="M31" i="16" s="1"/>
  <c r="K704" i="12"/>
  <c r="AT704" i="12" s="1"/>
  <c r="X704" i="12" s="1"/>
  <c r="AC704" i="12" s="1"/>
  <c r="P704" i="12"/>
  <c r="S704" i="12"/>
  <c r="FO417" i="12"/>
  <c r="FP416" i="12"/>
  <c r="FT374" i="12"/>
  <c r="FY374" i="12" s="1"/>
  <c r="BL389" i="12"/>
  <c r="BO389" i="12"/>
  <c r="AP439" i="12"/>
  <c r="AH249" i="12"/>
  <c r="CE399" i="12"/>
  <c r="CB399" i="12"/>
  <c r="O491" i="12"/>
  <c r="O578" i="12"/>
  <c r="Y578" i="12"/>
  <c r="BZ99" i="22"/>
  <c r="EA374" i="12"/>
  <c r="DK374" i="12" s="1"/>
  <c r="DD375" i="12" s="1"/>
  <c r="CX397" i="12" l="1"/>
  <c r="CN398" i="12" s="1"/>
  <c r="P31" i="16"/>
  <c r="FP417" i="12"/>
  <c r="FO418" i="12"/>
  <c r="DU375" i="12"/>
  <c r="DH375" i="12"/>
  <c r="DQ375" i="12"/>
  <c r="CH399" i="12"/>
  <c r="BX400" i="12" s="1"/>
  <c r="F575" i="12"/>
  <c r="AU249" i="12"/>
  <c r="BR389" i="12"/>
  <c r="BH390" i="12" s="1"/>
  <c r="GQ374" i="12"/>
  <c r="GC374" i="12"/>
  <c r="AJ704" i="12"/>
  <c r="G31" i="16" l="1"/>
  <c r="H496" i="12"/>
  <c r="N493" i="12" s="1"/>
  <c r="D33" i="16"/>
  <c r="C33" i="16" s="1"/>
  <c r="CR398" i="12"/>
  <c r="CX398" i="12" s="1"/>
  <c r="CN399" i="12" s="1"/>
  <c r="CU398" i="12"/>
  <c r="GY374" i="12"/>
  <c r="FO419" i="12"/>
  <c r="FP418" i="12"/>
  <c r="BO390" i="12"/>
  <c r="BL390" i="12"/>
  <c r="BR390" i="12" s="1"/>
  <c r="BH391" i="12" s="1"/>
  <c r="CB400" i="12"/>
  <c r="CH400" i="12" s="1"/>
  <c r="BX401" i="12" s="1"/>
  <c r="CE400" i="12"/>
  <c r="DX375" i="12"/>
  <c r="GH375" i="12"/>
  <c r="L577" i="12"/>
  <c r="F115" i="23"/>
  <c r="I576" i="12"/>
  <c r="GL375" i="12"/>
  <c r="FT375" i="12" l="1"/>
  <c r="FY375" i="12" s="1"/>
  <c r="CU399" i="12"/>
  <c r="CR399" i="12"/>
  <c r="CX399" i="12" s="1"/>
  <c r="CN400" i="12" s="1"/>
  <c r="FO420" i="12"/>
  <c r="FP419" i="12"/>
  <c r="J114" i="23"/>
  <c r="EA375" i="12"/>
  <c r="DK375" i="12" s="1"/>
  <c r="DD376" i="12" s="1"/>
  <c r="CE401" i="12"/>
  <c r="CB401" i="12"/>
  <c r="CH401" i="12" s="1"/>
  <c r="BX402" i="12" s="1"/>
  <c r="BL391" i="12"/>
  <c r="BR391" i="12" s="1"/>
  <c r="BH392" i="12" s="1"/>
  <c r="BO391" i="12"/>
  <c r="CR400" i="12" l="1"/>
  <c r="CX400" i="12" s="1"/>
  <c r="CN401" i="12" s="1"/>
  <c r="CU400" i="12"/>
  <c r="FP420" i="12"/>
  <c r="FO421" i="12"/>
  <c r="CE402" i="12"/>
  <c r="CB402" i="12"/>
  <c r="CH402" i="12" s="1"/>
  <c r="BX403" i="12" s="1"/>
  <c r="GQ375" i="12"/>
  <c r="GC375" i="12"/>
  <c r="BO392" i="12"/>
  <c r="BL392" i="12"/>
  <c r="BR392" i="12" s="1"/>
  <c r="BH393" i="12" s="1"/>
  <c r="DQ376" i="12"/>
  <c r="DU376" i="12"/>
  <c r="DH376" i="12"/>
  <c r="CR401" i="12" l="1"/>
  <c r="CX401" i="12" s="1"/>
  <c r="CN402" i="12" s="1"/>
  <c r="CU401" i="12"/>
  <c r="GY375" i="12"/>
  <c r="FO422" i="12"/>
  <c r="FP421" i="12"/>
  <c r="GH376" i="12"/>
  <c r="BO393" i="12"/>
  <c r="BL393" i="12"/>
  <c r="CE403" i="12"/>
  <c r="CB403" i="12"/>
  <c r="CH403" i="12" s="1"/>
  <c r="BX404" i="12" s="1"/>
  <c r="GL376" i="12"/>
  <c r="DX376" i="12"/>
  <c r="EA376" i="12" s="1"/>
  <c r="DK376" i="12" s="1"/>
  <c r="DD377" i="12" s="1"/>
  <c r="CU402" i="12" l="1"/>
  <c r="CR402" i="12"/>
  <c r="CX402" i="12" s="1"/>
  <c r="CN403" i="12" s="1"/>
  <c r="FP422" i="12"/>
  <c r="FO423" i="12"/>
  <c r="CE404" i="12"/>
  <c r="CB404" i="12"/>
  <c r="CH404" i="12" s="1"/>
  <c r="BX405" i="12" s="1"/>
  <c r="DH377" i="12"/>
  <c r="DQ377" i="12"/>
  <c r="DU377" i="12"/>
  <c r="BR393" i="12"/>
  <c r="BH394" i="12" s="1"/>
  <c r="FT376" i="12"/>
  <c r="CR403" i="12" l="1"/>
  <c r="CX403" i="12" s="1"/>
  <c r="CN404" i="12" s="1"/>
  <c r="CU403" i="12"/>
  <c r="FO424" i="12"/>
  <c r="FP423" i="12"/>
  <c r="CB405" i="12"/>
  <c r="CH405" i="12" s="1"/>
  <c r="BX406" i="12" s="1"/>
  <c r="CE405" i="12"/>
  <c r="FY376" i="12"/>
  <c r="GC376" i="12" s="1"/>
  <c r="DX377" i="12"/>
  <c r="EA377" i="12" s="1"/>
  <c r="DK377" i="12" s="1"/>
  <c r="DD378" i="12" s="1"/>
  <c r="BL394" i="12"/>
  <c r="BR394" i="12" s="1"/>
  <c r="BH395" i="12" s="1"/>
  <c r="BO394" i="12"/>
  <c r="GH377" i="12"/>
  <c r="GL377" i="12"/>
  <c r="CU404" i="12" l="1"/>
  <c r="CR404" i="12"/>
  <c r="CX404" i="12" s="1"/>
  <c r="CN405" i="12" s="1"/>
  <c r="FO425" i="12"/>
  <c r="FP424" i="12"/>
  <c r="FT377" i="12"/>
  <c r="CB406" i="12"/>
  <c r="CH406" i="12" s="1"/>
  <c r="BX407" i="12" s="1"/>
  <c r="CE406" i="12"/>
  <c r="BO395" i="12"/>
  <c r="BL395" i="12"/>
  <c r="BR395" i="12" s="1"/>
  <c r="BH396" i="12" s="1"/>
  <c r="DQ378" i="12"/>
  <c r="DH378" i="12"/>
  <c r="DU378" i="12"/>
  <c r="GQ376" i="12"/>
  <c r="GY376" i="12" s="1"/>
  <c r="CU405" i="12" l="1"/>
  <c r="CR405" i="12"/>
  <c r="CX405" i="12" s="1"/>
  <c r="CN406" i="12" s="1"/>
  <c r="FO426" i="12"/>
  <c r="FP425" i="12"/>
  <c r="FY377" i="12"/>
  <c r="GQ377" i="12" s="1"/>
  <c r="GY377" i="12" s="1"/>
  <c r="CB407" i="12"/>
  <c r="CH407" i="12" s="1"/>
  <c r="BX408" i="12" s="1"/>
  <c r="CE407" i="12"/>
  <c r="GL378" i="12"/>
  <c r="BO396" i="12"/>
  <c r="BL396" i="12"/>
  <c r="GH378" i="12"/>
  <c r="DX378" i="12"/>
  <c r="EA378" i="12" s="1"/>
  <c r="DK378" i="12" s="1"/>
  <c r="DD379" i="12" s="1"/>
  <c r="CR406" i="12" l="1"/>
  <c r="CX406" i="12" s="1"/>
  <c r="CN407" i="12" s="1"/>
  <c r="CU406" i="12"/>
  <c r="FP426" i="12"/>
  <c r="FO427" i="12"/>
  <c r="GC377" i="12"/>
  <c r="FT378" i="12" s="1"/>
  <c r="FY378" i="12" s="1"/>
  <c r="DH379" i="12"/>
  <c r="GL379" i="12" s="1"/>
  <c r="DU379" i="12"/>
  <c r="GH379" i="12" s="1"/>
  <c r="DQ379" i="12"/>
  <c r="CB408" i="12"/>
  <c r="CH408" i="12" s="1"/>
  <c r="BX409" i="12" s="1"/>
  <c r="CE408" i="12"/>
  <c r="BR396" i="12"/>
  <c r="BH397" i="12" s="1"/>
  <c r="CR407" i="12" l="1"/>
  <c r="CX407" i="12" s="1"/>
  <c r="CN408" i="12" s="1"/>
  <c r="CU407" i="12"/>
  <c r="FP427" i="12"/>
  <c r="FO428" i="12"/>
  <c r="GQ378" i="12"/>
  <c r="GY378" i="12" s="1"/>
  <c r="GC378" i="12"/>
  <c r="FT379" i="12" s="1"/>
  <c r="DX379" i="12"/>
  <c r="EA379" i="12" s="1"/>
  <c r="DK379" i="12" s="1"/>
  <c r="DD380" i="12" s="1"/>
  <c r="BL397" i="12"/>
  <c r="BR397" i="12" s="1"/>
  <c r="BO397" i="12"/>
  <c r="CE409" i="12"/>
  <c r="J33" i="15" s="1"/>
  <c r="CB409" i="12"/>
  <c r="M33" i="15" s="1"/>
  <c r="CR408" i="12" l="1"/>
  <c r="CX408" i="12" s="1"/>
  <c r="CN409" i="12" s="1"/>
  <c r="CU408" i="12"/>
  <c r="CH409" i="12"/>
  <c r="BX410" i="12" s="1"/>
  <c r="P33" i="15"/>
  <c r="FO429" i="12"/>
  <c r="FP428" i="12"/>
  <c r="F496" i="12"/>
  <c r="BH398" i="12"/>
  <c r="G31" i="14"/>
  <c r="M31" i="14"/>
  <c r="DU380" i="12"/>
  <c r="GH380" i="12" s="1"/>
  <c r="DH380" i="12"/>
  <c r="GL380" i="12" s="1"/>
  <c r="DQ380" i="12"/>
  <c r="J31" i="14"/>
  <c r="FY379" i="12"/>
  <c r="G33" i="15" l="1"/>
  <c r="CU409" i="12"/>
  <c r="J33" i="16" s="1"/>
  <c r="CR409" i="12"/>
  <c r="M33" i="16" s="1"/>
  <c r="G499" i="12"/>
  <c r="L496" i="12" s="1"/>
  <c r="FO430" i="12"/>
  <c r="FP429" i="12"/>
  <c r="GQ379" i="12"/>
  <c r="GY379" i="12" s="1"/>
  <c r="K493" i="12"/>
  <c r="D35" i="15"/>
  <c r="GC379" i="12"/>
  <c r="FT380" i="12" s="1"/>
  <c r="P31" i="14"/>
  <c r="DX380" i="12"/>
  <c r="EA380" i="12" s="1"/>
  <c r="DK380" i="12" s="1"/>
  <c r="DD381" i="12" s="1"/>
  <c r="BO398" i="12"/>
  <c r="D33" i="14"/>
  <c r="C33" i="14" s="1"/>
  <c r="BL398" i="12"/>
  <c r="BR398" i="12" s="1"/>
  <c r="BH399" i="12" s="1"/>
  <c r="CX409" i="12" l="1"/>
  <c r="H499" i="12" s="1"/>
  <c r="N496" i="12" s="1"/>
  <c r="P33" i="16"/>
  <c r="FP430" i="12"/>
  <c r="FO431" i="12"/>
  <c r="BO399" i="12"/>
  <c r="BL399" i="12"/>
  <c r="DH381" i="12"/>
  <c r="GL381" i="12" s="1"/>
  <c r="DU381" i="12"/>
  <c r="GH381" i="12" s="1"/>
  <c r="DQ381" i="12"/>
  <c r="FY380" i="12"/>
  <c r="GQ380" i="12" s="1"/>
  <c r="GY380" i="12" s="1"/>
  <c r="G33" i="16" l="1"/>
  <c r="CN410" i="12"/>
  <c r="D35" i="16" s="1"/>
  <c r="C35" i="16" s="1"/>
  <c r="FP431" i="12"/>
  <c r="FO432" i="12"/>
  <c r="GC380" i="12"/>
  <c r="FT381" i="12" s="1"/>
  <c r="BR399" i="12"/>
  <c r="BH400" i="12" s="1"/>
  <c r="DX381" i="12"/>
  <c r="EA381" i="12" s="1"/>
  <c r="DK381" i="12" s="1"/>
  <c r="DD382" i="12" s="1"/>
  <c r="CR410" i="12" l="1"/>
  <c r="CX410" i="12" s="1"/>
  <c r="CN411" i="12" s="1"/>
  <c r="CR411" i="12" s="1"/>
  <c r="CX411" i="12" s="1"/>
  <c r="CN412" i="12" s="1"/>
  <c r="CR412" i="12" s="1"/>
  <c r="CX412" i="12" s="1"/>
  <c r="CN413" i="12" s="1"/>
  <c r="CR413" i="12" s="1"/>
  <c r="CX413" i="12" s="1"/>
  <c r="CN414" i="12" s="1"/>
  <c r="CR414" i="12" s="1"/>
  <c r="CX414" i="12" s="1"/>
  <c r="CN415" i="12" s="1"/>
  <c r="CR415" i="12" s="1"/>
  <c r="CX415" i="12" s="1"/>
  <c r="CN416" i="12" s="1"/>
  <c r="CR416" i="12" s="1"/>
  <c r="CX416" i="12" s="1"/>
  <c r="CN417" i="12" s="1"/>
  <c r="CR417" i="12" s="1"/>
  <c r="CX417" i="12" s="1"/>
  <c r="CN418" i="12" s="1"/>
  <c r="CR418" i="12" s="1"/>
  <c r="CX418" i="12" s="1"/>
  <c r="CN419" i="12" s="1"/>
  <c r="FP432" i="12"/>
  <c r="FO433" i="12"/>
  <c r="DH382" i="12"/>
  <c r="GL382" i="12" s="1"/>
  <c r="DU382" i="12"/>
  <c r="GH382" i="12" s="1"/>
  <c r="DQ382" i="12"/>
  <c r="BL400" i="12"/>
  <c r="BR400" i="12" s="1"/>
  <c r="BH401" i="12" s="1"/>
  <c r="BO400" i="12"/>
  <c r="FY381" i="12"/>
  <c r="GQ381" i="12" s="1"/>
  <c r="GY381" i="12" s="1"/>
  <c r="FO434" i="12" l="1"/>
  <c r="FP433" i="12"/>
  <c r="BL401" i="12"/>
  <c r="BO401" i="12"/>
  <c r="DX382" i="12"/>
  <c r="EA382" i="12" s="1"/>
  <c r="DK382" i="12" s="1"/>
  <c r="DD383" i="12" s="1"/>
  <c r="CR419" i="12"/>
  <c r="CX419" i="12" s="1"/>
  <c r="CN420" i="12" s="1"/>
  <c r="GC381" i="12"/>
  <c r="FT382" i="12" s="1"/>
  <c r="FO435" i="12" l="1"/>
  <c r="FP434" i="12"/>
  <c r="CR420" i="12"/>
  <c r="CX420" i="12" s="1"/>
  <c r="CN421" i="12" s="1"/>
  <c r="DH383" i="12"/>
  <c r="GL383" i="12" s="1"/>
  <c r="DU383" i="12"/>
  <c r="GH383" i="12" s="1"/>
  <c r="DQ383" i="12"/>
  <c r="FY382" i="12"/>
  <c r="GQ382" i="12" s="1"/>
  <c r="GY382" i="12" s="1"/>
  <c r="BR401" i="12"/>
  <c r="BH402" i="12" s="1"/>
  <c r="FP435" i="12" l="1"/>
  <c r="FO436" i="12"/>
  <c r="CR421" i="12"/>
  <c r="M35" i="16" s="1"/>
  <c r="BO402" i="12"/>
  <c r="BL402" i="12"/>
  <c r="DX383" i="12"/>
  <c r="EA383" i="12" s="1"/>
  <c r="DK383" i="12" s="1"/>
  <c r="DD384" i="12" s="1"/>
  <c r="GC382" i="12"/>
  <c r="FT383" i="12" s="1"/>
  <c r="CX421" i="12" l="1"/>
  <c r="H502" i="12" s="1"/>
  <c r="FO437" i="12"/>
  <c r="FP436" i="12"/>
  <c r="DU384" i="12"/>
  <c r="GH384" i="12" s="1"/>
  <c r="DH384" i="12"/>
  <c r="GL384" i="12" s="1"/>
  <c r="DQ384" i="12"/>
  <c r="BR402" i="12"/>
  <c r="BH403" i="12" s="1"/>
  <c r="FY383" i="12"/>
  <c r="GQ383" i="12" s="1"/>
  <c r="GY383" i="12" s="1"/>
  <c r="G35" i="16" l="1"/>
  <c r="CN422" i="12"/>
  <c r="CR422" i="12" s="1"/>
  <c r="FP437" i="12"/>
  <c r="FO438" i="12"/>
  <c r="DX384" i="12"/>
  <c r="EA384" i="12" s="1"/>
  <c r="DK384" i="12" s="1"/>
  <c r="DD385" i="12" s="1"/>
  <c r="GC383" i="12"/>
  <c r="FT384" i="12" s="1"/>
  <c r="N499" i="12"/>
  <c r="BL403" i="12"/>
  <c r="BR403" i="12" s="1"/>
  <c r="BH404" i="12" s="1"/>
  <c r="BO403" i="12"/>
  <c r="D37" i="16" l="1"/>
  <c r="C37" i="16" s="1"/>
  <c r="FO439" i="12"/>
  <c r="FP438" i="12"/>
  <c r="BO404" i="12"/>
  <c r="BL404" i="12"/>
  <c r="DH385" i="12"/>
  <c r="DQ385" i="12"/>
  <c r="DU385" i="12"/>
  <c r="CX422" i="12"/>
  <c r="CN423" i="12" s="1"/>
  <c r="FY384" i="12"/>
  <c r="GQ384" i="12" s="1"/>
  <c r="GY384" i="12" s="1"/>
  <c r="GY337" i="12" s="1"/>
  <c r="H439" i="12" s="1"/>
  <c r="N439" i="12" s="1"/>
  <c r="FO440" i="12" l="1"/>
  <c r="FP439" i="12"/>
  <c r="GC384" i="12"/>
  <c r="DX385" i="12"/>
  <c r="AS17" i="22" s="1"/>
  <c r="CR423" i="12"/>
  <c r="CX423" i="12" s="1"/>
  <c r="CN424" i="12" s="1"/>
  <c r="GH385" i="12"/>
  <c r="O251" i="12" s="1"/>
  <c r="AP17" i="22"/>
  <c r="GL385" i="12"/>
  <c r="Q251" i="12" s="1"/>
  <c r="AJ17" i="22"/>
  <c r="BR404" i="12"/>
  <c r="BH405" i="12" s="1"/>
  <c r="EA385" i="12" l="1"/>
  <c r="DK385" i="12" s="1"/>
  <c r="DD386" i="12" s="1"/>
  <c r="DU386" i="12" s="1"/>
  <c r="FO441" i="12"/>
  <c r="FP440" i="12"/>
  <c r="FT385" i="12"/>
  <c r="FY385" i="12" s="1"/>
  <c r="AV15" i="22"/>
  <c r="CR424" i="12"/>
  <c r="CX424" i="12" s="1"/>
  <c r="CN425" i="12" s="1"/>
  <c r="BO405" i="12"/>
  <c r="BL405" i="12"/>
  <c r="BR405" i="12" s="1"/>
  <c r="BH406" i="12" s="1"/>
  <c r="DQ386" i="12" l="1"/>
  <c r="DX386" i="12" s="1"/>
  <c r="DH386" i="12"/>
  <c r="GL386" i="12" s="1"/>
  <c r="AG19" i="22"/>
  <c r="AF19" i="22" s="1"/>
  <c r="CA101" i="22" s="1"/>
  <c r="FO442" i="12"/>
  <c r="FP441" i="12"/>
  <c r="CR425" i="12"/>
  <c r="CX425" i="12" s="1"/>
  <c r="CN426" i="12" s="1"/>
  <c r="BO406" i="12"/>
  <c r="BL406" i="12"/>
  <c r="GQ385" i="12"/>
  <c r="GZ385" i="12" s="1"/>
  <c r="Y251" i="12"/>
  <c r="GC385" i="12"/>
  <c r="GH386" i="12"/>
  <c r="AN15" i="22"/>
  <c r="CC99" i="22"/>
  <c r="CD99" i="22" s="1"/>
  <c r="J492" i="12"/>
  <c r="CB101" i="22" l="1"/>
  <c r="I497" i="12"/>
  <c r="O494" i="12" s="1"/>
  <c r="FO443" i="12"/>
  <c r="FP442" i="12"/>
  <c r="CR426" i="12"/>
  <c r="CX426" i="12" s="1"/>
  <c r="CN427" i="12" s="1"/>
  <c r="BZ100" i="22"/>
  <c r="V583" i="12"/>
  <c r="G705" i="12"/>
  <c r="AA251" i="12"/>
  <c r="EA386" i="12"/>
  <c r="DK386" i="12" s="1"/>
  <c r="DD387" i="12" s="1"/>
  <c r="FT386" i="12"/>
  <c r="BR406" i="12"/>
  <c r="BH407" i="12" s="1"/>
  <c r="K705" i="12" l="1"/>
  <c r="AT705" i="12" s="1"/>
  <c r="X705" i="12" s="1"/>
  <c r="AC705" i="12" s="1"/>
  <c r="P705" i="12"/>
  <c r="S705" i="12"/>
  <c r="FO444" i="12"/>
  <c r="FP443" i="12"/>
  <c r="FY386" i="12"/>
  <c r="DH387" i="12"/>
  <c r="DQ387" i="12"/>
  <c r="DU387" i="12"/>
  <c r="AP440" i="12"/>
  <c r="AH251" i="12"/>
  <c r="O583" i="12"/>
  <c r="Y583" i="12"/>
  <c r="CR427" i="12"/>
  <c r="CX427" i="12" s="1"/>
  <c r="CN428" i="12" s="1"/>
  <c r="BL407" i="12"/>
  <c r="BR407" i="12" s="1"/>
  <c r="BH408" i="12" s="1"/>
  <c r="BO407" i="12"/>
  <c r="FP444" i="12" l="1"/>
  <c r="FO445" i="12"/>
  <c r="CR428" i="12"/>
  <c r="CX428" i="12" s="1"/>
  <c r="CN429" i="12" s="1"/>
  <c r="BO408" i="12"/>
  <c r="BL408" i="12"/>
  <c r="BR408" i="12" s="1"/>
  <c r="BH409" i="12" s="1"/>
  <c r="DX387" i="12"/>
  <c r="GQ386" i="12"/>
  <c r="GC386" i="12"/>
  <c r="AJ705" i="12"/>
  <c r="F580" i="12"/>
  <c r="AU251" i="12"/>
  <c r="GH387" i="12"/>
  <c r="GL387" i="12"/>
  <c r="GZ386" i="12" l="1"/>
  <c r="FP445" i="12"/>
  <c r="FO446" i="12"/>
  <c r="BO409" i="12"/>
  <c r="BL409" i="12"/>
  <c r="BR409" i="12" s="1"/>
  <c r="CR429" i="12"/>
  <c r="CX429" i="12" s="1"/>
  <c r="CN430" i="12" s="1"/>
  <c r="FT387" i="12"/>
  <c r="I581" i="12"/>
  <c r="L582" i="12"/>
  <c r="F116" i="23"/>
  <c r="EA387" i="12"/>
  <c r="DK387" i="12" s="1"/>
  <c r="DD388" i="12" s="1"/>
  <c r="FO447" i="12" l="1"/>
  <c r="FP446" i="12"/>
  <c r="J115" i="23"/>
  <c r="FY387" i="12"/>
  <c r="CR430" i="12"/>
  <c r="CX430" i="12" s="1"/>
  <c r="CN431" i="12" s="1"/>
  <c r="BH410" i="12"/>
  <c r="G33" i="14"/>
  <c r="F499" i="12"/>
  <c r="J33" i="14"/>
  <c r="DU388" i="12"/>
  <c r="DH388" i="12"/>
  <c r="DQ388" i="12"/>
  <c r="M33" i="14"/>
  <c r="FO448" i="12" l="1"/>
  <c r="FP447" i="12"/>
  <c r="DX388" i="12"/>
  <c r="EA388" i="12" s="1"/>
  <c r="DK388" i="12" s="1"/>
  <c r="DD389" i="12" s="1"/>
  <c r="GH388" i="12"/>
  <c r="CR431" i="12"/>
  <c r="CX431" i="12" s="1"/>
  <c r="CN432" i="12" s="1"/>
  <c r="GQ387" i="12"/>
  <c r="GC387" i="12"/>
  <c r="GL388" i="12"/>
  <c r="P33" i="14"/>
  <c r="K496" i="12"/>
  <c r="BD410" i="12"/>
  <c r="D35" i="14"/>
  <c r="BE410" i="12" l="1"/>
  <c r="BG410" i="12" s="1"/>
  <c r="BL410" i="12" s="1"/>
  <c r="BR410" i="12" s="1"/>
  <c r="BH411" i="12" s="1"/>
  <c r="C35" i="15"/>
  <c r="C35" i="14"/>
  <c r="GZ387" i="12"/>
  <c r="FO449" i="12"/>
  <c r="FP448" i="12"/>
  <c r="FT388" i="12"/>
  <c r="DU389" i="12"/>
  <c r="DQ389" i="12"/>
  <c r="DH389" i="12"/>
  <c r="CR432" i="12"/>
  <c r="CX432" i="12" s="1"/>
  <c r="CN433" i="12" s="1"/>
  <c r="EX410" i="12" l="1"/>
  <c r="CU410" i="12"/>
  <c r="GU410" i="12"/>
  <c r="ER410" i="12"/>
  <c r="EF410" i="12"/>
  <c r="CM410" i="12"/>
  <c r="DC410" i="12"/>
  <c r="DP410" i="12" s="1"/>
  <c r="BO410" i="12"/>
  <c r="BW410" i="12"/>
  <c r="CB410" i="12" s="1"/>
  <c r="CH410" i="12" s="1"/>
  <c r="BX411" i="12" s="1"/>
  <c r="CE410" i="12"/>
  <c r="FO450" i="12"/>
  <c r="FP449" i="12"/>
  <c r="GV410" i="12"/>
  <c r="BD411" i="12"/>
  <c r="BE411" i="12" s="1"/>
  <c r="DX389" i="12"/>
  <c r="EA389" i="12" s="1"/>
  <c r="DK389" i="12" s="1"/>
  <c r="DD390" i="12" s="1"/>
  <c r="FY388" i="12"/>
  <c r="CR433" i="12"/>
  <c r="M37" i="16" s="1"/>
  <c r="GL389" i="12"/>
  <c r="GH389" i="12"/>
  <c r="FO451" i="12" l="1"/>
  <c r="FP450" i="12"/>
  <c r="CX433" i="12"/>
  <c r="H505" i="12" s="1"/>
  <c r="DQ390" i="12"/>
  <c r="DH390" i="12"/>
  <c r="DU390" i="12"/>
  <c r="GQ388" i="12"/>
  <c r="GZ388" i="12" s="1"/>
  <c r="GC388" i="12"/>
  <c r="FT389" i="12" s="1"/>
  <c r="BW411" i="12"/>
  <c r="CB411" i="12" s="1"/>
  <c r="CH411" i="12" s="1"/>
  <c r="BX412" i="12" s="1"/>
  <c r="CU411" i="12"/>
  <c r="EF411" i="12"/>
  <c r="DC411" i="12"/>
  <c r="DP411" i="12" s="1"/>
  <c r="BO411" i="12"/>
  <c r="CM411" i="12"/>
  <c r="BG411" i="12"/>
  <c r="BL411" i="12" s="1"/>
  <c r="BR411" i="12" s="1"/>
  <c r="BH412" i="12" s="1"/>
  <c r="CE411" i="12"/>
  <c r="GU411" i="12"/>
  <c r="EX411" i="12"/>
  <c r="ER411" i="12"/>
  <c r="FR410" i="12"/>
  <c r="G37" i="16" l="1"/>
  <c r="FP451" i="12"/>
  <c r="FO452" i="12"/>
  <c r="CN434" i="12"/>
  <c r="D39" i="16" s="1"/>
  <c r="C39" i="16" s="1"/>
  <c r="FY389" i="12"/>
  <c r="N502" i="12"/>
  <c r="GH390" i="12"/>
  <c r="DX390" i="12"/>
  <c r="EA390" i="12" s="1"/>
  <c r="DK390" i="12" s="1"/>
  <c r="DD391" i="12" s="1"/>
  <c r="BD412" i="12"/>
  <c r="BE412" i="12" s="1"/>
  <c r="GV411" i="12"/>
  <c r="GL390" i="12"/>
  <c r="CR434" i="12" l="1"/>
  <c r="CX434" i="12" s="1"/>
  <c r="CN435" i="12" s="1"/>
  <c r="CR435" i="12" s="1"/>
  <c r="CX435" i="12" s="1"/>
  <c r="CN436" i="12" s="1"/>
  <c r="FP452" i="12"/>
  <c r="FO453" i="12"/>
  <c r="FR411" i="12"/>
  <c r="GQ389" i="12"/>
  <c r="GZ389" i="12" s="1"/>
  <c r="GC389" i="12"/>
  <c r="FT390" i="12" s="1"/>
  <c r="GU412" i="12"/>
  <c r="CE412" i="12"/>
  <c r="EF412" i="12"/>
  <c r="CM412" i="12"/>
  <c r="BW412" i="12"/>
  <c r="CB412" i="12" s="1"/>
  <c r="CH412" i="12" s="1"/>
  <c r="BX413" i="12" s="1"/>
  <c r="BO412" i="12"/>
  <c r="CU412" i="12"/>
  <c r="BG412" i="12"/>
  <c r="BL412" i="12" s="1"/>
  <c r="BR412" i="12" s="1"/>
  <c r="BH413" i="12" s="1"/>
  <c r="EX412" i="12"/>
  <c r="DC412" i="12"/>
  <c r="DP412" i="12" s="1"/>
  <c r="ER412" i="12"/>
  <c r="DU391" i="12"/>
  <c r="GH391" i="12" s="1"/>
  <c r="DH391" i="12"/>
  <c r="GL391" i="12" s="1"/>
  <c r="DQ391" i="12"/>
  <c r="FP453" i="12" l="1"/>
  <c r="FO454" i="12"/>
  <c r="CR436" i="12"/>
  <c r="CX436" i="12" s="1"/>
  <c r="CN437" i="12" s="1"/>
  <c r="BD413" i="12"/>
  <c r="BE413" i="12" s="1"/>
  <c r="DX391" i="12"/>
  <c r="EA391" i="12" s="1"/>
  <c r="DK391" i="12" s="1"/>
  <c r="DD392" i="12" s="1"/>
  <c r="GV412" i="12"/>
  <c r="FY390" i="12"/>
  <c r="FP454" i="12" l="1"/>
  <c r="FO455" i="12"/>
  <c r="GQ390" i="12"/>
  <c r="GZ390" i="12" s="1"/>
  <c r="GC390" i="12"/>
  <c r="FT391" i="12" s="1"/>
  <c r="FR412" i="12"/>
  <c r="DU392" i="12"/>
  <c r="GH392" i="12" s="1"/>
  <c r="DH392" i="12"/>
  <c r="GL392" i="12" s="1"/>
  <c r="DQ392" i="12"/>
  <c r="CM413" i="12"/>
  <c r="EF413" i="12"/>
  <c r="BO413" i="12"/>
  <c r="DC413" i="12"/>
  <c r="DP413" i="12" s="1"/>
  <c r="ER413" i="12"/>
  <c r="BG413" i="12"/>
  <c r="BL413" i="12" s="1"/>
  <c r="BR413" i="12" s="1"/>
  <c r="BH414" i="12" s="1"/>
  <c r="GU413" i="12"/>
  <c r="EX413" i="12"/>
  <c r="BW413" i="12"/>
  <c r="CB413" i="12" s="1"/>
  <c r="CH413" i="12" s="1"/>
  <c r="BX414" i="12" s="1"/>
  <c r="CU413" i="12"/>
  <c r="CE413" i="12"/>
  <c r="CR437" i="12"/>
  <c r="CX437" i="12" s="1"/>
  <c r="CN438" i="12" s="1"/>
  <c r="FP455" i="12" l="1"/>
  <c r="FO456" i="12"/>
  <c r="CR438" i="12"/>
  <c r="CX438" i="12" s="1"/>
  <c r="CN439" i="12" s="1"/>
  <c r="GV413" i="12"/>
  <c r="DX392" i="12"/>
  <c r="EA392" i="12" s="1"/>
  <c r="DK392" i="12" s="1"/>
  <c r="DD393" i="12" s="1"/>
  <c r="BD414" i="12"/>
  <c r="BE414" i="12" s="1"/>
  <c r="FY391" i="12"/>
  <c r="GQ391" i="12" s="1"/>
  <c r="GZ391" i="12" s="1"/>
  <c r="FO457" i="12" l="1"/>
  <c r="FP456" i="12"/>
  <c r="CR439" i="12"/>
  <c r="CX439" i="12" s="1"/>
  <c r="CN440" i="12" s="1"/>
  <c r="GC391" i="12"/>
  <c r="FT392" i="12" s="1"/>
  <c r="DU393" i="12"/>
  <c r="GH393" i="12" s="1"/>
  <c r="DH393" i="12"/>
  <c r="GL393" i="12" s="1"/>
  <c r="DQ393" i="12"/>
  <c r="CU414" i="12"/>
  <c r="EF414" i="12"/>
  <c r="BO414" i="12"/>
  <c r="CM414" i="12"/>
  <c r="BG414" i="12"/>
  <c r="BL414" i="12" s="1"/>
  <c r="BR414" i="12" s="1"/>
  <c r="BH415" i="12" s="1"/>
  <c r="DC414" i="12"/>
  <c r="DP414" i="12" s="1"/>
  <c r="EX414" i="12"/>
  <c r="BW414" i="12"/>
  <c r="CB414" i="12" s="1"/>
  <c r="CH414" i="12" s="1"/>
  <c r="BX415" i="12" s="1"/>
  <c r="CE414" i="12"/>
  <c r="ER414" i="12"/>
  <c r="GU414" i="12"/>
  <c r="FR413" i="12"/>
  <c r="BD415" i="12" l="1"/>
  <c r="BE415" i="12" s="1"/>
  <c r="GU415" i="12" s="1"/>
  <c r="GV415" i="12" s="1"/>
  <c r="FP457" i="12"/>
  <c r="FO458" i="12"/>
  <c r="CR440" i="12"/>
  <c r="CX440" i="12" s="1"/>
  <c r="CN441" i="12" s="1"/>
  <c r="DX393" i="12"/>
  <c r="EA393" i="12" s="1"/>
  <c r="DK393" i="12" s="1"/>
  <c r="DD394" i="12" s="1"/>
  <c r="FY392" i="12"/>
  <c r="GQ392" i="12" s="1"/>
  <c r="GZ392" i="12" s="1"/>
  <c r="GV414" i="12"/>
  <c r="EX415" i="12" l="1"/>
  <c r="CE415" i="12"/>
  <c r="CU415" i="12"/>
  <c r="CM415" i="12"/>
  <c r="ER415" i="12"/>
  <c r="BW415" i="12"/>
  <c r="CB415" i="12" s="1"/>
  <c r="CH415" i="12" s="1"/>
  <c r="BX416" i="12" s="1"/>
  <c r="BO415" i="12"/>
  <c r="BG415" i="12"/>
  <c r="BL415" i="12" s="1"/>
  <c r="BR415" i="12" s="1"/>
  <c r="BH416" i="12" s="1"/>
  <c r="BD416" i="12" s="1"/>
  <c r="BE416" i="12" s="1"/>
  <c r="EF415" i="12"/>
  <c r="DC415" i="12"/>
  <c r="DP415" i="12" s="1"/>
  <c r="FO459" i="12"/>
  <c r="FP458" i="12"/>
  <c r="FR415" i="12"/>
  <c r="DH394" i="12"/>
  <c r="GL394" i="12" s="1"/>
  <c r="DU394" i="12"/>
  <c r="GH394" i="12" s="1"/>
  <c r="DQ394" i="12"/>
  <c r="FR414" i="12"/>
  <c r="GC392" i="12"/>
  <c r="FT393" i="12" s="1"/>
  <c r="CR441" i="12"/>
  <c r="CX441" i="12" s="1"/>
  <c r="CN442" i="12" s="1"/>
  <c r="FP459" i="12" l="1"/>
  <c r="FO460" i="12"/>
  <c r="CR442" i="12"/>
  <c r="CX442" i="12" s="1"/>
  <c r="CN443" i="12" s="1"/>
  <c r="DX394" i="12"/>
  <c r="EA394" i="12" s="1"/>
  <c r="DK394" i="12" s="1"/>
  <c r="DD395" i="12" s="1"/>
  <c r="EF416" i="12"/>
  <c r="ER416" i="12"/>
  <c r="CE416" i="12"/>
  <c r="EX416" i="12"/>
  <c r="DC416" i="12"/>
  <c r="DP416" i="12" s="1"/>
  <c r="GU416" i="12"/>
  <c r="GV416" i="12" s="1"/>
  <c r="BO416" i="12"/>
  <c r="BW416" i="12"/>
  <c r="CB416" i="12" s="1"/>
  <c r="CH416" i="12" s="1"/>
  <c r="BX417" i="12" s="1"/>
  <c r="BG416" i="12"/>
  <c r="BL416" i="12" s="1"/>
  <c r="BR416" i="12" s="1"/>
  <c r="BH417" i="12" s="1"/>
  <c r="CM416" i="12"/>
  <c r="CU416" i="12"/>
  <c r="FY393" i="12"/>
  <c r="GQ393" i="12" s="1"/>
  <c r="GZ393" i="12" s="1"/>
  <c r="FO461" i="12" l="1"/>
  <c r="FP460" i="12"/>
  <c r="CR443" i="12"/>
  <c r="CX443" i="12" s="1"/>
  <c r="CN444" i="12" s="1"/>
  <c r="DH395" i="12"/>
  <c r="GL395" i="12" s="1"/>
  <c r="DU395" i="12"/>
  <c r="GH395" i="12" s="1"/>
  <c r="DQ395" i="12"/>
  <c r="BD417" i="12"/>
  <c r="BE417" i="12" s="1"/>
  <c r="GC393" i="12"/>
  <c r="FT394" i="12" s="1"/>
  <c r="FR416" i="12"/>
  <c r="FP461" i="12" l="1"/>
  <c r="FO462" i="12"/>
  <c r="DX395" i="12"/>
  <c r="EA395" i="12" s="1"/>
  <c r="DK395" i="12" s="1"/>
  <c r="DD396" i="12" s="1"/>
  <c r="CR444" i="12"/>
  <c r="CX444" i="12" s="1"/>
  <c r="CN445" i="12" s="1"/>
  <c r="FY394" i="12"/>
  <c r="GQ394" i="12" s="1"/>
  <c r="GZ394" i="12" s="1"/>
  <c r="BW417" i="12"/>
  <c r="CB417" i="12" s="1"/>
  <c r="CH417" i="12" s="1"/>
  <c r="BX418" i="12" s="1"/>
  <c r="BO417" i="12"/>
  <c r="CM417" i="12"/>
  <c r="EX417" i="12"/>
  <c r="BG417" i="12"/>
  <c r="BL417" i="12" s="1"/>
  <c r="BR417" i="12" s="1"/>
  <c r="BH418" i="12" s="1"/>
  <c r="BD418" i="12" s="1"/>
  <c r="BE418" i="12" s="1"/>
  <c r="GU417" i="12"/>
  <c r="GV417" i="12" s="1"/>
  <c r="DC417" i="12"/>
  <c r="DP417" i="12" s="1"/>
  <c r="CU417" i="12"/>
  <c r="ER417" i="12"/>
  <c r="CE417" i="12"/>
  <c r="EF417" i="12"/>
  <c r="FP462" i="12" l="1"/>
  <c r="FO463" i="12"/>
  <c r="FR417" i="12"/>
  <c r="GC394" i="12"/>
  <c r="FT395" i="12" s="1"/>
  <c r="CR445" i="12"/>
  <c r="M39" i="16" s="1"/>
  <c r="DH396" i="12"/>
  <c r="GL396" i="12" s="1"/>
  <c r="DQ396" i="12"/>
  <c r="DU396" i="12"/>
  <c r="GH396" i="12" s="1"/>
  <c r="BG418" i="12"/>
  <c r="BL418" i="12" s="1"/>
  <c r="BR418" i="12" s="1"/>
  <c r="BH419" i="12" s="1"/>
  <c r="EX418" i="12"/>
  <c r="CE418" i="12"/>
  <c r="BO418" i="12"/>
  <c r="ER418" i="12"/>
  <c r="CU418" i="12"/>
  <c r="CM418" i="12"/>
  <c r="DC418" i="12"/>
  <c r="DP418" i="12" s="1"/>
  <c r="GU418" i="12"/>
  <c r="GV418" i="12" s="1"/>
  <c r="BW418" i="12"/>
  <c r="CB418" i="12" s="1"/>
  <c r="CH418" i="12" s="1"/>
  <c r="BX419" i="12" s="1"/>
  <c r="EF418" i="12"/>
  <c r="FO464" i="12" l="1"/>
  <c r="FP463" i="12"/>
  <c r="FR418" i="12"/>
  <c r="DX396" i="12"/>
  <c r="EA396" i="12" s="1"/>
  <c r="DK396" i="12" s="1"/>
  <c r="DD397" i="12" s="1"/>
  <c r="CX445" i="12"/>
  <c r="FY395" i="12"/>
  <c r="GQ395" i="12" s="1"/>
  <c r="GZ395" i="12" s="1"/>
  <c r="BD419" i="12"/>
  <c r="BE419" i="12" s="1"/>
  <c r="FP464" i="12" l="1"/>
  <c r="FO465" i="12"/>
  <c r="DH397" i="12"/>
  <c r="DQ397" i="12"/>
  <c r="DU397" i="12"/>
  <c r="GC395" i="12"/>
  <c r="FT396" i="12" s="1"/>
  <c r="CM419" i="12"/>
  <c r="CU419" i="12"/>
  <c r="GU419" i="12"/>
  <c r="GV419" i="12" s="1"/>
  <c r="ER419" i="12"/>
  <c r="BG419" i="12"/>
  <c r="BL419" i="12" s="1"/>
  <c r="BR419" i="12" s="1"/>
  <c r="BH420" i="12" s="1"/>
  <c r="EX419" i="12"/>
  <c r="CE419" i="12"/>
  <c r="BO419" i="12"/>
  <c r="BW419" i="12"/>
  <c r="CB419" i="12" s="1"/>
  <c r="CH419" i="12" s="1"/>
  <c r="BX420" i="12" s="1"/>
  <c r="EF419" i="12"/>
  <c r="DC419" i="12"/>
  <c r="DP419" i="12" s="1"/>
  <c r="G39" i="16"/>
  <c r="H508" i="12"/>
  <c r="CN446" i="12"/>
  <c r="BD420" i="12" l="1"/>
  <c r="BE420" i="12" s="1"/>
  <c r="CE420" i="12" s="1"/>
  <c r="FO466" i="12"/>
  <c r="FP465" i="12"/>
  <c r="N505" i="12"/>
  <c r="FY396" i="12"/>
  <c r="GQ396" i="12" s="1"/>
  <c r="GZ396" i="12" s="1"/>
  <c r="GZ337" i="12" s="1"/>
  <c r="H440" i="12" s="1"/>
  <c r="N440" i="12" s="1"/>
  <c r="GH397" i="12"/>
  <c r="O253" i="12" s="1"/>
  <c r="AP19" i="22"/>
  <c r="GL397" i="12"/>
  <c r="Q253" i="12" s="1"/>
  <c r="AJ19" i="22"/>
  <c r="D41" i="16"/>
  <c r="C41" i="16" s="1"/>
  <c r="CR446" i="12"/>
  <c r="FR419" i="12"/>
  <c r="DX397" i="12"/>
  <c r="AS19" i="22" s="1"/>
  <c r="EX420" i="12" l="1"/>
  <c r="EF420" i="12"/>
  <c r="BO420" i="12"/>
  <c r="CM420" i="12"/>
  <c r="ER420" i="12"/>
  <c r="CU420" i="12"/>
  <c r="BG420" i="12"/>
  <c r="BL420" i="12" s="1"/>
  <c r="BR420" i="12" s="1"/>
  <c r="BH421" i="12" s="1"/>
  <c r="BD421" i="12" s="1"/>
  <c r="BE421" i="12" s="1"/>
  <c r="GU420" i="12"/>
  <c r="GV420" i="12" s="1"/>
  <c r="FR420" i="12" s="1"/>
  <c r="DC420" i="12"/>
  <c r="DP420" i="12" s="1"/>
  <c r="BW420" i="12"/>
  <c r="CB420" i="12" s="1"/>
  <c r="CH420" i="12" s="1"/>
  <c r="BX421" i="12" s="1"/>
  <c r="FP466" i="12"/>
  <c r="FO467" i="12"/>
  <c r="EA397" i="12"/>
  <c r="DK397" i="12" s="1"/>
  <c r="DD398" i="12" s="1"/>
  <c r="CX446" i="12"/>
  <c r="CN447" i="12" s="1"/>
  <c r="AV17" i="22"/>
  <c r="GC396" i="12"/>
  <c r="FT397" i="12" s="1"/>
  <c r="FO468" i="12" l="1"/>
  <c r="FP467" i="12"/>
  <c r="FY397" i="12"/>
  <c r="GC397" i="12" s="1"/>
  <c r="AN17" i="22"/>
  <c r="CC100" i="22"/>
  <c r="CD100" i="22" s="1"/>
  <c r="J495" i="12"/>
  <c r="CR447" i="12"/>
  <c r="CX447" i="12" s="1"/>
  <c r="CN448" i="12" s="1"/>
  <c r="BO421" i="12"/>
  <c r="EX421" i="12"/>
  <c r="EF421" i="12"/>
  <c r="S257" i="12" s="1"/>
  <c r="DC421" i="12"/>
  <c r="DP421" i="12" s="1"/>
  <c r="BG421" i="12"/>
  <c r="BL421" i="12" s="1"/>
  <c r="BR421" i="12" s="1"/>
  <c r="CU421" i="12"/>
  <c r="J35" i="16" s="1"/>
  <c r="P35" i="16" s="1"/>
  <c r="ER421" i="12"/>
  <c r="V257" i="12" s="1"/>
  <c r="CE421" i="12"/>
  <c r="J35" i="15" s="1"/>
  <c r="CM421" i="12"/>
  <c r="BW421" i="12"/>
  <c r="CB421" i="12" s="1"/>
  <c r="GU421" i="12"/>
  <c r="GV421" i="12" s="1"/>
  <c r="DQ398" i="12"/>
  <c r="AG21" i="22"/>
  <c r="DU398" i="12"/>
  <c r="DH398" i="12"/>
  <c r="M35" i="15" l="1"/>
  <c r="CH421" i="12"/>
  <c r="P35" i="15"/>
  <c r="M35" i="14"/>
  <c r="FO469" i="12"/>
  <c r="FP468" i="12"/>
  <c r="CR448" i="12"/>
  <c r="CX448" i="12" s="1"/>
  <c r="CN449" i="12" s="1"/>
  <c r="FL411" i="12"/>
  <c r="FL410" i="12"/>
  <c r="FL412" i="12"/>
  <c r="FL413" i="12"/>
  <c r="FL415" i="12"/>
  <c r="FL414" i="12"/>
  <c r="FL418" i="12"/>
  <c r="FL420" i="12"/>
  <c r="FL419" i="12"/>
  <c r="FL417" i="12"/>
  <c r="FL416" i="12"/>
  <c r="GH398" i="12"/>
  <c r="DX398" i="12"/>
  <c r="EA398" i="12" s="1"/>
  <c r="DK398" i="12" s="1"/>
  <c r="DD399" i="12" s="1"/>
  <c r="FL421" i="12"/>
  <c r="FN421" i="12" s="1"/>
  <c r="FQ421" i="12" s="1"/>
  <c r="J35" i="14"/>
  <c r="BH422" i="12"/>
  <c r="F502" i="12"/>
  <c r="G35" i="14"/>
  <c r="GL398" i="12"/>
  <c r="CB102" i="22"/>
  <c r="I500" i="12"/>
  <c r="AF21" i="22"/>
  <c r="CA102" i="22" s="1"/>
  <c r="GQ397" i="12"/>
  <c r="HA397" i="12" s="1"/>
  <c r="Y253" i="12"/>
  <c r="BX422" i="12" l="1"/>
  <c r="G502" i="12"/>
  <c r="G35" i="15"/>
  <c r="P35" i="14"/>
  <c r="FP469" i="12"/>
  <c r="FO470" i="12"/>
  <c r="CR449" i="12"/>
  <c r="CX449" i="12" s="1"/>
  <c r="CN450" i="12" s="1"/>
  <c r="D37" i="14"/>
  <c r="BD422" i="12"/>
  <c r="BE422" i="12" s="1"/>
  <c r="DU399" i="12"/>
  <c r="DQ399" i="12"/>
  <c r="DH399" i="12"/>
  <c r="FN417" i="12"/>
  <c r="FQ417" i="12" s="1"/>
  <c r="FJ417" i="12"/>
  <c r="FD417" i="12" s="1"/>
  <c r="FN414" i="12"/>
  <c r="FQ414" i="12" s="1"/>
  <c r="FJ414" i="12"/>
  <c r="FD414" i="12" s="1"/>
  <c r="AA253" i="12"/>
  <c r="V588" i="12"/>
  <c r="G706" i="12"/>
  <c r="BZ101" i="22"/>
  <c r="K499" i="12"/>
  <c r="FN416" i="12"/>
  <c r="FQ416" i="12" s="1"/>
  <c r="FJ416" i="12"/>
  <c r="FD416" i="12" s="1"/>
  <c r="FN419" i="12"/>
  <c r="FQ419" i="12" s="1"/>
  <c r="FJ419" i="12"/>
  <c r="FD419" i="12" s="1"/>
  <c r="FN418" i="12"/>
  <c r="FQ418" i="12" s="1"/>
  <c r="FJ418" i="12"/>
  <c r="FD418" i="12" s="1"/>
  <c r="FN415" i="12"/>
  <c r="FQ415" i="12" s="1"/>
  <c r="FJ415" i="12"/>
  <c r="FD415" i="12" s="1"/>
  <c r="FN412" i="12"/>
  <c r="FQ412" i="12" s="1"/>
  <c r="FJ412" i="12"/>
  <c r="FD412" i="12" s="1"/>
  <c r="FN411" i="12"/>
  <c r="FQ411" i="12" s="1"/>
  <c r="FJ411" i="12"/>
  <c r="FD411" i="12" s="1"/>
  <c r="O497" i="12"/>
  <c r="FN420" i="12"/>
  <c r="FQ420" i="12" s="1"/>
  <c r="FJ420" i="12"/>
  <c r="FD420" i="12" s="1"/>
  <c r="FN413" i="12"/>
  <c r="FQ413" i="12" s="1"/>
  <c r="FJ413" i="12"/>
  <c r="FD413" i="12" s="1"/>
  <c r="FN410" i="12"/>
  <c r="FQ410" i="12" s="1"/>
  <c r="FJ410" i="12"/>
  <c r="FD410" i="12" s="1"/>
  <c r="FJ421" i="12"/>
  <c r="FD421" i="12" s="1"/>
  <c r="FT398" i="12"/>
  <c r="L499" i="12" l="1"/>
  <c r="D37" i="15"/>
  <c r="C37" i="15" s="1"/>
  <c r="C37" i="14"/>
  <c r="K706" i="12"/>
  <c r="AT706" i="12" s="1"/>
  <c r="X706" i="12" s="1"/>
  <c r="AC706" i="12" s="1"/>
  <c r="S706" i="12"/>
  <c r="P706" i="12"/>
  <c r="FP470" i="12"/>
  <c r="FO471" i="12"/>
  <c r="L257" i="12"/>
  <c r="FY398" i="12"/>
  <c r="G257" i="12"/>
  <c r="AP441" i="12"/>
  <c r="AH253" i="12"/>
  <c r="GL399" i="12"/>
  <c r="GH399" i="12"/>
  <c r="Y588" i="12"/>
  <c r="O588" i="12"/>
  <c r="DX399" i="12"/>
  <c r="EA399" i="12" s="1"/>
  <c r="DK399" i="12" s="1"/>
  <c r="DD400" i="12" s="1"/>
  <c r="BO422" i="12"/>
  <c r="EF422" i="12"/>
  <c r="ER422" i="12"/>
  <c r="BW422" i="12"/>
  <c r="CB422" i="12" s="1"/>
  <c r="CH422" i="12" s="1"/>
  <c r="BX423" i="12" s="1"/>
  <c r="GU422" i="12"/>
  <c r="GV422" i="12" s="1"/>
  <c r="BG422" i="12"/>
  <c r="BL422" i="12" s="1"/>
  <c r="BR422" i="12" s="1"/>
  <c r="BH423" i="12" s="1"/>
  <c r="DC422" i="12"/>
  <c r="DP422" i="12" s="1"/>
  <c r="CU422" i="12"/>
  <c r="EX422" i="12"/>
  <c r="CM422" i="12"/>
  <c r="CE422" i="12"/>
  <c r="CR450" i="12"/>
  <c r="CX450" i="12" s="1"/>
  <c r="CN451" i="12" s="1"/>
  <c r="BD423" i="12" l="1"/>
  <c r="BE423" i="12" s="1"/>
  <c r="EF423" i="12" s="1"/>
  <c r="FP471" i="12"/>
  <c r="FO472" i="12"/>
  <c r="FR422" i="12"/>
  <c r="F585" i="12"/>
  <c r="AU253" i="12"/>
  <c r="AJ706" i="12"/>
  <c r="GQ398" i="12"/>
  <c r="GC398" i="12"/>
  <c r="FT399" i="12" s="1"/>
  <c r="CR451" i="12"/>
  <c r="CX451" i="12" s="1"/>
  <c r="CN452" i="12" s="1"/>
  <c r="DQ400" i="12"/>
  <c r="DH400" i="12"/>
  <c r="DU400" i="12"/>
  <c r="ER423" i="12" l="1"/>
  <c r="GU423" i="12"/>
  <c r="GV423" i="12" s="1"/>
  <c r="FR423" i="12" s="1"/>
  <c r="CU423" i="12"/>
  <c r="BW423" i="12"/>
  <c r="CB423" i="12" s="1"/>
  <c r="CH423" i="12" s="1"/>
  <c r="BX424" i="12" s="1"/>
  <c r="CE423" i="12"/>
  <c r="BO423" i="12"/>
  <c r="DC423" i="12"/>
  <c r="DP423" i="12" s="1"/>
  <c r="EX423" i="12"/>
  <c r="BG423" i="12"/>
  <c r="BL423" i="12" s="1"/>
  <c r="BR423" i="12" s="1"/>
  <c r="BH424" i="12" s="1"/>
  <c r="BD424" i="12" s="1"/>
  <c r="BE424" i="12" s="1"/>
  <c r="CM423" i="12"/>
  <c r="HA398" i="12"/>
  <c r="FP472" i="12"/>
  <c r="FO473" i="12"/>
  <c r="GL400" i="12"/>
  <c r="CR452" i="12"/>
  <c r="CX452" i="12" s="1"/>
  <c r="CN453" i="12" s="1"/>
  <c r="GH400" i="12"/>
  <c r="DX400" i="12"/>
  <c r="EA400" i="12" s="1"/>
  <c r="DK400" i="12" s="1"/>
  <c r="DD401" i="12" s="1"/>
  <c r="FY399" i="12"/>
  <c r="I586" i="12"/>
  <c r="F117" i="23"/>
  <c r="L587" i="12"/>
  <c r="FP473" i="12" l="1"/>
  <c r="FO474" i="12"/>
  <c r="CR453" i="12"/>
  <c r="CX453" i="12" s="1"/>
  <c r="CN454" i="12" s="1"/>
  <c r="DH401" i="12"/>
  <c r="DU401" i="12"/>
  <c r="DQ401" i="12"/>
  <c r="EF424" i="12"/>
  <c r="BG424" i="12"/>
  <c r="BL424" i="12" s="1"/>
  <c r="BR424" i="12" s="1"/>
  <c r="BH425" i="12" s="1"/>
  <c r="EX424" i="12"/>
  <c r="GU424" i="12"/>
  <c r="GV424" i="12" s="1"/>
  <c r="CU424" i="12"/>
  <c r="CE424" i="12"/>
  <c r="CM424" i="12"/>
  <c r="DC424" i="12"/>
  <c r="DP424" i="12" s="1"/>
  <c r="BO424" i="12"/>
  <c r="BW424" i="12"/>
  <c r="CB424" i="12" s="1"/>
  <c r="CH424" i="12" s="1"/>
  <c r="BX425" i="12" s="1"/>
  <c r="ER424" i="12"/>
  <c r="J116" i="23"/>
  <c r="GQ399" i="12"/>
  <c r="GC399" i="12"/>
  <c r="FT400" i="12" s="1"/>
  <c r="HA399" i="12" l="1"/>
  <c r="FP474" i="12"/>
  <c r="FO475" i="12"/>
  <c r="CR454" i="12"/>
  <c r="CX454" i="12" s="1"/>
  <c r="CN455" i="12" s="1"/>
  <c r="BD425" i="12"/>
  <c r="BE425" i="12" s="1"/>
  <c r="FR424" i="12"/>
  <c r="GL401" i="12"/>
  <c r="GH401" i="12"/>
  <c r="FY400" i="12"/>
  <c r="DX401" i="12"/>
  <c r="EA401" i="12" s="1"/>
  <c r="DK401" i="12" s="1"/>
  <c r="DD402" i="12" s="1"/>
  <c r="FO476" i="12" l="1"/>
  <c r="FP475" i="12"/>
  <c r="DH402" i="12"/>
  <c r="DQ402" i="12"/>
  <c r="DU402" i="12"/>
  <c r="GQ400" i="12"/>
  <c r="HA400" i="12" s="1"/>
  <c r="GC400" i="12"/>
  <c r="FT401" i="12" s="1"/>
  <c r="CR455" i="12"/>
  <c r="CX455" i="12" s="1"/>
  <c r="CN456" i="12" s="1"/>
  <c r="BO425" i="12"/>
  <c r="ER425" i="12"/>
  <c r="BW425" i="12"/>
  <c r="CB425" i="12" s="1"/>
  <c r="CH425" i="12" s="1"/>
  <c r="BX426" i="12" s="1"/>
  <c r="CE425" i="12"/>
  <c r="CM425" i="12"/>
  <c r="GU425" i="12"/>
  <c r="GV425" i="12" s="1"/>
  <c r="EF425" i="12"/>
  <c r="CU425" i="12"/>
  <c r="BG425" i="12"/>
  <c r="BL425" i="12" s="1"/>
  <c r="BR425" i="12" s="1"/>
  <c r="BH426" i="12" s="1"/>
  <c r="DC425" i="12"/>
  <c r="DP425" i="12" s="1"/>
  <c r="EX425" i="12"/>
  <c r="FP476" i="12" l="1"/>
  <c r="FO477" i="12"/>
  <c r="FR425" i="12"/>
  <c r="CR456" i="12"/>
  <c r="CX456" i="12" s="1"/>
  <c r="CN457" i="12" s="1"/>
  <c r="GH402" i="12"/>
  <c r="GL402" i="12"/>
  <c r="BD426" i="12"/>
  <c r="BE426" i="12" s="1"/>
  <c r="FY401" i="12"/>
  <c r="DX402" i="12"/>
  <c r="EA402" i="12" s="1"/>
  <c r="DK402" i="12" s="1"/>
  <c r="DD403" i="12" s="1"/>
  <c r="FP477" i="12" l="1"/>
  <c r="FO478" i="12"/>
  <c r="DH403" i="12"/>
  <c r="GL403" i="12" s="1"/>
  <c r="DU403" i="12"/>
  <c r="GH403" i="12" s="1"/>
  <c r="DQ403" i="12"/>
  <c r="CR457" i="12"/>
  <c r="M41" i="16" s="1"/>
  <c r="GQ401" i="12"/>
  <c r="HA401" i="12" s="1"/>
  <c r="GC401" i="12"/>
  <c r="FT402" i="12" s="1"/>
  <c r="EF426" i="12"/>
  <c r="EX426" i="12"/>
  <c r="GU426" i="12"/>
  <c r="GV426" i="12" s="1"/>
  <c r="BO426" i="12"/>
  <c r="CM426" i="12"/>
  <c r="CE426" i="12"/>
  <c r="BW426" i="12"/>
  <c r="CB426" i="12" s="1"/>
  <c r="CH426" i="12" s="1"/>
  <c r="BX427" i="12" s="1"/>
  <c r="ER426" i="12"/>
  <c r="DC426" i="12"/>
  <c r="DP426" i="12" s="1"/>
  <c r="CU426" i="12"/>
  <c r="BG426" i="12"/>
  <c r="BL426" i="12" s="1"/>
  <c r="BR426" i="12" s="1"/>
  <c r="BH427" i="12" s="1"/>
  <c r="CX457" i="12" l="1"/>
  <c r="H511" i="12" s="1"/>
  <c r="FP478" i="12"/>
  <c r="FO479" i="12"/>
  <c r="FR426" i="12"/>
  <c r="FY402" i="12"/>
  <c r="BD427" i="12"/>
  <c r="BE427" i="12" s="1"/>
  <c r="DX403" i="12"/>
  <c r="EA403" i="12" s="1"/>
  <c r="DK403" i="12" s="1"/>
  <c r="DD404" i="12" s="1"/>
  <c r="CN458" i="12" l="1"/>
  <c r="CR458" i="12" s="1"/>
  <c r="CX458" i="12" s="1"/>
  <c r="CN459" i="12" s="1"/>
  <c r="G41" i="16"/>
  <c r="FP479" i="12"/>
  <c r="FO480" i="12"/>
  <c r="DQ404" i="12"/>
  <c r="DU404" i="12"/>
  <c r="GH404" i="12" s="1"/>
  <c r="DH404" i="12"/>
  <c r="GL404" i="12" s="1"/>
  <c r="BW427" i="12"/>
  <c r="CB427" i="12" s="1"/>
  <c r="CH427" i="12" s="1"/>
  <c r="BX428" i="12" s="1"/>
  <c r="BO427" i="12"/>
  <c r="CU427" i="12"/>
  <c r="ER427" i="12"/>
  <c r="EX427" i="12"/>
  <c r="GU427" i="12"/>
  <c r="GV427" i="12" s="1"/>
  <c r="EF427" i="12"/>
  <c r="CM427" i="12"/>
  <c r="BG427" i="12"/>
  <c r="BL427" i="12" s="1"/>
  <c r="BR427" i="12" s="1"/>
  <c r="BH428" i="12" s="1"/>
  <c r="BD428" i="12" s="1"/>
  <c r="BE428" i="12" s="1"/>
  <c r="DC427" i="12"/>
  <c r="DP427" i="12" s="1"/>
  <c r="CE427" i="12"/>
  <c r="N508" i="12"/>
  <c r="GQ402" i="12"/>
  <c r="HA402" i="12" s="1"/>
  <c r="GC402" i="12"/>
  <c r="FT403" i="12" s="1"/>
  <c r="D43" i="16" l="1"/>
  <c r="C43" i="16" s="1"/>
  <c r="FO481" i="12"/>
  <c r="FP480" i="12"/>
  <c r="CR459" i="12"/>
  <c r="CX459" i="12" s="1"/>
  <c r="CN460" i="12" s="1"/>
  <c r="FY403" i="12"/>
  <c r="GQ403" i="12" s="1"/>
  <c r="HA403" i="12" s="1"/>
  <c r="FR427" i="12"/>
  <c r="BW428" i="12"/>
  <c r="CB428" i="12" s="1"/>
  <c r="CH428" i="12" s="1"/>
  <c r="BX429" i="12" s="1"/>
  <c r="CU428" i="12"/>
  <c r="CM428" i="12"/>
  <c r="GU428" i="12"/>
  <c r="GV428" i="12" s="1"/>
  <c r="BG428" i="12"/>
  <c r="BL428" i="12" s="1"/>
  <c r="BR428" i="12" s="1"/>
  <c r="BH429" i="12" s="1"/>
  <c r="EX428" i="12"/>
  <c r="EF428" i="12"/>
  <c r="DC428" i="12"/>
  <c r="DP428" i="12" s="1"/>
  <c r="BO428" i="12"/>
  <c r="ER428" i="12"/>
  <c r="CE428" i="12"/>
  <c r="DX404" i="12"/>
  <c r="EA404" i="12" s="1"/>
  <c r="DK404" i="12" s="1"/>
  <c r="DD405" i="12" s="1"/>
  <c r="FP481" i="12" l="1"/>
  <c r="FO482" i="12"/>
  <c r="DQ405" i="12"/>
  <c r="DH405" i="12"/>
  <c r="GL405" i="12" s="1"/>
  <c r="DU405" i="12"/>
  <c r="GH405" i="12" s="1"/>
  <c r="CR460" i="12"/>
  <c r="CX460" i="12" s="1"/>
  <c r="CN461" i="12" s="1"/>
  <c r="FR428" i="12"/>
  <c r="GC403" i="12"/>
  <c r="FT404" i="12" s="1"/>
  <c r="BD429" i="12"/>
  <c r="BE429" i="12" s="1"/>
  <c r="FP482" i="12" l="1"/>
  <c r="FO483" i="12"/>
  <c r="CR461" i="12"/>
  <c r="CX461" i="12" s="1"/>
  <c r="CN462" i="12" s="1"/>
  <c r="DX405" i="12"/>
  <c r="EA405" i="12" s="1"/>
  <c r="DK405" i="12" s="1"/>
  <c r="DD406" i="12" s="1"/>
  <c r="FY404" i="12"/>
  <c r="GQ404" i="12" s="1"/>
  <c r="HA404" i="12" s="1"/>
  <c r="CE429" i="12"/>
  <c r="BW429" i="12"/>
  <c r="CB429" i="12" s="1"/>
  <c r="CH429" i="12" s="1"/>
  <c r="BX430" i="12" s="1"/>
  <c r="EF429" i="12"/>
  <c r="BO429" i="12"/>
  <c r="GU429" i="12"/>
  <c r="GV429" i="12" s="1"/>
  <c r="ER429" i="12"/>
  <c r="DC429" i="12"/>
  <c r="DP429" i="12" s="1"/>
  <c r="BG429" i="12"/>
  <c r="BL429" i="12" s="1"/>
  <c r="BR429" i="12" s="1"/>
  <c r="BH430" i="12" s="1"/>
  <c r="EX429" i="12"/>
  <c r="CU429" i="12"/>
  <c r="CM429" i="12"/>
  <c r="FP483" i="12" l="1"/>
  <c r="FO484" i="12"/>
  <c r="DU406" i="12"/>
  <c r="GH406" i="12" s="1"/>
  <c r="DH406" i="12"/>
  <c r="GL406" i="12" s="1"/>
  <c r="DQ406" i="12"/>
  <c r="CR462" i="12"/>
  <c r="CX462" i="12" s="1"/>
  <c r="CN463" i="12" s="1"/>
  <c r="GC404" i="12"/>
  <c r="FT405" i="12" s="1"/>
  <c r="FR429" i="12"/>
  <c r="BD430" i="12"/>
  <c r="BE430" i="12" s="1"/>
  <c r="FP484" i="12" l="1"/>
  <c r="FO485" i="12"/>
  <c r="CR463" i="12"/>
  <c r="CX463" i="12" s="1"/>
  <c r="CN464" i="12" s="1"/>
  <c r="FY405" i="12"/>
  <c r="GQ405" i="12" s="1"/>
  <c r="HA405" i="12" s="1"/>
  <c r="BO430" i="12"/>
  <c r="EF430" i="12"/>
  <c r="BG430" i="12"/>
  <c r="BL430" i="12" s="1"/>
  <c r="BR430" i="12" s="1"/>
  <c r="BH431" i="12" s="1"/>
  <c r="BD431" i="12" s="1"/>
  <c r="BE431" i="12" s="1"/>
  <c r="BW430" i="12"/>
  <c r="CB430" i="12" s="1"/>
  <c r="CH430" i="12" s="1"/>
  <c r="BX431" i="12" s="1"/>
  <c r="GU430" i="12"/>
  <c r="GV430" i="12" s="1"/>
  <c r="CM430" i="12"/>
  <c r="EX430" i="12"/>
  <c r="DC430" i="12"/>
  <c r="DP430" i="12" s="1"/>
  <c r="CU430" i="12"/>
  <c r="ER430" i="12"/>
  <c r="CE430" i="12"/>
  <c r="DX406" i="12"/>
  <c r="EA406" i="12" s="1"/>
  <c r="DK406" i="12" s="1"/>
  <c r="DD407" i="12" s="1"/>
  <c r="FO486" i="12" l="1"/>
  <c r="FP485" i="12"/>
  <c r="DH407" i="12"/>
  <c r="GL407" i="12" s="1"/>
  <c r="DU407" i="12"/>
  <c r="GH407" i="12" s="1"/>
  <c r="DQ407" i="12"/>
  <c r="CR464" i="12"/>
  <c r="CX464" i="12" s="1"/>
  <c r="CN465" i="12" s="1"/>
  <c r="GC405" i="12"/>
  <c r="FT406" i="12" s="1"/>
  <c r="FR430" i="12"/>
  <c r="BW431" i="12"/>
  <c r="CB431" i="12" s="1"/>
  <c r="CH431" i="12" s="1"/>
  <c r="BX432" i="12" s="1"/>
  <c r="CE431" i="12"/>
  <c r="DC431" i="12"/>
  <c r="DP431" i="12" s="1"/>
  <c r="EX431" i="12"/>
  <c r="BG431" i="12"/>
  <c r="BL431" i="12" s="1"/>
  <c r="BR431" i="12" s="1"/>
  <c r="BH432" i="12" s="1"/>
  <c r="BD432" i="12" s="1"/>
  <c r="BE432" i="12" s="1"/>
  <c r="GU431" i="12"/>
  <c r="GV431" i="12" s="1"/>
  <c r="BO431" i="12"/>
  <c r="CU431" i="12"/>
  <c r="EF431" i="12"/>
  <c r="ER431" i="12"/>
  <c r="CM431" i="12"/>
  <c r="FO487" i="12" l="1"/>
  <c r="FP486" i="12"/>
  <c r="FY406" i="12"/>
  <c r="GQ406" i="12" s="1"/>
  <c r="HA406" i="12" s="1"/>
  <c r="CR465" i="12"/>
  <c r="CX465" i="12" s="1"/>
  <c r="CN466" i="12" s="1"/>
  <c r="DX407" i="12"/>
  <c r="EA407" i="12" s="1"/>
  <c r="DK407" i="12" s="1"/>
  <c r="DD408" i="12" s="1"/>
  <c r="FR431" i="12"/>
  <c r="CM432" i="12"/>
  <c r="CE432" i="12"/>
  <c r="BW432" i="12"/>
  <c r="CB432" i="12" s="1"/>
  <c r="CH432" i="12" s="1"/>
  <c r="BX433" i="12" s="1"/>
  <c r="EX432" i="12"/>
  <c r="DC432" i="12"/>
  <c r="DP432" i="12" s="1"/>
  <c r="EF432" i="12"/>
  <c r="CU432" i="12"/>
  <c r="BO432" i="12"/>
  <c r="ER432" i="12"/>
  <c r="BG432" i="12"/>
  <c r="BL432" i="12" s="1"/>
  <c r="BR432" i="12" s="1"/>
  <c r="BH433" i="12" s="1"/>
  <c r="GU432" i="12"/>
  <c r="GV432" i="12" s="1"/>
  <c r="BD433" i="12" l="1"/>
  <c r="BE433" i="12" s="1"/>
  <c r="GU433" i="12" s="1"/>
  <c r="GV433" i="12" s="1"/>
  <c r="FO488" i="12"/>
  <c r="FP487" i="12"/>
  <c r="CR466" i="12"/>
  <c r="CX466" i="12" s="1"/>
  <c r="CN467" i="12" s="1"/>
  <c r="DH408" i="12"/>
  <c r="GL408" i="12" s="1"/>
  <c r="DU408" i="12"/>
  <c r="GH408" i="12" s="1"/>
  <c r="DQ408" i="12"/>
  <c r="FR432" i="12"/>
  <c r="GC406" i="12"/>
  <c r="FT407" i="12" s="1"/>
  <c r="BW433" i="12" l="1"/>
  <c r="CB433" i="12" s="1"/>
  <c r="CE433" i="12"/>
  <c r="J37" i="15" s="1"/>
  <c r="BO433" i="12"/>
  <c r="J37" i="14" s="1"/>
  <c r="CU433" i="12"/>
  <c r="J37" i="16" s="1"/>
  <c r="P37" i="16" s="1"/>
  <c r="CM433" i="12"/>
  <c r="DC433" i="12"/>
  <c r="DP433" i="12" s="1"/>
  <c r="EF433" i="12"/>
  <c r="S259" i="12" s="1"/>
  <c r="EX433" i="12"/>
  <c r="FL433" i="12" s="1"/>
  <c r="FN433" i="12" s="1"/>
  <c r="FQ433" i="12" s="1"/>
  <c r="BG433" i="12"/>
  <c r="BL433" i="12" s="1"/>
  <c r="BR433" i="12" s="1"/>
  <c r="ER433" i="12"/>
  <c r="V259" i="12" s="1"/>
  <c r="FO489" i="12"/>
  <c r="FP488" i="12"/>
  <c r="CR467" i="12"/>
  <c r="CX467" i="12" s="1"/>
  <c r="CN468" i="12" s="1"/>
  <c r="FY407" i="12"/>
  <c r="GQ407" i="12" s="1"/>
  <c r="HA407" i="12" s="1"/>
  <c r="DX408" i="12"/>
  <c r="EA408" i="12" s="1"/>
  <c r="DK408" i="12" s="1"/>
  <c r="DD409" i="12" s="1"/>
  <c r="M37" i="15" l="1"/>
  <c r="P37" i="15" s="1"/>
  <c r="CH433" i="12"/>
  <c r="FL430" i="12"/>
  <c r="FN430" i="12" s="1"/>
  <c r="FQ430" i="12" s="1"/>
  <c r="FL427" i="12"/>
  <c r="FN427" i="12" s="1"/>
  <c r="FQ427" i="12" s="1"/>
  <c r="FL429" i="12"/>
  <c r="FJ429" i="12" s="1"/>
  <c r="FD429" i="12" s="1"/>
  <c r="FL431" i="12"/>
  <c r="FJ431" i="12" s="1"/>
  <c r="FD431" i="12" s="1"/>
  <c r="FL423" i="12"/>
  <c r="FJ423" i="12" s="1"/>
  <c r="FD423" i="12" s="1"/>
  <c r="FL426" i="12"/>
  <c r="FN426" i="12" s="1"/>
  <c r="FQ426" i="12" s="1"/>
  <c r="FL425" i="12"/>
  <c r="FJ425" i="12" s="1"/>
  <c r="FD425" i="12" s="1"/>
  <c r="FL424" i="12"/>
  <c r="FJ424" i="12" s="1"/>
  <c r="FD424" i="12" s="1"/>
  <c r="FL422" i="12"/>
  <c r="FN422" i="12" s="1"/>
  <c r="FQ422" i="12" s="1"/>
  <c r="FL432" i="12"/>
  <c r="FJ432" i="12" s="1"/>
  <c r="FD432" i="12" s="1"/>
  <c r="M37" i="14"/>
  <c r="P37" i="14" s="1"/>
  <c r="FL428" i="12"/>
  <c r="FN428" i="12" s="1"/>
  <c r="FQ428" i="12" s="1"/>
  <c r="FJ433" i="12"/>
  <c r="FD433" i="12" s="1"/>
  <c r="F505" i="12"/>
  <c r="K502" i="12" s="1"/>
  <c r="BH434" i="12"/>
  <c r="G37" i="14"/>
  <c r="FO490" i="12"/>
  <c r="FP489" i="12"/>
  <c r="DH409" i="12"/>
  <c r="DU409" i="12"/>
  <c r="DQ409" i="12"/>
  <c r="CR468" i="12"/>
  <c r="CX468" i="12" s="1"/>
  <c r="CN469" i="12" s="1"/>
  <c r="GC407" i="12"/>
  <c r="FT408" i="12" s="1"/>
  <c r="G37" i="15" l="1"/>
  <c r="BX434" i="12"/>
  <c r="G505" i="12"/>
  <c r="L502" i="12" s="1"/>
  <c r="FN432" i="12"/>
  <c r="FQ432" i="12" s="1"/>
  <c r="FJ427" i="12"/>
  <c r="FD427" i="12" s="1"/>
  <c r="FN423" i="12"/>
  <c r="FQ423" i="12" s="1"/>
  <c r="FJ430" i="12"/>
  <c r="FD430" i="12" s="1"/>
  <c r="FN431" i="12"/>
  <c r="FQ431" i="12" s="1"/>
  <c r="FJ426" i="12"/>
  <c r="FD426" i="12" s="1"/>
  <c r="FN425" i="12"/>
  <c r="FQ425" i="12" s="1"/>
  <c r="FJ428" i="12"/>
  <c r="FD428" i="12" s="1"/>
  <c r="FN429" i="12"/>
  <c r="FQ429" i="12" s="1"/>
  <c r="FJ422" i="12"/>
  <c r="FD422" i="12" s="1"/>
  <c r="FN424" i="12"/>
  <c r="FQ424" i="12" s="1"/>
  <c r="BD434" i="12"/>
  <c r="BE434" i="12" s="1"/>
  <c r="D39" i="14"/>
  <c r="FP490" i="12"/>
  <c r="FO491" i="12"/>
  <c r="CR469" i="12"/>
  <c r="M43" i="16" s="1"/>
  <c r="FY408" i="12"/>
  <c r="GQ408" i="12" s="1"/>
  <c r="HA408" i="12" s="1"/>
  <c r="HA337" i="12" s="1"/>
  <c r="H441" i="12" s="1"/>
  <c r="N441" i="12" s="1"/>
  <c r="GH409" i="12"/>
  <c r="O255" i="12" s="1"/>
  <c r="AP21" i="22"/>
  <c r="DX409" i="12"/>
  <c r="AS21" i="22" s="1"/>
  <c r="GL409" i="12"/>
  <c r="Q255" i="12" s="1"/>
  <c r="AJ21" i="22"/>
  <c r="D39" i="15" l="1"/>
  <c r="C39" i="15" s="1"/>
  <c r="G259" i="12"/>
  <c r="L259" i="12"/>
  <c r="C39" i="14"/>
  <c r="EX434" i="12"/>
  <c r="DC434" i="12"/>
  <c r="DP434" i="12" s="1"/>
  <c r="EF434" i="12"/>
  <c r="ER434" i="12"/>
  <c r="CM434" i="12"/>
  <c r="GU434" i="12"/>
  <c r="GV434" i="12" s="1"/>
  <c r="FR434" i="12" s="1"/>
  <c r="BW434" i="12"/>
  <c r="CB434" i="12" s="1"/>
  <c r="CH434" i="12" s="1"/>
  <c r="BX435" i="12" s="1"/>
  <c r="CU434" i="12"/>
  <c r="CE434" i="12"/>
  <c r="BO434" i="12"/>
  <c r="BG434" i="12"/>
  <c r="BL434" i="12" s="1"/>
  <c r="BR434" i="12" s="1"/>
  <c r="BH435" i="12" s="1"/>
  <c r="FO492" i="12"/>
  <c r="FP491" i="12"/>
  <c r="EA409" i="12"/>
  <c r="DK409" i="12" s="1"/>
  <c r="DD410" i="12" s="1"/>
  <c r="AV19" i="22"/>
  <c r="GC408" i="12"/>
  <c r="FT409" i="12" s="1"/>
  <c r="CX469" i="12"/>
  <c r="BD435" i="12" l="1"/>
  <c r="BE435" i="12" s="1"/>
  <c r="FO493" i="12"/>
  <c r="FP492" i="12"/>
  <c r="FY409" i="12"/>
  <c r="AN19" i="22"/>
  <c r="J498" i="12"/>
  <c r="CC101" i="22"/>
  <c r="CD101" i="22" s="1"/>
  <c r="H514" i="12"/>
  <c r="G43" i="16"/>
  <c r="CN470" i="12"/>
  <c r="DQ410" i="12"/>
  <c r="AG23" i="22"/>
  <c r="DU410" i="12"/>
  <c r="DH410" i="12"/>
  <c r="EF435" i="12" l="1"/>
  <c r="CU435" i="12"/>
  <c r="GU435" i="12"/>
  <c r="GV435" i="12" s="1"/>
  <c r="FR435" i="12" s="1"/>
  <c r="BW435" i="12"/>
  <c r="CB435" i="12" s="1"/>
  <c r="CH435" i="12" s="1"/>
  <c r="BX436" i="12" s="1"/>
  <c r="BG435" i="12"/>
  <c r="BL435" i="12" s="1"/>
  <c r="BR435" i="12" s="1"/>
  <c r="BH436" i="12" s="1"/>
  <c r="CM435" i="12"/>
  <c r="CE435" i="12"/>
  <c r="DC435" i="12"/>
  <c r="DP435" i="12" s="1"/>
  <c r="ER435" i="12"/>
  <c r="BO435" i="12"/>
  <c r="EX435" i="12"/>
  <c r="FO494" i="12"/>
  <c r="FP493" i="12"/>
  <c r="GH410" i="12"/>
  <c r="DX410" i="12"/>
  <c r="EA410" i="12" s="1"/>
  <c r="DK410" i="12" s="1"/>
  <c r="DD411" i="12" s="1"/>
  <c r="D45" i="16"/>
  <c r="C45" i="16" s="1"/>
  <c r="CR470" i="12"/>
  <c r="GL410" i="12"/>
  <c r="CB103" i="22"/>
  <c r="I503" i="12"/>
  <c r="AF23" i="22"/>
  <c r="CA103" i="22" s="1"/>
  <c r="GQ409" i="12"/>
  <c r="HB409" i="12" s="1"/>
  <c r="Y255" i="12"/>
  <c r="GC409" i="12"/>
  <c r="N511" i="12"/>
  <c r="BD436" i="12" l="1"/>
  <c r="BE436" i="12" s="1"/>
  <c r="FP494" i="12"/>
  <c r="FO495" i="12"/>
  <c r="DQ411" i="12"/>
  <c r="DU411" i="12"/>
  <c r="DH411" i="12"/>
  <c r="FT410" i="12"/>
  <c r="BZ102" i="22"/>
  <c r="CX470" i="12"/>
  <c r="CN471" i="12" s="1"/>
  <c r="G707" i="12"/>
  <c r="V593" i="12"/>
  <c r="AA255" i="12"/>
  <c r="O500" i="12"/>
  <c r="BW436" i="12" l="1"/>
  <c r="CB436" i="12" s="1"/>
  <c r="CH436" i="12" s="1"/>
  <c r="BX437" i="12" s="1"/>
  <c r="EX436" i="12"/>
  <c r="CM436" i="12"/>
  <c r="EF436" i="12"/>
  <c r="GU436" i="12"/>
  <c r="GV436" i="12" s="1"/>
  <c r="FR436" i="12" s="1"/>
  <c r="CE436" i="12"/>
  <c r="BG436" i="12"/>
  <c r="BL436" i="12" s="1"/>
  <c r="BR436" i="12" s="1"/>
  <c r="BH437" i="12" s="1"/>
  <c r="DC436" i="12"/>
  <c r="DP436" i="12" s="1"/>
  <c r="BO436" i="12"/>
  <c r="ER436" i="12"/>
  <c r="CU436" i="12"/>
  <c r="K707" i="12"/>
  <c r="AT707" i="12" s="1"/>
  <c r="X707" i="12" s="1"/>
  <c r="AC707" i="12" s="1"/>
  <c r="P707" i="12"/>
  <c r="S707" i="12"/>
  <c r="FO496" i="12"/>
  <c r="FP495" i="12"/>
  <c r="AP442" i="12"/>
  <c r="AH255" i="12"/>
  <c r="FY410" i="12"/>
  <c r="DX411" i="12"/>
  <c r="O593" i="12"/>
  <c r="Y593" i="12"/>
  <c r="CR471" i="12"/>
  <c r="CX471" i="12" s="1"/>
  <c r="CN472" i="12" s="1"/>
  <c r="GH411" i="12"/>
  <c r="GL411" i="12"/>
  <c r="BD437" i="12" l="1"/>
  <c r="BE437" i="12" s="1"/>
  <c r="FP496" i="12"/>
  <c r="FO497" i="12"/>
  <c r="CR472" i="12"/>
  <c r="CX472" i="12" s="1"/>
  <c r="CN473" i="12" s="1"/>
  <c r="AJ707" i="12"/>
  <c r="EA411" i="12"/>
  <c r="DK411" i="12" s="1"/>
  <c r="DD412" i="12" s="1"/>
  <c r="GQ410" i="12"/>
  <c r="GC410" i="12"/>
  <c r="FT411" i="12" s="1"/>
  <c r="F590" i="12"/>
  <c r="AU255" i="12"/>
  <c r="ER437" i="12" l="1"/>
  <c r="BW437" i="12"/>
  <c r="CB437" i="12" s="1"/>
  <c r="CH437" i="12" s="1"/>
  <c r="BX438" i="12" s="1"/>
  <c r="EF437" i="12"/>
  <c r="BO437" i="12"/>
  <c r="BG437" i="12"/>
  <c r="BL437" i="12" s="1"/>
  <c r="BR437" i="12" s="1"/>
  <c r="BH438" i="12" s="1"/>
  <c r="DC437" i="12"/>
  <c r="DP437" i="12" s="1"/>
  <c r="EX437" i="12"/>
  <c r="CE437" i="12"/>
  <c r="CM437" i="12"/>
  <c r="CU437" i="12"/>
  <c r="GU437" i="12"/>
  <c r="GV437" i="12" s="1"/>
  <c r="FR437" i="12" s="1"/>
  <c r="HB410" i="12"/>
  <c r="FO498" i="12"/>
  <c r="FP497" i="12"/>
  <c r="CR473" i="12"/>
  <c r="I591" i="12"/>
  <c r="L592" i="12"/>
  <c r="F118" i="23"/>
  <c r="DQ412" i="12"/>
  <c r="DU412" i="12"/>
  <c r="DH412" i="12"/>
  <c r="FY411" i="12"/>
  <c r="BD438" i="12" l="1"/>
  <c r="BE438" i="12" s="1"/>
  <c r="FP498" i="12"/>
  <c r="FO499" i="12"/>
  <c r="GL412" i="12"/>
  <c r="DX412" i="12"/>
  <c r="EA412" i="12" s="1"/>
  <c r="DK412" i="12" s="1"/>
  <c r="DD413" i="12" s="1"/>
  <c r="GQ411" i="12"/>
  <c r="GC411" i="12"/>
  <c r="GH412" i="12"/>
  <c r="J117" i="23"/>
  <c r="CX473" i="12"/>
  <c r="CN474" i="12" s="1"/>
  <c r="GU438" i="12" l="1"/>
  <c r="GV438" i="12" s="1"/>
  <c r="FR438" i="12" s="1"/>
  <c r="BW438" i="12"/>
  <c r="CB438" i="12" s="1"/>
  <c r="CH438" i="12" s="1"/>
  <c r="BX439" i="12" s="1"/>
  <c r="BG438" i="12"/>
  <c r="BL438" i="12" s="1"/>
  <c r="BR438" i="12" s="1"/>
  <c r="BH439" i="12" s="1"/>
  <c r="EX438" i="12"/>
  <c r="CE438" i="12"/>
  <c r="EF438" i="12"/>
  <c r="CM438" i="12"/>
  <c r="CU438" i="12"/>
  <c r="BO438" i="12"/>
  <c r="ER438" i="12"/>
  <c r="DC438" i="12"/>
  <c r="DP438" i="12" s="1"/>
  <c r="HB411" i="12"/>
  <c r="FO500" i="12"/>
  <c r="FP499" i="12"/>
  <c r="FT412" i="12"/>
  <c r="FY412" i="12" s="1"/>
  <c r="DQ413" i="12"/>
  <c r="DU413" i="12"/>
  <c r="DH413" i="12"/>
  <c r="CR474" i="12"/>
  <c r="CX474" i="12" s="1"/>
  <c r="CN475" i="12" s="1"/>
  <c r="BD439" i="12" l="1"/>
  <c r="BE439" i="12" s="1"/>
  <c r="FP500" i="12"/>
  <c r="FO501" i="12"/>
  <c r="GH413" i="12"/>
  <c r="GQ412" i="12"/>
  <c r="HB412" i="12" s="1"/>
  <c r="GC412" i="12"/>
  <c r="GL413" i="12"/>
  <c r="DX413" i="12"/>
  <c r="EA413" i="12" s="1"/>
  <c r="DK413" i="12" s="1"/>
  <c r="DD414" i="12" s="1"/>
  <c r="CR475" i="12"/>
  <c r="CX475" i="12" s="1"/>
  <c r="CN476" i="12" s="1"/>
  <c r="BW439" i="12" l="1"/>
  <c r="CB439" i="12" s="1"/>
  <c r="CH439" i="12" s="1"/>
  <c r="BX440" i="12" s="1"/>
  <c r="DC439" i="12"/>
  <c r="DP439" i="12" s="1"/>
  <c r="GU439" i="12"/>
  <c r="GV439" i="12" s="1"/>
  <c r="FR439" i="12" s="1"/>
  <c r="ER439" i="12"/>
  <c r="EF439" i="12"/>
  <c r="CU439" i="12"/>
  <c r="CE439" i="12"/>
  <c r="EX439" i="12"/>
  <c r="BG439" i="12"/>
  <c r="BL439" i="12" s="1"/>
  <c r="BR439" i="12" s="1"/>
  <c r="BH440" i="12" s="1"/>
  <c r="CM439" i="12"/>
  <c r="BO439" i="12"/>
  <c r="FP501" i="12"/>
  <c r="FO502" i="12"/>
  <c r="DU414" i="12"/>
  <c r="DQ414" i="12"/>
  <c r="DH414" i="12"/>
  <c r="CR476" i="12"/>
  <c r="CX476" i="12" s="1"/>
  <c r="CN477" i="12" s="1"/>
  <c r="FT413" i="12"/>
  <c r="BD440" i="12" l="1"/>
  <c r="BE440" i="12" s="1"/>
  <c r="FO503" i="12"/>
  <c r="FP502" i="12"/>
  <c r="CR477" i="12"/>
  <c r="CX477" i="12" s="1"/>
  <c r="CN478" i="12" s="1"/>
  <c r="FY413" i="12"/>
  <c r="GH414" i="12"/>
  <c r="DX414" i="12"/>
  <c r="EA414" i="12" s="1"/>
  <c r="DK414" i="12" s="1"/>
  <c r="DD415" i="12" s="1"/>
  <c r="GL414" i="12"/>
  <c r="CU440" i="12" l="1"/>
  <c r="EX440" i="12"/>
  <c r="GU440" i="12"/>
  <c r="GV440" i="12" s="1"/>
  <c r="FR440" i="12" s="1"/>
  <c r="CE440" i="12"/>
  <c r="BW440" i="12"/>
  <c r="CB440" i="12" s="1"/>
  <c r="CH440" i="12" s="1"/>
  <c r="BX441" i="12" s="1"/>
  <c r="DC440" i="12"/>
  <c r="DP440" i="12" s="1"/>
  <c r="CM440" i="12"/>
  <c r="EF440" i="12"/>
  <c r="ER440" i="12"/>
  <c r="BG440" i="12"/>
  <c r="BL440" i="12" s="1"/>
  <c r="BR440" i="12" s="1"/>
  <c r="BH441" i="12" s="1"/>
  <c r="BO440" i="12"/>
  <c r="FP503" i="12"/>
  <c r="FO504" i="12"/>
  <c r="CR478" i="12"/>
  <c r="CX478" i="12" s="1"/>
  <c r="CN479" i="12" s="1"/>
  <c r="DU415" i="12"/>
  <c r="GH415" i="12" s="1"/>
  <c r="DQ415" i="12"/>
  <c r="DH415" i="12"/>
  <c r="GL415" i="12" s="1"/>
  <c r="GQ413" i="12"/>
  <c r="HB413" i="12" s="1"/>
  <c r="GC413" i="12"/>
  <c r="FT414" i="12" s="1"/>
  <c r="BD441" i="12" l="1"/>
  <c r="BE441" i="12" s="1"/>
  <c r="FO505" i="12"/>
  <c r="FP504" i="12"/>
  <c r="CR479" i="12"/>
  <c r="CX479" i="12" s="1"/>
  <c r="CN480" i="12" s="1"/>
  <c r="FY414" i="12"/>
  <c r="GC414" i="12" s="1"/>
  <c r="FT415" i="12" s="1"/>
  <c r="DX415" i="12"/>
  <c r="EA415" i="12" s="1"/>
  <c r="DK415" i="12" s="1"/>
  <c r="DD416" i="12" s="1"/>
  <c r="EX441" i="12" l="1"/>
  <c r="CE441" i="12"/>
  <c r="CM441" i="12"/>
  <c r="GU441" i="12"/>
  <c r="GV441" i="12" s="1"/>
  <c r="FR441" i="12" s="1"/>
  <c r="CU441" i="12"/>
  <c r="ER441" i="12"/>
  <c r="BW441" i="12"/>
  <c r="CB441" i="12" s="1"/>
  <c r="CH441" i="12" s="1"/>
  <c r="BX442" i="12" s="1"/>
  <c r="DC441" i="12"/>
  <c r="DP441" i="12" s="1"/>
  <c r="BO441" i="12"/>
  <c r="EF441" i="12"/>
  <c r="BG441" i="12"/>
  <c r="BL441" i="12" s="1"/>
  <c r="BR441" i="12" s="1"/>
  <c r="BH442" i="12" s="1"/>
  <c r="FP505" i="12"/>
  <c r="FO506" i="12"/>
  <c r="FY415" i="12"/>
  <c r="GQ415" i="12" s="1"/>
  <c r="DU416" i="12"/>
  <c r="GH416" i="12" s="1"/>
  <c r="DQ416" i="12"/>
  <c r="DH416" i="12"/>
  <c r="GL416" i="12" s="1"/>
  <c r="CR480" i="12"/>
  <c r="CX480" i="12" s="1"/>
  <c r="CN481" i="12" s="1"/>
  <c r="GQ414" i="12"/>
  <c r="HB414" i="12" s="1"/>
  <c r="BD442" i="12" l="1"/>
  <c r="BE442" i="12" s="1"/>
  <c r="HB415" i="12"/>
  <c r="FO507" i="12"/>
  <c r="FP506" i="12"/>
  <c r="CR481" i="12"/>
  <c r="M45" i="16" s="1"/>
  <c r="DX416" i="12"/>
  <c r="EA416" i="12" s="1"/>
  <c r="DK416" i="12" s="1"/>
  <c r="DD417" i="12" s="1"/>
  <c r="GC415" i="12"/>
  <c r="FT416" i="12" s="1"/>
  <c r="EX442" i="12" l="1"/>
  <c r="GU442" i="12"/>
  <c r="GV442" i="12" s="1"/>
  <c r="FR442" i="12" s="1"/>
  <c r="BW442" i="12"/>
  <c r="CB442" i="12" s="1"/>
  <c r="CH442" i="12" s="1"/>
  <c r="BX443" i="12" s="1"/>
  <c r="CE442" i="12"/>
  <c r="DC442" i="12"/>
  <c r="DP442" i="12" s="1"/>
  <c r="CM442" i="12"/>
  <c r="EF442" i="12"/>
  <c r="BG442" i="12"/>
  <c r="BL442" i="12" s="1"/>
  <c r="CU442" i="12"/>
  <c r="ER442" i="12"/>
  <c r="BO442" i="12"/>
  <c r="FO508" i="12"/>
  <c r="FP507" i="12"/>
  <c r="CX481" i="12"/>
  <c r="CN482" i="12" s="1"/>
  <c r="DU417" i="12"/>
  <c r="GH417" i="12" s="1"/>
  <c r="DQ417" i="12"/>
  <c r="DH417" i="12"/>
  <c r="GL417" i="12" s="1"/>
  <c r="FY416" i="12"/>
  <c r="GQ416" i="12" s="1"/>
  <c r="HB416" i="12" s="1"/>
  <c r="BR442" i="12" l="1"/>
  <c r="BH443" i="12" s="1"/>
  <c r="H517" i="12"/>
  <c r="N514" i="12" s="1"/>
  <c r="FO509" i="12"/>
  <c r="FP508" i="12"/>
  <c r="G45" i="16"/>
  <c r="GC416" i="12"/>
  <c r="FT417" i="12" s="1"/>
  <c r="DX417" i="12"/>
  <c r="EA417" i="12" s="1"/>
  <c r="DK417" i="12" s="1"/>
  <c r="DD418" i="12" s="1"/>
  <c r="D47" i="16"/>
  <c r="C47" i="16" s="1"/>
  <c r="CR482" i="12"/>
  <c r="CX482" i="12" s="1"/>
  <c r="CN483" i="12" s="1"/>
  <c r="BD443" i="12" l="1"/>
  <c r="BE443" i="12" s="1"/>
  <c r="FP509" i="12"/>
  <c r="FO510" i="12"/>
  <c r="DQ418" i="12"/>
  <c r="DU418" i="12"/>
  <c r="GH418" i="12" s="1"/>
  <c r="DH418" i="12"/>
  <c r="GL418" i="12" s="1"/>
  <c r="CR483" i="12"/>
  <c r="CX483" i="12" s="1"/>
  <c r="CN484" i="12" s="1"/>
  <c r="FY417" i="12"/>
  <c r="GQ417" i="12" s="1"/>
  <c r="HB417" i="12" s="1"/>
  <c r="BG443" i="12" l="1"/>
  <c r="BL443" i="12" s="1"/>
  <c r="CE443" i="12"/>
  <c r="EF443" i="12"/>
  <c r="ER443" i="12"/>
  <c r="CU443" i="12"/>
  <c r="BO443" i="12"/>
  <c r="EX443" i="12"/>
  <c r="BW443" i="12"/>
  <c r="CB443" i="12" s="1"/>
  <c r="CH443" i="12" s="1"/>
  <c r="BX444" i="12" s="1"/>
  <c r="GU443" i="12"/>
  <c r="GV443" i="12" s="1"/>
  <c r="FR443" i="12" s="1"/>
  <c r="DC443" i="12"/>
  <c r="DP443" i="12" s="1"/>
  <c r="CM443" i="12"/>
  <c r="FO511" i="12"/>
  <c r="FP510" i="12"/>
  <c r="CR484" i="12"/>
  <c r="GC417" i="12"/>
  <c r="FT418" i="12" s="1"/>
  <c r="DX418" i="12"/>
  <c r="EA418" i="12" s="1"/>
  <c r="DK418" i="12" s="1"/>
  <c r="DD419" i="12" s="1"/>
  <c r="BR443" i="12" l="1"/>
  <c r="BH444" i="12" s="1"/>
  <c r="FO512" i="12"/>
  <c r="FP511" i="12"/>
  <c r="DU419" i="12"/>
  <c r="GH419" i="12" s="1"/>
  <c r="DQ419" i="12"/>
  <c r="DH419" i="12"/>
  <c r="GL419" i="12" s="1"/>
  <c r="FY418" i="12"/>
  <c r="GQ418" i="12" s="1"/>
  <c r="HB418" i="12" s="1"/>
  <c r="CX484" i="12"/>
  <c r="CN485" i="12" s="1"/>
  <c r="BD444" i="12" l="1"/>
  <c r="BE444" i="12" s="1"/>
  <c r="FO513" i="12"/>
  <c r="FP512" i="12"/>
  <c r="CR485" i="12"/>
  <c r="DX419" i="12"/>
  <c r="EA419" i="12" s="1"/>
  <c r="DK419" i="12" s="1"/>
  <c r="DD420" i="12" s="1"/>
  <c r="GC418" i="12"/>
  <c r="FT419" i="12" s="1"/>
  <c r="GU444" i="12" l="1"/>
  <c r="GV444" i="12" s="1"/>
  <c r="FR444" i="12" s="1"/>
  <c r="CM444" i="12"/>
  <c r="BW444" i="12"/>
  <c r="CB444" i="12" s="1"/>
  <c r="CH444" i="12" s="1"/>
  <c r="BX445" i="12" s="1"/>
  <c r="CE444" i="12"/>
  <c r="BO444" i="12"/>
  <c r="ER444" i="12"/>
  <c r="CU444" i="12"/>
  <c r="DC444" i="12"/>
  <c r="DP444" i="12" s="1"/>
  <c r="EX444" i="12"/>
  <c r="BG444" i="12"/>
  <c r="BL444" i="12" s="1"/>
  <c r="EF444" i="12"/>
  <c r="FO514" i="12"/>
  <c r="FP513" i="12"/>
  <c r="FY419" i="12"/>
  <c r="GQ419" i="12" s="1"/>
  <c r="HB419" i="12" s="1"/>
  <c r="CX485" i="12"/>
  <c r="CN486" i="12" s="1"/>
  <c r="DU420" i="12"/>
  <c r="GH420" i="12" s="1"/>
  <c r="DQ420" i="12"/>
  <c r="DH420" i="12"/>
  <c r="GL420" i="12" s="1"/>
  <c r="BR444" i="12" l="1"/>
  <c r="BH445" i="12" s="1"/>
  <c r="FP514" i="12"/>
  <c r="FO515" i="12"/>
  <c r="DX420" i="12"/>
  <c r="EA420" i="12" s="1"/>
  <c r="DK420" i="12" s="1"/>
  <c r="DD421" i="12" s="1"/>
  <c r="GC419" i="12"/>
  <c r="FT420" i="12" s="1"/>
  <c r="CR486" i="12"/>
  <c r="CX486" i="12" s="1"/>
  <c r="CN487" i="12" s="1"/>
  <c r="BD445" i="12" l="1"/>
  <c r="BE445" i="12" s="1"/>
  <c r="FP515" i="12"/>
  <c r="FO516" i="12"/>
  <c r="CR487" i="12"/>
  <c r="CX487" i="12" s="1"/>
  <c r="CN488" i="12" s="1"/>
  <c r="FY420" i="12"/>
  <c r="GQ420" i="12" s="1"/>
  <c r="HB420" i="12" s="1"/>
  <c r="HB337" i="12" s="1"/>
  <c r="H442" i="12" s="1"/>
  <c r="N442" i="12" s="1"/>
  <c r="DQ421" i="12"/>
  <c r="DU421" i="12"/>
  <c r="DH421" i="12"/>
  <c r="BG445" i="12" l="1"/>
  <c r="BL445" i="12" s="1"/>
  <c r="CU445" i="12"/>
  <c r="J39" i="16" s="1"/>
  <c r="P39" i="16" s="1"/>
  <c r="EF445" i="12"/>
  <c r="S261" i="12" s="1"/>
  <c r="BW445" i="12"/>
  <c r="CB445" i="12" s="1"/>
  <c r="DC445" i="12"/>
  <c r="DP445" i="12" s="1"/>
  <c r="CE445" i="12"/>
  <c r="J39" i="15" s="1"/>
  <c r="GU445" i="12"/>
  <c r="GV445" i="12" s="1"/>
  <c r="CM445" i="12"/>
  <c r="ER445" i="12"/>
  <c r="V261" i="12" s="1"/>
  <c r="EX445" i="12"/>
  <c r="BO445" i="12"/>
  <c r="J39" i="14" s="1"/>
  <c r="FO517" i="12"/>
  <c r="FP516" i="12"/>
  <c r="GL421" i="12"/>
  <c r="Q257" i="12" s="1"/>
  <c r="AJ23" i="22"/>
  <c r="DX421" i="12"/>
  <c r="AS23" i="22" s="1"/>
  <c r="GC420" i="12"/>
  <c r="CR488" i="12"/>
  <c r="CX488" i="12" s="1"/>
  <c r="CN489" i="12" s="1"/>
  <c r="GH421" i="12"/>
  <c r="O257" i="12" s="1"/>
  <c r="AP23" i="22"/>
  <c r="M39" i="15" l="1"/>
  <c r="P39" i="15" s="1"/>
  <c r="CH445" i="12"/>
  <c r="FL445" i="12"/>
  <c r="FN445" i="12" s="1"/>
  <c r="FQ445" i="12" s="1"/>
  <c r="FL444" i="12"/>
  <c r="FL439" i="12"/>
  <c r="FL434" i="12"/>
  <c r="FL436" i="12"/>
  <c r="FL440" i="12"/>
  <c r="FL443" i="12"/>
  <c r="FL442" i="12"/>
  <c r="FL435" i="12"/>
  <c r="FL437" i="12"/>
  <c r="FL441" i="12"/>
  <c r="FL438" i="12"/>
  <c r="BR445" i="12"/>
  <c r="M39" i="14"/>
  <c r="P39" i="14" s="1"/>
  <c r="EA421" i="12"/>
  <c r="DK421" i="12" s="1"/>
  <c r="DD422" i="12" s="1"/>
  <c r="DU422" i="12" s="1"/>
  <c r="FP517" i="12"/>
  <c r="FO518" i="12"/>
  <c r="AV21" i="22"/>
  <c r="FT421" i="12"/>
  <c r="CR489" i="12"/>
  <c r="CX489" i="12" s="1"/>
  <c r="CN490" i="12" s="1"/>
  <c r="G39" i="15" l="1"/>
  <c r="BX446" i="12"/>
  <c r="G508" i="12"/>
  <c r="FJ445" i="12"/>
  <c r="FD445" i="12" s="1"/>
  <c r="F508" i="12"/>
  <c r="K505" i="12" s="1"/>
  <c r="BH446" i="12"/>
  <c r="G39" i="14"/>
  <c r="FN434" i="12"/>
  <c r="FQ434" i="12" s="1"/>
  <c r="FJ434" i="12"/>
  <c r="FD434" i="12" s="1"/>
  <c r="FN441" i="12"/>
  <c r="FQ441" i="12" s="1"/>
  <c r="FJ441" i="12"/>
  <c r="FD441" i="12" s="1"/>
  <c r="FN439" i="12"/>
  <c r="FQ439" i="12" s="1"/>
  <c r="FJ439" i="12"/>
  <c r="FD439" i="12" s="1"/>
  <c r="FN438" i="12"/>
  <c r="FQ438" i="12" s="1"/>
  <c r="FJ438" i="12"/>
  <c r="FD438" i="12" s="1"/>
  <c r="FN444" i="12"/>
  <c r="FQ444" i="12" s="1"/>
  <c r="FJ444" i="12"/>
  <c r="FD444" i="12" s="1"/>
  <c r="FJ440" i="12"/>
  <c r="FD440" i="12" s="1"/>
  <c r="FN440" i="12"/>
  <c r="FQ440" i="12" s="1"/>
  <c r="FN435" i="12"/>
  <c r="FQ435" i="12" s="1"/>
  <c r="FJ435" i="12"/>
  <c r="FD435" i="12" s="1"/>
  <c r="FN436" i="12"/>
  <c r="FQ436" i="12" s="1"/>
  <c r="FJ436" i="12"/>
  <c r="FD436" i="12" s="1"/>
  <c r="FJ437" i="12"/>
  <c r="FD437" i="12" s="1"/>
  <c r="FN437" i="12"/>
  <c r="FQ437" i="12" s="1"/>
  <c r="FN442" i="12"/>
  <c r="FQ442" i="12" s="1"/>
  <c r="FJ442" i="12"/>
  <c r="FD442" i="12" s="1"/>
  <c r="FN443" i="12"/>
  <c r="FQ443" i="12" s="1"/>
  <c r="FJ443" i="12"/>
  <c r="FD443" i="12" s="1"/>
  <c r="DH422" i="12"/>
  <c r="GL422" i="12" s="1"/>
  <c r="AG25" i="22"/>
  <c r="CB104" i="22" s="1"/>
  <c r="DQ422" i="12"/>
  <c r="DX422" i="12" s="1"/>
  <c r="EA422" i="12" s="1"/>
  <c r="DK422" i="12" s="1"/>
  <c r="DD423" i="12" s="1"/>
  <c r="FP518" i="12"/>
  <c r="FO519" i="12"/>
  <c r="CR490" i="12"/>
  <c r="CX490" i="12" s="1"/>
  <c r="CN491" i="12" s="1"/>
  <c r="GH422" i="12"/>
  <c r="CC102" i="22"/>
  <c r="CD102" i="22" s="1"/>
  <c r="AN21" i="22"/>
  <c r="J501" i="12"/>
  <c r="FY421" i="12"/>
  <c r="GC421" i="12" s="1"/>
  <c r="D41" i="15" l="1"/>
  <c r="L505" i="12"/>
  <c r="G261" i="12"/>
  <c r="L261" i="12"/>
  <c r="D41" i="14"/>
  <c r="BD446" i="12"/>
  <c r="BE446" i="12" s="1"/>
  <c r="I506" i="12"/>
  <c r="O503" i="12" s="1"/>
  <c r="FT422" i="12"/>
  <c r="FY422" i="12" s="1"/>
  <c r="AF25" i="22"/>
  <c r="CA104" i="22" s="1"/>
  <c r="BZ103" i="22" s="1"/>
  <c r="FO520" i="12"/>
  <c r="FP519" i="12"/>
  <c r="DU423" i="12"/>
  <c r="DQ423" i="12"/>
  <c r="DH423" i="12"/>
  <c r="CR491" i="12"/>
  <c r="CX491" i="12" s="1"/>
  <c r="CN492" i="12" s="1"/>
  <c r="GQ421" i="12"/>
  <c r="HC421" i="12" s="1"/>
  <c r="Y257" i="12"/>
  <c r="C41" i="15" l="1"/>
  <c r="C41" i="14"/>
  <c r="ER446" i="12"/>
  <c r="GU446" i="12"/>
  <c r="GV446" i="12" s="1"/>
  <c r="FR446" i="12" s="1"/>
  <c r="DC446" i="12"/>
  <c r="DP446" i="12" s="1"/>
  <c r="BG446" i="12"/>
  <c r="BL446" i="12" s="1"/>
  <c r="BR446" i="12" s="1"/>
  <c r="BH447" i="12" s="1"/>
  <c r="CM446" i="12"/>
  <c r="EX446" i="12"/>
  <c r="CU446" i="12"/>
  <c r="EF446" i="12"/>
  <c r="CE446" i="12"/>
  <c r="BW446" i="12"/>
  <c r="CB446" i="12" s="1"/>
  <c r="CH446" i="12" s="1"/>
  <c r="BX447" i="12" s="1"/>
  <c r="BO446" i="12"/>
  <c r="FO521" i="12"/>
  <c r="FP520" i="12"/>
  <c r="CR492" i="12"/>
  <c r="CX492" i="12" s="1"/>
  <c r="CN493" i="12" s="1"/>
  <c r="V598" i="12"/>
  <c r="G708" i="12"/>
  <c r="AA257" i="12"/>
  <c r="GQ422" i="12"/>
  <c r="GC422" i="12"/>
  <c r="DX423" i="12"/>
  <c r="GL423" i="12"/>
  <c r="GH423" i="12"/>
  <c r="BD447" i="12" l="1"/>
  <c r="BE447" i="12" s="1"/>
  <c r="HC422" i="12"/>
  <c r="K708" i="12"/>
  <c r="AT708" i="12" s="1"/>
  <c r="X708" i="12" s="1"/>
  <c r="P708" i="12"/>
  <c r="S708" i="12"/>
  <c r="FP521" i="12"/>
  <c r="FO522" i="12"/>
  <c r="CR493" i="12"/>
  <c r="M47" i="16" s="1"/>
  <c r="EA423" i="12"/>
  <c r="DK423" i="12" s="1"/>
  <c r="DD424" i="12" s="1"/>
  <c r="AP443" i="12"/>
  <c r="AH257" i="12"/>
  <c r="Y598" i="12"/>
  <c r="O598" i="12"/>
  <c r="FT423" i="12"/>
  <c r="ER447" i="12" l="1"/>
  <c r="CE447" i="12"/>
  <c r="EX447" i="12"/>
  <c r="CU447" i="12"/>
  <c r="DC447" i="12"/>
  <c r="DP447" i="12" s="1"/>
  <c r="BG447" i="12"/>
  <c r="BL447" i="12" s="1"/>
  <c r="BR447" i="12" s="1"/>
  <c r="BH448" i="12" s="1"/>
  <c r="CM447" i="12"/>
  <c r="BO447" i="12"/>
  <c r="BW447" i="12"/>
  <c r="CB447" i="12" s="1"/>
  <c r="CH447" i="12" s="1"/>
  <c r="BX448" i="12" s="1"/>
  <c r="EF447" i="12"/>
  <c r="GU447" i="12"/>
  <c r="GV447" i="12" s="1"/>
  <c r="FR447" i="12" s="1"/>
  <c r="FO523" i="12"/>
  <c r="FP522" i="12"/>
  <c r="FY423" i="12"/>
  <c r="AC708" i="12"/>
  <c r="F595" i="12"/>
  <c r="AU257" i="12"/>
  <c r="DU424" i="12"/>
  <c r="DQ424" i="12"/>
  <c r="DH424" i="12"/>
  <c r="CX493" i="12"/>
  <c r="BD448" i="12" l="1"/>
  <c r="BE448" i="12" s="1"/>
  <c r="FO524" i="12"/>
  <c r="FP523" i="12"/>
  <c r="GQ423" i="12"/>
  <c r="GC423" i="12"/>
  <c r="GL424" i="12"/>
  <c r="GH424" i="12"/>
  <c r="F119" i="23"/>
  <c r="I596" i="12"/>
  <c r="L597" i="12"/>
  <c r="AJ708" i="12"/>
  <c r="H520" i="12"/>
  <c r="CN494" i="12"/>
  <c r="G47" i="16"/>
  <c r="DX424" i="12"/>
  <c r="EA424" i="12" s="1"/>
  <c r="DK424" i="12" s="1"/>
  <c r="DD425" i="12" s="1"/>
  <c r="BO448" i="12" l="1"/>
  <c r="CM448" i="12"/>
  <c r="BW448" i="12"/>
  <c r="CB448" i="12" s="1"/>
  <c r="CH448" i="12" s="1"/>
  <c r="BX449" i="12" s="1"/>
  <c r="CU448" i="12"/>
  <c r="DC448" i="12"/>
  <c r="DP448" i="12" s="1"/>
  <c r="ER448" i="12"/>
  <c r="BG448" i="12"/>
  <c r="BL448" i="12" s="1"/>
  <c r="CE448" i="12"/>
  <c r="EX448" i="12"/>
  <c r="GU448" i="12"/>
  <c r="GV448" i="12" s="1"/>
  <c r="FR448" i="12" s="1"/>
  <c r="EF448" i="12"/>
  <c r="HC423" i="12"/>
  <c r="FO525" i="12"/>
  <c r="FP524" i="12"/>
  <c r="DQ425" i="12"/>
  <c r="DU425" i="12"/>
  <c r="DH425" i="12"/>
  <c r="N517" i="12"/>
  <c r="FT424" i="12"/>
  <c r="CR494" i="12"/>
  <c r="CX494" i="12" s="1"/>
  <c r="CN495" i="12" s="1"/>
  <c r="D49" i="16"/>
  <c r="C49" i="16" s="1"/>
  <c r="J118" i="23"/>
  <c r="BR448" i="12" l="1"/>
  <c r="BH449" i="12" s="1"/>
  <c r="FO526" i="12"/>
  <c r="FP525" i="12"/>
  <c r="CR495" i="12"/>
  <c r="CX495" i="12" s="1"/>
  <c r="CN496" i="12" s="1"/>
  <c r="GH425" i="12"/>
  <c r="FY424" i="12"/>
  <c r="GL425" i="12"/>
  <c r="DX425" i="12"/>
  <c r="EA425" i="12" s="1"/>
  <c r="DK425" i="12" s="1"/>
  <c r="DD426" i="12" s="1"/>
  <c r="BD449" i="12" l="1"/>
  <c r="BE449" i="12" s="1"/>
  <c r="FO527" i="12"/>
  <c r="FP526" i="12"/>
  <c r="DU426" i="12"/>
  <c r="DQ426" i="12"/>
  <c r="DH426" i="12"/>
  <c r="CR496" i="12"/>
  <c r="CX496" i="12" s="1"/>
  <c r="CN497" i="12" s="1"/>
  <c r="GQ424" i="12"/>
  <c r="GC424" i="12"/>
  <c r="FT425" i="12" s="1"/>
  <c r="CE449" i="12" l="1"/>
  <c r="CU449" i="12"/>
  <c r="GU449" i="12"/>
  <c r="GV449" i="12" s="1"/>
  <c r="FR449" i="12" s="1"/>
  <c r="EX449" i="12"/>
  <c r="EF449" i="12"/>
  <c r="DC449" i="12"/>
  <c r="DP449" i="12" s="1"/>
  <c r="CM449" i="12"/>
  <c r="ER449" i="12"/>
  <c r="BO449" i="12"/>
  <c r="BW449" i="12"/>
  <c r="CB449" i="12" s="1"/>
  <c r="CH449" i="12" s="1"/>
  <c r="BX450" i="12" s="1"/>
  <c r="BG449" i="12"/>
  <c r="BL449" i="12" s="1"/>
  <c r="HC424" i="12"/>
  <c r="FP527" i="12"/>
  <c r="FO528" i="12"/>
  <c r="FY425" i="12"/>
  <c r="CR497" i="12"/>
  <c r="CX497" i="12" s="1"/>
  <c r="CN498" i="12" s="1"/>
  <c r="GL426" i="12"/>
  <c r="GH426" i="12"/>
  <c r="DX426" i="12"/>
  <c r="EA426" i="12" s="1"/>
  <c r="DK426" i="12" s="1"/>
  <c r="DD427" i="12" s="1"/>
  <c r="BR449" i="12" l="1"/>
  <c r="BH450" i="12" s="1"/>
  <c r="FP528" i="12"/>
  <c r="FO529" i="12"/>
  <c r="DQ427" i="12"/>
  <c r="DU427" i="12"/>
  <c r="GH427" i="12" s="1"/>
  <c r="DH427" i="12"/>
  <c r="GL427" i="12" s="1"/>
  <c r="CR498" i="12"/>
  <c r="CX498" i="12" s="1"/>
  <c r="CN499" i="12" s="1"/>
  <c r="GQ425" i="12"/>
  <c r="HC425" i="12" s="1"/>
  <c r="GC425" i="12"/>
  <c r="FT426" i="12" s="1"/>
  <c r="BD450" i="12" l="1"/>
  <c r="BE450" i="12" s="1"/>
  <c r="FP529" i="12"/>
  <c r="FO530" i="12"/>
  <c r="CR499" i="12"/>
  <c r="CX499" i="12" s="1"/>
  <c r="CN500" i="12" s="1"/>
  <c r="DX427" i="12"/>
  <c r="EA427" i="12" s="1"/>
  <c r="DK427" i="12" s="1"/>
  <c r="DD428" i="12" s="1"/>
  <c r="FY426" i="12"/>
  <c r="BG450" i="12" l="1"/>
  <c r="BL450" i="12" s="1"/>
  <c r="ER450" i="12"/>
  <c r="CE450" i="12"/>
  <c r="BW450" i="12"/>
  <c r="CB450" i="12" s="1"/>
  <c r="CH450" i="12" s="1"/>
  <c r="BX451" i="12" s="1"/>
  <c r="CU450" i="12"/>
  <c r="BO450" i="12"/>
  <c r="EX450" i="12"/>
  <c r="DC450" i="12"/>
  <c r="DP450" i="12" s="1"/>
  <c r="GU450" i="12"/>
  <c r="GV450" i="12" s="1"/>
  <c r="FR450" i="12" s="1"/>
  <c r="CM450" i="12"/>
  <c r="EF450" i="12"/>
  <c r="FP530" i="12"/>
  <c r="FO531" i="12"/>
  <c r="DU428" i="12"/>
  <c r="GH428" i="12" s="1"/>
  <c r="DQ428" i="12"/>
  <c r="DH428" i="12"/>
  <c r="GL428" i="12" s="1"/>
  <c r="CR500" i="12"/>
  <c r="CX500" i="12" s="1"/>
  <c r="CN501" i="12" s="1"/>
  <c r="GQ426" i="12"/>
  <c r="HC426" i="12" s="1"/>
  <c r="GC426" i="12"/>
  <c r="FT427" i="12" s="1"/>
  <c r="BR450" i="12" l="1"/>
  <c r="BH451" i="12" s="1"/>
  <c r="FP531" i="12"/>
  <c r="FO532" i="12"/>
  <c r="CR501" i="12"/>
  <c r="CX501" i="12" s="1"/>
  <c r="CN502" i="12" s="1"/>
  <c r="DX428" i="12"/>
  <c r="EA428" i="12" s="1"/>
  <c r="DK428" i="12" s="1"/>
  <c r="DD429" i="12" s="1"/>
  <c r="FY427" i="12"/>
  <c r="GQ427" i="12" s="1"/>
  <c r="HC427" i="12" s="1"/>
  <c r="BD451" i="12" l="1"/>
  <c r="BE451" i="12" s="1"/>
  <c r="FP532" i="12"/>
  <c r="FO533" i="12"/>
  <c r="CR502" i="12"/>
  <c r="CX502" i="12" s="1"/>
  <c r="CN503" i="12" s="1"/>
  <c r="DU429" i="12"/>
  <c r="GH429" i="12" s="1"/>
  <c r="DQ429" i="12"/>
  <c r="DH429" i="12"/>
  <c r="GL429" i="12" s="1"/>
  <c r="GC427" i="12"/>
  <c r="FT428" i="12" s="1"/>
  <c r="GU451" i="12" l="1"/>
  <c r="GV451" i="12" s="1"/>
  <c r="FR451" i="12" s="1"/>
  <c r="EF451" i="12"/>
  <c r="BW451" i="12"/>
  <c r="CB451" i="12" s="1"/>
  <c r="CH451" i="12" s="1"/>
  <c r="BX452" i="12" s="1"/>
  <c r="CM451" i="12"/>
  <c r="BO451" i="12"/>
  <c r="EX451" i="12"/>
  <c r="CU451" i="12"/>
  <c r="ER451" i="12"/>
  <c r="BG451" i="12"/>
  <c r="BL451" i="12" s="1"/>
  <c r="DC451" i="12"/>
  <c r="DP451" i="12" s="1"/>
  <c r="CE451" i="12"/>
  <c r="FO534" i="12"/>
  <c r="FP533" i="12"/>
  <c r="CR503" i="12"/>
  <c r="CX503" i="12" s="1"/>
  <c r="CN504" i="12" s="1"/>
  <c r="FY428" i="12"/>
  <c r="GQ428" i="12" s="1"/>
  <c r="HC428" i="12" s="1"/>
  <c r="DX429" i="12"/>
  <c r="EA429" i="12" s="1"/>
  <c r="DK429" i="12" s="1"/>
  <c r="DD430" i="12" s="1"/>
  <c r="BR451" i="12" l="1"/>
  <c r="BH452" i="12" s="1"/>
  <c r="FO535" i="12"/>
  <c r="FP534" i="12"/>
  <c r="CR504" i="12"/>
  <c r="CX504" i="12" s="1"/>
  <c r="CN505" i="12" s="1"/>
  <c r="DU430" i="12"/>
  <c r="GH430" i="12" s="1"/>
  <c r="DQ430" i="12"/>
  <c r="DH430" i="12"/>
  <c r="GL430" i="12" s="1"/>
  <c r="GC428" i="12"/>
  <c r="FT429" i="12" s="1"/>
  <c r="BD452" i="12" l="1"/>
  <c r="BE452" i="12" s="1"/>
  <c r="FP535" i="12"/>
  <c r="FO536" i="12"/>
  <c r="CR505" i="12"/>
  <c r="M49" i="16" s="1"/>
  <c r="FY429" i="12"/>
  <c r="GQ429" i="12" s="1"/>
  <c r="HC429" i="12" s="1"/>
  <c r="DX430" i="12"/>
  <c r="EA430" i="12" s="1"/>
  <c r="DK430" i="12" s="1"/>
  <c r="DD431" i="12" s="1"/>
  <c r="GU452" i="12" l="1"/>
  <c r="GV452" i="12" s="1"/>
  <c r="FR452" i="12" s="1"/>
  <c r="ER452" i="12"/>
  <c r="BO452" i="12"/>
  <c r="CM452" i="12"/>
  <c r="EF452" i="12"/>
  <c r="DC452" i="12"/>
  <c r="DP452" i="12" s="1"/>
  <c r="CE452" i="12"/>
  <c r="BG452" i="12"/>
  <c r="BL452" i="12" s="1"/>
  <c r="BR452" i="12" s="1"/>
  <c r="BH453" i="12" s="1"/>
  <c r="EX452" i="12"/>
  <c r="CU452" i="12"/>
  <c r="BW452" i="12"/>
  <c r="CB452" i="12" s="1"/>
  <c r="CH452" i="12" s="1"/>
  <c r="BX453" i="12" s="1"/>
  <c r="FP536" i="12"/>
  <c r="FO537" i="12"/>
  <c r="DU431" i="12"/>
  <c r="GH431" i="12" s="1"/>
  <c r="DQ431" i="12"/>
  <c r="DH431" i="12"/>
  <c r="GL431" i="12" s="1"/>
  <c r="GC429" i="12"/>
  <c r="FT430" i="12" s="1"/>
  <c r="CX505" i="12"/>
  <c r="BD453" i="12" l="1"/>
  <c r="BE453" i="12" s="1"/>
  <c r="FP537" i="12"/>
  <c r="FO538" i="12"/>
  <c r="FY430" i="12"/>
  <c r="GQ430" i="12" s="1"/>
  <c r="HC430" i="12" s="1"/>
  <c r="H523" i="12"/>
  <c r="G49" i="16"/>
  <c r="CN506" i="12"/>
  <c r="DX431" i="12"/>
  <c r="EA431" i="12" s="1"/>
  <c r="DK431" i="12" s="1"/>
  <c r="DD432" i="12" s="1"/>
  <c r="ER453" i="12" l="1"/>
  <c r="EX453" i="12"/>
  <c r="CE453" i="12"/>
  <c r="EF453" i="12"/>
  <c r="CM453" i="12"/>
  <c r="GU453" i="12"/>
  <c r="GV453" i="12" s="1"/>
  <c r="FR453" i="12" s="1"/>
  <c r="BW453" i="12"/>
  <c r="CB453" i="12" s="1"/>
  <c r="CH453" i="12" s="1"/>
  <c r="BX454" i="12" s="1"/>
  <c r="CU453" i="12"/>
  <c r="BG453" i="12"/>
  <c r="BL453" i="12" s="1"/>
  <c r="BR453" i="12" s="1"/>
  <c r="BH454" i="12" s="1"/>
  <c r="DC453" i="12"/>
  <c r="DP453" i="12" s="1"/>
  <c r="BO453" i="12"/>
  <c r="FP538" i="12"/>
  <c r="FO539" i="12"/>
  <c r="DQ432" i="12"/>
  <c r="DU432" i="12"/>
  <c r="GH432" i="12" s="1"/>
  <c r="DH432" i="12"/>
  <c r="GL432" i="12" s="1"/>
  <c r="GC430" i="12"/>
  <c r="FT431" i="12" s="1"/>
  <c r="D51" i="16"/>
  <c r="C51" i="16" s="1"/>
  <c r="CR506" i="12"/>
  <c r="N520" i="12"/>
  <c r="BD454" i="12" l="1"/>
  <c r="BE454" i="12" s="1"/>
  <c r="FO540" i="12"/>
  <c r="FP539" i="12"/>
  <c r="DX432" i="12"/>
  <c r="EA432" i="12" s="1"/>
  <c r="DK432" i="12" s="1"/>
  <c r="DD433" i="12" s="1"/>
  <c r="CX506" i="12"/>
  <c r="CN507" i="12" s="1"/>
  <c r="FY431" i="12"/>
  <c r="GQ431" i="12" s="1"/>
  <c r="HC431" i="12" s="1"/>
  <c r="BG454" i="12" l="1"/>
  <c r="BL454" i="12" s="1"/>
  <c r="BR454" i="12" s="1"/>
  <c r="BH455" i="12" s="1"/>
  <c r="BO454" i="12"/>
  <c r="GU454" i="12"/>
  <c r="GV454" i="12" s="1"/>
  <c r="FR454" i="12" s="1"/>
  <c r="CU454" i="12"/>
  <c r="EF454" i="12"/>
  <c r="ER454" i="12"/>
  <c r="DC454" i="12"/>
  <c r="DP454" i="12" s="1"/>
  <c r="BW454" i="12"/>
  <c r="CB454" i="12" s="1"/>
  <c r="CH454" i="12" s="1"/>
  <c r="BX455" i="12" s="1"/>
  <c r="CE454" i="12"/>
  <c r="EX454" i="12"/>
  <c r="CM454" i="12"/>
  <c r="FP540" i="12"/>
  <c r="FO541" i="12"/>
  <c r="DU433" i="12"/>
  <c r="DQ433" i="12"/>
  <c r="DH433" i="12"/>
  <c r="GC431" i="12"/>
  <c r="FT432" i="12" s="1"/>
  <c r="CR507" i="12"/>
  <c r="CX507" i="12" s="1"/>
  <c r="CN508" i="12" s="1"/>
  <c r="BD455" i="12" l="1"/>
  <c r="BE455" i="12" s="1"/>
  <c r="FO542" i="12"/>
  <c r="FP541" i="12"/>
  <c r="GH433" i="12"/>
  <c r="O259" i="12" s="1"/>
  <c r="AP25" i="22"/>
  <c r="FY432" i="12"/>
  <c r="GQ432" i="12" s="1"/>
  <c r="HC432" i="12" s="1"/>
  <c r="HC337" i="12" s="1"/>
  <c r="H443" i="12" s="1"/>
  <c r="N443" i="12" s="1"/>
  <c r="DX433" i="12"/>
  <c r="AS25" i="22" s="1"/>
  <c r="CR508" i="12"/>
  <c r="CX508" i="12" s="1"/>
  <c r="CN509" i="12" s="1"/>
  <c r="GL433" i="12"/>
  <c r="Q259" i="12" s="1"/>
  <c r="AJ25" i="22"/>
  <c r="ER455" i="12" l="1"/>
  <c r="EF455" i="12"/>
  <c r="BW455" i="12"/>
  <c r="CB455" i="12" s="1"/>
  <c r="CH455" i="12" s="1"/>
  <c r="BX456" i="12" s="1"/>
  <c r="BG455" i="12"/>
  <c r="BL455" i="12" s="1"/>
  <c r="BR455" i="12" s="1"/>
  <c r="BH456" i="12" s="1"/>
  <c r="CU455" i="12"/>
  <c r="BO455" i="12"/>
  <c r="CE455" i="12"/>
  <c r="DC455" i="12"/>
  <c r="DP455" i="12" s="1"/>
  <c r="EX455" i="12"/>
  <c r="CM455" i="12"/>
  <c r="GU455" i="12"/>
  <c r="GV455" i="12" s="1"/>
  <c r="FR455" i="12" s="1"/>
  <c r="FO543" i="12"/>
  <c r="FP542" i="12"/>
  <c r="CR509" i="12"/>
  <c r="CX509" i="12" s="1"/>
  <c r="CN510" i="12" s="1"/>
  <c r="AV23" i="22"/>
  <c r="EA433" i="12"/>
  <c r="DK433" i="12" s="1"/>
  <c r="DD434" i="12" s="1"/>
  <c r="GC432" i="12"/>
  <c r="FT433" i="12" s="1"/>
  <c r="BD456" i="12" l="1"/>
  <c r="BE456" i="12" s="1"/>
  <c r="FP543" i="12"/>
  <c r="FO544" i="12"/>
  <c r="FY433" i="12"/>
  <c r="DU434" i="12"/>
  <c r="AG27" i="22"/>
  <c r="DQ434" i="12"/>
  <c r="DH434" i="12"/>
  <c r="J504" i="12"/>
  <c r="AN23" i="22"/>
  <c r="CC103" i="22"/>
  <c r="CD103" i="22" s="1"/>
  <c r="CR510" i="12"/>
  <c r="CX510" i="12" s="1"/>
  <c r="CN511" i="12" s="1"/>
  <c r="BO456" i="12" l="1"/>
  <c r="GU456" i="12"/>
  <c r="GV456" i="12" s="1"/>
  <c r="FR456" i="12" s="1"/>
  <c r="CE456" i="12"/>
  <c r="DC456" i="12"/>
  <c r="DP456" i="12" s="1"/>
  <c r="BW456" i="12"/>
  <c r="CB456" i="12" s="1"/>
  <c r="CH456" i="12" s="1"/>
  <c r="BX457" i="12" s="1"/>
  <c r="CU456" i="12"/>
  <c r="BG456" i="12"/>
  <c r="BL456" i="12" s="1"/>
  <c r="BR456" i="12" s="1"/>
  <c r="BH457" i="12" s="1"/>
  <c r="CM456" i="12"/>
  <c r="EF456" i="12"/>
  <c r="EX456" i="12"/>
  <c r="ER456" i="12"/>
  <c r="FP544" i="12"/>
  <c r="FO545" i="12"/>
  <c r="GL434" i="12"/>
  <c r="CB105" i="22"/>
  <c r="I509" i="12"/>
  <c r="AF27" i="22"/>
  <c r="CA105" i="22" s="1"/>
  <c r="DX434" i="12"/>
  <c r="EA434" i="12" s="1"/>
  <c r="DK434" i="12" s="1"/>
  <c r="DD435" i="12" s="1"/>
  <c r="GH434" i="12"/>
  <c r="GQ433" i="12"/>
  <c r="HD433" i="12" s="1"/>
  <c r="Y259" i="12"/>
  <c r="GC433" i="12"/>
  <c r="CR511" i="12"/>
  <c r="CX511" i="12" s="1"/>
  <c r="CN512" i="12" s="1"/>
  <c r="BD457" i="12" l="1"/>
  <c r="BE457" i="12" s="1"/>
  <c r="FP545" i="12"/>
  <c r="FO546" i="12"/>
  <c r="FT434" i="12"/>
  <c r="FY434" i="12" s="1"/>
  <c r="CR512" i="12"/>
  <c r="CX512" i="12" s="1"/>
  <c r="CN513" i="12" s="1"/>
  <c r="DU435" i="12"/>
  <c r="DQ435" i="12"/>
  <c r="DH435" i="12"/>
  <c r="V603" i="12"/>
  <c r="AA259" i="12"/>
  <c r="G709" i="12"/>
  <c r="O506" i="12"/>
  <c r="BZ104" i="22"/>
  <c r="CE457" i="12" l="1"/>
  <c r="J41" i="15" s="1"/>
  <c r="DC457" i="12"/>
  <c r="DP457" i="12" s="1"/>
  <c r="BG457" i="12"/>
  <c r="BL457" i="12" s="1"/>
  <c r="CU457" i="12"/>
  <c r="J41" i="16" s="1"/>
  <c r="P41" i="16" s="1"/>
  <c r="ER457" i="12"/>
  <c r="V263" i="12" s="1"/>
  <c r="CM457" i="12"/>
  <c r="BW457" i="12"/>
  <c r="CB457" i="12" s="1"/>
  <c r="EX457" i="12"/>
  <c r="BO457" i="12"/>
  <c r="J41" i="14" s="1"/>
  <c r="GU457" i="12"/>
  <c r="GV457" i="12" s="1"/>
  <c r="EF457" i="12"/>
  <c r="S263" i="12" s="1"/>
  <c r="K709" i="12"/>
  <c r="AT709" i="12" s="1"/>
  <c r="X709" i="12" s="1"/>
  <c r="AC709" i="12" s="1"/>
  <c r="S709" i="12"/>
  <c r="P709" i="12"/>
  <c r="FP546" i="12"/>
  <c r="FO547" i="12"/>
  <c r="O603" i="12"/>
  <c r="Y603" i="12"/>
  <c r="DX435" i="12"/>
  <c r="EA435" i="12" s="1"/>
  <c r="DK435" i="12" s="1"/>
  <c r="DD436" i="12" s="1"/>
  <c r="CR513" i="12"/>
  <c r="CX513" i="12" s="1"/>
  <c r="CN514" i="12" s="1"/>
  <c r="GQ434" i="12"/>
  <c r="GC434" i="12"/>
  <c r="AP444" i="12"/>
  <c r="AH259" i="12"/>
  <c r="GL435" i="12"/>
  <c r="GH435" i="12"/>
  <c r="M41" i="15" l="1"/>
  <c r="P41" i="15" s="1"/>
  <c r="CH457" i="12"/>
  <c r="BR457" i="12"/>
  <c r="M41" i="14"/>
  <c r="P41" i="14" s="1"/>
  <c r="FL457" i="12"/>
  <c r="FN457" i="12" s="1"/>
  <c r="FQ457" i="12" s="1"/>
  <c r="FL449" i="12"/>
  <c r="FL448" i="12"/>
  <c r="FL446" i="12"/>
  <c r="FL447" i="12"/>
  <c r="FL450" i="12"/>
  <c r="FL451" i="12"/>
  <c r="FL452" i="12"/>
  <c r="FL456" i="12"/>
  <c r="FL455" i="12"/>
  <c r="FL453" i="12"/>
  <c r="FL454" i="12"/>
  <c r="HD434" i="12"/>
  <c r="FP547" i="12"/>
  <c r="FO548" i="12"/>
  <c r="CR514" i="12"/>
  <c r="CX514" i="12" s="1"/>
  <c r="CN515" i="12" s="1"/>
  <c r="DQ436" i="12"/>
  <c r="DU436" i="12"/>
  <c r="DH436" i="12"/>
  <c r="AU259" i="12"/>
  <c r="F600" i="12"/>
  <c r="FT435" i="12"/>
  <c r="AJ709" i="12"/>
  <c r="G41" i="15" l="1"/>
  <c r="BX458" i="12"/>
  <c r="G511" i="12"/>
  <c r="L508" i="12" s="1"/>
  <c r="FJ457" i="12"/>
  <c r="FD457" i="12" s="1"/>
  <c r="FN447" i="12"/>
  <c r="FQ447" i="12" s="1"/>
  <c r="FJ447" i="12"/>
  <c r="FD447" i="12" s="1"/>
  <c r="FN446" i="12"/>
  <c r="FQ446" i="12" s="1"/>
  <c r="FJ446" i="12"/>
  <c r="FD446" i="12" s="1"/>
  <c r="FN453" i="12"/>
  <c r="FQ453" i="12" s="1"/>
  <c r="FJ453" i="12"/>
  <c r="FD453" i="12" s="1"/>
  <c r="FN448" i="12"/>
  <c r="FQ448" i="12" s="1"/>
  <c r="FJ448" i="12"/>
  <c r="FD448" i="12" s="1"/>
  <c r="FN455" i="12"/>
  <c r="FQ455" i="12" s="1"/>
  <c r="FJ455" i="12"/>
  <c r="FD455" i="12" s="1"/>
  <c r="FN449" i="12"/>
  <c r="FQ449" i="12" s="1"/>
  <c r="FJ449" i="12"/>
  <c r="FD449" i="12" s="1"/>
  <c r="FN452" i="12"/>
  <c r="FQ452" i="12" s="1"/>
  <c r="FJ452" i="12"/>
  <c r="FD452" i="12" s="1"/>
  <c r="FN454" i="12"/>
  <c r="FQ454" i="12" s="1"/>
  <c r="FJ454" i="12"/>
  <c r="FD454" i="12" s="1"/>
  <c r="FN456" i="12"/>
  <c r="FQ456" i="12" s="1"/>
  <c r="FJ456" i="12"/>
  <c r="FD456" i="12" s="1"/>
  <c r="FN451" i="12"/>
  <c r="FQ451" i="12" s="1"/>
  <c r="FJ451" i="12"/>
  <c r="FD451" i="12" s="1"/>
  <c r="FN450" i="12"/>
  <c r="FQ450" i="12" s="1"/>
  <c r="FJ450" i="12"/>
  <c r="FD450" i="12" s="1"/>
  <c r="F511" i="12"/>
  <c r="G41" i="14"/>
  <c r="BH458" i="12"/>
  <c r="FP548" i="12"/>
  <c r="FO549" i="12"/>
  <c r="CR515" i="12"/>
  <c r="CX515" i="12" s="1"/>
  <c r="CN516" i="12" s="1"/>
  <c r="GH436" i="12"/>
  <c r="FY435" i="12"/>
  <c r="I601" i="12"/>
  <c r="F120" i="23"/>
  <c r="L602" i="12"/>
  <c r="GL436" i="12"/>
  <c r="DX436" i="12"/>
  <c r="EA436" i="12" s="1"/>
  <c r="DK436" i="12" s="1"/>
  <c r="DD437" i="12" s="1"/>
  <c r="D43" i="15" l="1"/>
  <c r="K508" i="12"/>
  <c r="G263" i="12"/>
  <c r="L263" i="12"/>
  <c r="D43" i="14"/>
  <c r="BD458" i="12"/>
  <c r="BE458" i="12" s="1"/>
  <c r="FO550" i="12"/>
  <c r="FP549" i="12"/>
  <c r="CR516" i="12"/>
  <c r="CX516" i="12" s="1"/>
  <c r="CN517" i="12" s="1"/>
  <c r="DQ437" i="12"/>
  <c r="DU437" i="12"/>
  <c r="DH437" i="12"/>
  <c r="GQ435" i="12"/>
  <c r="J119" i="23"/>
  <c r="GC435" i="12"/>
  <c r="FT436" i="12" s="1"/>
  <c r="C43" i="15" l="1"/>
  <c r="C43" i="14"/>
  <c r="CM458" i="12"/>
  <c r="BW458" i="12"/>
  <c r="CB458" i="12" s="1"/>
  <c r="CH458" i="12" s="1"/>
  <c r="BX459" i="12" s="1"/>
  <c r="DC458" i="12"/>
  <c r="DP458" i="12" s="1"/>
  <c r="BG458" i="12"/>
  <c r="BL458" i="12" s="1"/>
  <c r="BO458" i="12"/>
  <c r="EF458" i="12"/>
  <c r="ER458" i="12"/>
  <c r="GU458" i="12"/>
  <c r="GV458" i="12" s="1"/>
  <c r="FR458" i="12" s="1"/>
  <c r="EX458" i="12"/>
  <c r="CU458" i="12"/>
  <c r="CE458" i="12"/>
  <c r="HD435" i="12"/>
  <c r="FO551" i="12"/>
  <c r="FP550" i="12"/>
  <c r="FY436" i="12"/>
  <c r="GH437" i="12"/>
  <c r="GL437" i="12"/>
  <c r="DX437" i="12"/>
  <c r="EA437" i="12" s="1"/>
  <c r="DK437" i="12" s="1"/>
  <c r="DD438" i="12" s="1"/>
  <c r="CR517" i="12"/>
  <c r="M51" i="16" s="1"/>
  <c r="BR458" i="12" l="1"/>
  <c r="BH459" i="12" s="1"/>
  <c r="FO552" i="12"/>
  <c r="FP551" i="12"/>
  <c r="DU438" i="12"/>
  <c r="DQ438" i="12"/>
  <c r="DH438" i="12"/>
  <c r="CX517" i="12"/>
  <c r="GQ436" i="12"/>
  <c r="HD436" i="12" s="1"/>
  <c r="GC436" i="12"/>
  <c r="FT437" i="12" s="1"/>
  <c r="BD459" i="12" l="1"/>
  <c r="BE459" i="12" s="1"/>
  <c r="FO553" i="12"/>
  <c r="FP552" i="12"/>
  <c r="CN518" i="12"/>
  <c r="H526" i="12"/>
  <c r="G51" i="16"/>
  <c r="DX438" i="12"/>
  <c r="EA438" i="12" s="1"/>
  <c r="DK438" i="12" s="1"/>
  <c r="DD439" i="12" s="1"/>
  <c r="FY437" i="12"/>
  <c r="GL438" i="12"/>
  <c r="GH438" i="12"/>
  <c r="CM459" i="12" l="1"/>
  <c r="ER459" i="12"/>
  <c r="DC459" i="12"/>
  <c r="DP459" i="12" s="1"/>
  <c r="BG459" i="12"/>
  <c r="BL459" i="12" s="1"/>
  <c r="CE459" i="12"/>
  <c r="EF459" i="12"/>
  <c r="CU459" i="12"/>
  <c r="EX459" i="12"/>
  <c r="BW459" i="12"/>
  <c r="CB459" i="12" s="1"/>
  <c r="CH459" i="12" s="1"/>
  <c r="BX460" i="12" s="1"/>
  <c r="GU459" i="12"/>
  <c r="GV459" i="12" s="1"/>
  <c r="FR459" i="12" s="1"/>
  <c r="BO459" i="12"/>
  <c r="FO554" i="12"/>
  <c r="FP553" i="12"/>
  <c r="DU439" i="12"/>
  <c r="GH439" i="12" s="1"/>
  <c r="DQ439" i="12"/>
  <c r="DH439" i="12"/>
  <c r="GL439" i="12" s="1"/>
  <c r="D53" i="16"/>
  <c r="C53" i="16" s="1"/>
  <c r="CR518" i="12"/>
  <c r="GQ437" i="12"/>
  <c r="HD437" i="12" s="1"/>
  <c r="GC437" i="12"/>
  <c r="FT438" i="12" s="1"/>
  <c r="N523" i="12"/>
  <c r="BR459" i="12" l="1"/>
  <c r="BH460" i="12" s="1"/>
  <c r="FO555" i="12"/>
  <c r="FP554" i="12"/>
  <c r="FY438" i="12"/>
  <c r="CX518" i="12"/>
  <c r="CN519" i="12" s="1"/>
  <c r="DX439" i="12"/>
  <c r="EA439" i="12" s="1"/>
  <c r="DK439" i="12" s="1"/>
  <c r="DD440" i="12" s="1"/>
  <c r="BD460" i="12" l="1"/>
  <c r="BE460" i="12" s="1"/>
  <c r="FO556" i="12"/>
  <c r="FP555" i="12"/>
  <c r="DU440" i="12"/>
  <c r="GH440" i="12" s="1"/>
  <c r="DQ440" i="12"/>
  <c r="DH440" i="12"/>
  <c r="GL440" i="12" s="1"/>
  <c r="GQ438" i="12"/>
  <c r="HD438" i="12" s="1"/>
  <c r="GC438" i="12"/>
  <c r="FT439" i="12" s="1"/>
  <c r="CR519" i="12"/>
  <c r="CX519" i="12" s="1"/>
  <c r="CN520" i="12" s="1"/>
  <c r="EF460" i="12" l="1"/>
  <c r="CE460" i="12"/>
  <c r="DC460" i="12"/>
  <c r="DP460" i="12" s="1"/>
  <c r="GU460" i="12"/>
  <c r="GV460" i="12" s="1"/>
  <c r="FR460" i="12" s="1"/>
  <c r="EX460" i="12"/>
  <c r="BG460" i="12"/>
  <c r="BL460" i="12" s="1"/>
  <c r="CU460" i="12"/>
  <c r="BO460" i="12"/>
  <c r="ER460" i="12"/>
  <c r="CM460" i="12"/>
  <c r="BW460" i="12"/>
  <c r="CB460" i="12" s="1"/>
  <c r="CH460" i="12" s="1"/>
  <c r="BX461" i="12" s="1"/>
  <c r="FO557" i="12"/>
  <c r="FP556" i="12"/>
  <c r="CR520" i="12"/>
  <c r="CX520" i="12" s="1"/>
  <c r="CN521" i="12" s="1"/>
  <c r="FY439" i="12"/>
  <c r="GQ439" i="12" s="1"/>
  <c r="HD439" i="12" s="1"/>
  <c r="DX440" i="12"/>
  <c r="EA440" i="12" s="1"/>
  <c r="DK440" i="12" s="1"/>
  <c r="DD441" i="12" s="1"/>
  <c r="BR460" i="12" l="1"/>
  <c r="BH461" i="12" s="1"/>
  <c r="FP557" i="12"/>
  <c r="FO558" i="12"/>
  <c r="CR521" i="12"/>
  <c r="DU441" i="12"/>
  <c r="GH441" i="12" s="1"/>
  <c r="DQ441" i="12"/>
  <c r="DH441" i="12"/>
  <c r="GL441" i="12" s="1"/>
  <c r="GC439" i="12"/>
  <c r="FT440" i="12" s="1"/>
  <c r="BD461" i="12" l="1"/>
  <c r="BE461" i="12" s="1"/>
  <c r="FP558" i="12"/>
  <c r="FO559" i="12"/>
  <c r="FY440" i="12"/>
  <c r="GQ440" i="12" s="1"/>
  <c r="HD440" i="12" s="1"/>
  <c r="DX441" i="12"/>
  <c r="EA441" i="12" s="1"/>
  <c r="DK441" i="12" s="1"/>
  <c r="DD442" i="12" s="1"/>
  <c r="CX521" i="12"/>
  <c r="CN522" i="12" s="1"/>
  <c r="CU461" i="12" l="1"/>
  <c r="EF461" i="12"/>
  <c r="BO461" i="12"/>
  <c r="CE461" i="12"/>
  <c r="CM461" i="12"/>
  <c r="DC461" i="12"/>
  <c r="DP461" i="12" s="1"/>
  <c r="EX461" i="12"/>
  <c r="BG461" i="12"/>
  <c r="BL461" i="12" s="1"/>
  <c r="BW461" i="12"/>
  <c r="CB461" i="12" s="1"/>
  <c r="CH461" i="12" s="1"/>
  <c r="BX462" i="12" s="1"/>
  <c r="GU461" i="12"/>
  <c r="GV461" i="12" s="1"/>
  <c r="FR461" i="12" s="1"/>
  <c r="ER461" i="12"/>
  <c r="FP559" i="12"/>
  <c r="FO560" i="12"/>
  <c r="DU442" i="12"/>
  <c r="GH442" i="12" s="1"/>
  <c r="DQ442" i="12"/>
  <c r="DH442" i="12"/>
  <c r="GL442" i="12" s="1"/>
  <c r="CR522" i="12"/>
  <c r="CX522" i="12" s="1"/>
  <c r="CN523" i="12" s="1"/>
  <c r="GC440" i="12"/>
  <c r="FT441" i="12" s="1"/>
  <c r="BR461" i="12" l="1"/>
  <c r="BH462" i="12" s="1"/>
  <c r="FP560" i="12"/>
  <c r="FO561" i="12"/>
  <c r="FY441" i="12"/>
  <c r="GQ441" i="12" s="1"/>
  <c r="HD441" i="12" s="1"/>
  <c r="DX442" i="12"/>
  <c r="EA442" i="12" s="1"/>
  <c r="DK442" i="12" s="1"/>
  <c r="DD443" i="12" s="1"/>
  <c r="CR523" i="12"/>
  <c r="CX523" i="12" s="1"/>
  <c r="CN524" i="12" s="1"/>
  <c r="BD462" i="12" l="1"/>
  <c r="BE462" i="12" s="1"/>
  <c r="FO562" i="12"/>
  <c r="FP561" i="12"/>
  <c r="CR524" i="12"/>
  <c r="CX524" i="12" s="1"/>
  <c r="CN525" i="12" s="1"/>
  <c r="DU443" i="12"/>
  <c r="GH443" i="12" s="1"/>
  <c r="DQ443" i="12"/>
  <c r="DH443" i="12"/>
  <c r="GL443" i="12" s="1"/>
  <c r="GC441" i="12"/>
  <c r="FT442" i="12" s="1"/>
  <c r="CM462" i="12" l="1"/>
  <c r="EF462" i="12"/>
  <c r="GU462" i="12"/>
  <c r="GV462" i="12" s="1"/>
  <c r="FR462" i="12" s="1"/>
  <c r="CU462" i="12"/>
  <c r="CE462" i="12"/>
  <c r="BO462" i="12"/>
  <c r="BW462" i="12"/>
  <c r="CB462" i="12" s="1"/>
  <c r="CH462" i="12" s="1"/>
  <c r="BX463" i="12" s="1"/>
  <c r="EX462" i="12"/>
  <c r="BG462" i="12"/>
  <c r="BL462" i="12" s="1"/>
  <c r="ER462" i="12"/>
  <c r="DC462" i="12"/>
  <c r="DP462" i="12" s="1"/>
  <c r="FP562" i="12"/>
  <c r="FO563" i="12"/>
  <c r="CR525" i="12"/>
  <c r="CX525" i="12" s="1"/>
  <c r="CN526" i="12" s="1"/>
  <c r="FY442" i="12"/>
  <c r="GQ442" i="12" s="1"/>
  <c r="HD442" i="12" s="1"/>
  <c r="DX443" i="12"/>
  <c r="EA443" i="12" s="1"/>
  <c r="DK443" i="12" s="1"/>
  <c r="DD444" i="12" s="1"/>
  <c r="BR462" i="12" l="1"/>
  <c r="BH463" i="12" s="1"/>
  <c r="FO564" i="12"/>
  <c r="FP563" i="12"/>
  <c r="CR526" i="12"/>
  <c r="CX526" i="12" s="1"/>
  <c r="CN527" i="12" s="1"/>
  <c r="GC442" i="12"/>
  <c r="FT443" i="12" s="1"/>
  <c r="DU444" i="12"/>
  <c r="GH444" i="12" s="1"/>
  <c r="DQ444" i="12"/>
  <c r="DH444" i="12"/>
  <c r="GL444" i="12" s="1"/>
  <c r="BD463" i="12" l="1"/>
  <c r="BE463" i="12" s="1"/>
  <c r="FP564" i="12"/>
  <c r="FO565" i="12"/>
  <c r="CR527" i="12"/>
  <c r="CX527" i="12" s="1"/>
  <c r="CN528" i="12" s="1"/>
  <c r="DX444" i="12"/>
  <c r="EA444" i="12" s="1"/>
  <c r="DK444" i="12" s="1"/>
  <c r="DD445" i="12" s="1"/>
  <c r="FY443" i="12"/>
  <c r="GQ443" i="12" s="1"/>
  <c r="HD443" i="12" s="1"/>
  <c r="ER463" i="12" l="1"/>
  <c r="CM463" i="12"/>
  <c r="BG463" i="12"/>
  <c r="BL463" i="12" s="1"/>
  <c r="BR463" i="12" s="1"/>
  <c r="BH464" i="12" s="1"/>
  <c r="EF463" i="12"/>
  <c r="CE463" i="12"/>
  <c r="GU463" i="12"/>
  <c r="GV463" i="12" s="1"/>
  <c r="FR463" i="12" s="1"/>
  <c r="BW463" i="12"/>
  <c r="CB463" i="12" s="1"/>
  <c r="CH463" i="12" s="1"/>
  <c r="BX464" i="12" s="1"/>
  <c r="EX463" i="12"/>
  <c r="DC463" i="12"/>
  <c r="DP463" i="12" s="1"/>
  <c r="CU463" i="12"/>
  <c r="BO463" i="12"/>
  <c r="FO566" i="12"/>
  <c r="FP565" i="12"/>
  <c r="CR528" i="12"/>
  <c r="CX528" i="12" s="1"/>
  <c r="CN529" i="12" s="1"/>
  <c r="GC443" i="12"/>
  <c r="FT444" i="12" s="1"/>
  <c r="DQ445" i="12"/>
  <c r="DU445" i="12"/>
  <c r="DH445" i="12"/>
  <c r="BD464" i="12" l="1"/>
  <c r="BE464" i="12" s="1"/>
  <c r="FP566" i="12"/>
  <c r="FO567" i="12"/>
  <c r="GH445" i="12"/>
  <c r="O261" i="12" s="1"/>
  <c r="AP27" i="22"/>
  <c r="FY444" i="12"/>
  <c r="GQ444" i="12" s="1"/>
  <c r="HD444" i="12" s="1"/>
  <c r="HD337" i="12" s="1"/>
  <c r="H444" i="12" s="1"/>
  <c r="N444" i="12" s="1"/>
  <c r="CR529" i="12"/>
  <c r="M53" i="16" s="1"/>
  <c r="GL445" i="12"/>
  <c r="Q261" i="12" s="1"/>
  <c r="AJ27" i="22"/>
  <c r="DX445" i="12"/>
  <c r="AS27" i="22" s="1"/>
  <c r="EX464" i="12" l="1"/>
  <c r="DC464" i="12"/>
  <c r="DP464" i="12" s="1"/>
  <c r="CE464" i="12"/>
  <c r="BG464" i="12"/>
  <c r="BL464" i="12" s="1"/>
  <c r="BR464" i="12" s="1"/>
  <c r="BH465" i="12" s="1"/>
  <c r="CM464" i="12"/>
  <c r="BO464" i="12"/>
  <c r="EF464" i="12"/>
  <c r="BW464" i="12"/>
  <c r="CB464" i="12" s="1"/>
  <c r="CH464" i="12" s="1"/>
  <c r="BX465" i="12" s="1"/>
  <c r="CU464" i="12"/>
  <c r="GU464" i="12"/>
  <c r="GV464" i="12" s="1"/>
  <c r="FR464" i="12" s="1"/>
  <c r="ER464" i="12"/>
  <c r="FO568" i="12"/>
  <c r="FP567" i="12"/>
  <c r="EA445" i="12"/>
  <c r="DK445" i="12" s="1"/>
  <c r="DD446" i="12" s="1"/>
  <c r="DQ446" i="12" s="1"/>
  <c r="CX529" i="12"/>
  <c r="GC444" i="12"/>
  <c r="FT445" i="12" s="1"/>
  <c r="AV25" i="22"/>
  <c r="BD465" i="12" l="1"/>
  <c r="BE465" i="12" s="1"/>
  <c r="FO569" i="12"/>
  <c r="FP568" i="12"/>
  <c r="DH446" i="12"/>
  <c r="GL446" i="12" s="1"/>
  <c r="DU446" i="12"/>
  <c r="GH446" i="12" s="1"/>
  <c r="AG29" i="22"/>
  <c r="CB106" i="22" s="1"/>
  <c r="CN530" i="12"/>
  <c r="G53" i="16"/>
  <c r="H529" i="12"/>
  <c r="J507" i="12"/>
  <c r="AN25" i="22"/>
  <c r="CC104" i="22"/>
  <c r="CD104" i="22" s="1"/>
  <c r="FY445" i="12"/>
  <c r="BW465" i="12" l="1"/>
  <c r="CB465" i="12" s="1"/>
  <c r="CH465" i="12" s="1"/>
  <c r="BX466" i="12" s="1"/>
  <c r="BG465" i="12"/>
  <c r="BL465" i="12" s="1"/>
  <c r="BR465" i="12" s="1"/>
  <c r="BH466" i="12" s="1"/>
  <c r="CE465" i="12"/>
  <c r="DC465" i="12"/>
  <c r="DP465" i="12" s="1"/>
  <c r="CM465" i="12"/>
  <c r="BO465" i="12"/>
  <c r="EF465" i="12"/>
  <c r="CU465" i="12"/>
  <c r="EX465" i="12"/>
  <c r="GU465" i="12"/>
  <c r="GV465" i="12" s="1"/>
  <c r="FR465" i="12" s="1"/>
  <c r="ER465" i="12"/>
  <c r="DX446" i="12"/>
  <c r="EA446" i="12" s="1"/>
  <c r="DK446" i="12" s="1"/>
  <c r="DD447" i="12" s="1"/>
  <c r="AF29" i="22"/>
  <c r="CA106" i="22" s="1"/>
  <c r="BZ105" i="22" s="1"/>
  <c r="FO570" i="12"/>
  <c r="FP569" i="12"/>
  <c r="I512" i="12"/>
  <c r="O509" i="12" s="1"/>
  <c r="GQ445" i="12"/>
  <c r="HE445" i="12" s="1"/>
  <c r="Y261" i="12"/>
  <c r="GC445" i="12"/>
  <c r="FT446" i="12" s="1"/>
  <c r="N526" i="12"/>
  <c r="D55" i="16"/>
  <c r="C55" i="16" s="1"/>
  <c r="CR530" i="12"/>
  <c r="BD466" i="12" l="1"/>
  <c r="BE466" i="12" s="1"/>
  <c r="FP570" i="12"/>
  <c r="FO571" i="12"/>
  <c r="FY446" i="12"/>
  <c r="CX530" i="12"/>
  <c r="CN531" i="12" s="1"/>
  <c r="DU447" i="12"/>
  <c r="DQ447" i="12"/>
  <c r="DH447" i="12"/>
  <c r="G710" i="12"/>
  <c r="V608" i="12"/>
  <c r="AA261" i="12"/>
  <c r="BO466" i="12" l="1"/>
  <c r="CM466" i="12"/>
  <c r="CE466" i="12"/>
  <c r="BG466" i="12"/>
  <c r="BL466" i="12" s="1"/>
  <c r="BR466" i="12" s="1"/>
  <c r="BH467" i="12" s="1"/>
  <c r="EF466" i="12"/>
  <c r="DC466" i="12"/>
  <c r="DP466" i="12" s="1"/>
  <c r="EX466" i="12"/>
  <c r="CU466" i="12"/>
  <c r="BW466" i="12"/>
  <c r="CB466" i="12" s="1"/>
  <c r="CH466" i="12" s="1"/>
  <c r="BX467" i="12" s="1"/>
  <c r="GU466" i="12"/>
  <c r="GV466" i="12" s="1"/>
  <c r="FR466" i="12" s="1"/>
  <c r="ER466" i="12"/>
  <c r="K710" i="12"/>
  <c r="AT710" i="12" s="1"/>
  <c r="X710" i="12" s="1"/>
  <c r="AC710" i="12" s="1"/>
  <c r="P710" i="12"/>
  <c r="S710" i="12"/>
  <c r="FO572" i="12"/>
  <c r="FP571" i="12"/>
  <c r="O608" i="12"/>
  <c r="Y608" i="12"/>
  <c r="GL447" i="12"/>
  <c r="GH447" i="12"/>
  <c r="AP445" i="12"/>
  <c r="AH261" i="12"/>
  <c r="DX447" i="12"/>
  <c r="EA447" i="12" s="1"/>
  <c r="DK447" i="12" s="1"/>
  <c r="DD448" i="12" s="1"/>
  <c r="CR531" i="12"/>
  <c r="CX531" i="12" s="1"/>
  <c r="CN532" i="12" s="1"/>
  <c r="GQ446" i="12"/>
  <c r="GC446" i="12"/>
  <c r="BD467" i="12" l="1"/>
  <c r="BE467" i="12" s="1"/>
  <c r="HE446" i="12"/>
  <c r="FT447" i="12"/>
  <c r="FY447" i="12" s="1"/>
  <c r="FP572" i="12"/>
  <c r="FO573" i="12"/>
  <c r="CR532" i="12"/>
  <c r="CX532" i="12" s="1"/>
  <c r="CN533" i="12" s="1"/>
  <c r="DU448" i="12"/>
  <c r="DQ448" i="12"/>
  <c r="DH448" i="12"/>
  <c r="AJ710" i="12"/>
  <c r="F605" i="12"/>
  <c r="AU261" i="12"/>
  <c r="EX467" i="12" l="1"/>
  <c r="DC467" i="12"/>
  <c r="DP467" i="12" s="1"/>
  <c r="CE467" i="12"/>
  <c r="GU467" i="12"/>
  <c r="GV467" i="12" s="1"/>
  <c r="FR467" i="12" s="1"/>
  <c r="CM467" i="12"/>
  <c r="CU467" i="12"/>
  <c r="BO467" i="12"/>
  <c r="BG467" i="12"/>
  <c r="BL467" i="12" s="1"/>
  <c r="BR467" i="12" s="1"/>
  <c r="BH468" i="12" s="1"/>
  <c r="EF467" i="12"/>
  <c r="ER467" i="12"/>
  <c r="BW467" i="12"/>
  <c r="CB467" i="12" s="1"/>
  <c r="CH467" i="12" s="1"/>
  <c r="BX468" i="12" s="1"/>
  <c r="FP573" i="12"/>
  <c r="FO574" i="12"/>
  <c r="I606" i="12"/>
  <c r="F121" i="23"/>
  <c r="L607" i="12"/>
  <c r="GL448" i="12"/>
  <c r="GH448" i="12"/>
  <c r="GQ447" i="12"/>
  <c r="DX448" i="12"/>
  <c r="EA448" i="12" s="1"/>
  <c r="DK448" i="12" s="1"/>
  <c r="DD449" i="12" s="1"/>
  <c r="GC447" i="12"/>
  <c r="CR533" i="12"/>
  <c r="CX533" i="12" s="1"/>
  <c r="CN534" i="12" s="1"/>
  <c r="BD468" i="12" l="1"/>
  <c r="BE468" i="12" s="1"/>
  <c r="HE447" i="12"/>
  <c r="FP574" i="12"/>
  <c r="FO575" i="12"/>
  <c r="FT448" i="12"/>
  <c r="FY448" i="12" s="1"/>
  <c r="DQ449" i="12"/>
  <c r="DU449" i="12"/>
  <c r="DH449" i="12"/>
  <c r="CR534" i="12"/>
  <c r="CX534" i="12" s="1"/>
  <c r="CN535" i="12" s="1"/>
  <c r="J120" i="23"/>
  <c r="CM468" i="12" l="1"/>
  <c r="ER468" i="12"/>
  <c r="BG468" i="12"/>
  <c r="BL468" i="12" s="1"/>
  <c r="BR468" i="12" s="1"/>
  <c r="BH469" i="12" s="1"/>
  <c r="CU468" i="12"/>
  <c r="EF468" i="12"/>
  <c r="DC468" i="12"/>
  <c r="DP468" i="12" s="1"/>
  <c r="GU468" i="12"/>
  <c r="GV468" i="12" s="1"/>
  <c r="FR468" i="12" s="1"/>
  <c r="EX468" i="12"/>
  <c r="BW468" i="12"/>
  <c r="CB468" i="12" s="1"/>
  <c r="CH468" i="12" s="1"/>
  <c r="BX469" i="12" s="1"/>
  <c r="CE468" i="12"/>
  <c r="BO468" i="12"/>
  <c r="FP575" i="12"/>
  <c r="FO576" i="12"/>
  <c r="CR535" i="12"/>
  <c r="CX535" i="12" s="1"/>
  <c r="CN536" i="12" s="1"/>
  <c r="GQ448" i="12"/>
  <c r="HE448" i="12" s="1"/>
  <c r="GH449" i="12"/>
  <c r="GC448" i="12"/>
  <c r="GL449" i="12"/>
  <c r="DX449" i="12"/>
  <c r="EA449" i="12" s="1"/>
  <c r="DK449" i="12" s="1"/>
  <c r="DD450" i="12" s="1"/>
  <c r="BD469" i="12" l="1"/>
  <c r="BE469" i="12" s="1"/>
  <c r="FO577" i="12"/>
  <c r="FP576" i="12"/>
  <c r="FT449" i="12"/>
  <c r="FY449" i="12" s="1"/>
  <c r="CR536" i="12"/>
  <c r="CX536" i="12" s="1"/>
  <c r="CN537" i="12" s="1"/>
  <c r="DU450" i="12"/>
  <c r="DQ450" i="12"/>
  <c r="DH450" i="12"/>
  <c r="CM469" i="12" l="1"/>
  <c r="GU469" i="12"/>
  <c r="GV469" i="12" s="1"/>
  <c r="DC469" i="12"/>
  <c r="DP469" i="12" s="1"/>
  <c r="EF469" i="12"/>
  <c r="S265" i="12" s="1"/>
  <c r="EX469" i="12"/>
  <c r="FL469" i="12" s="1"/>
  <c r="FN469" i="12" s="1"/>
  <c r="FQ469" i="12" s="1"/>
  <c r="CU469" i="12"/>
  <c r="J43" i="16" s="1"/>
  <c r="P43" i="16" s="1"/>
  <c r="BG469" i="12"/>
  <c r="BL469" i="12" s="1"/>
  <c r="BO469" i="12"/>
  <c r="J43" i="14" s="1"/>
  <c r="BW469" i="12"/>
  <c r="CB469" i="12" s="1"/>
  <c r="CE469" i="12"/>
  <c r="J43" i="15" s="1"/>
  <c r="ER469" i="12"/>
  <c r="V265" i="12" s="1"/>
  <c r="FO578" i="12"/>
  <c r="FP577" i="12"/>
  <c r="CR537" i="12"/>
  <c r="CX537" i="12" s="1"/>
  <c r="CN538" i="12" s="1"/>
  <c r="GQ449" i="12"/>
  <c r="HE449" i="12" s="1"/>
  <c r="GC449" i="12"/>
  <c r="GL450" i="12"/>
  <c r="GH450" i="12"/>
  <c r="DX450" i="12"/>
  <c r="EA450" i="12" s="1"/>
  <c r="DK450" i="12" s="1"/>
  <c r="DD451" i="12" s="1"/>
  <c r="M43" i="15" l="1"/>
  <c r="P43" i="15" s="1"/>
  <c r="CH469" i="12"/>
  <c r="FJ469" i="12"/>
  <c r="FD469" i="12" s="1"/>
  <c r="FL459" i="12"/>
  <c r="FL458" i="12"/>
  <c r="FL460" i="12"/>
  <c r="FL461" i="12"/>
  <c r="FL462" i="12"/>
  <c r="FL463" i="12"/>
  <c r="FL464" i="12"/>
  <c r="FL467" i="12"/>
  <c r="FL466" i="12"/>
  <c r="FL468" i="12"/>
  <c r="FL465" i="12"/>
  <c r="BR469" i="12"/>
  <c r="M43" i="14"/>
  <c r="P43" i="14" s="1"/>
  <c r="FO579" i="12"/>
  <c r="FP578" i="12"/>
  <c r="CR538" i="12"/>
  <c r="CX538" i="12" s="1"/>
  <c r="CN539" i="12" s="1"/>
  <c r="DU451" i="12"/>
  <c r="GH451" i="12" s="1"/>
  <c r="DQ451" i="12"/>
  <c r="DH451" i="12"/>
  <c r="GL451" i="12" s="1"/>
  <c r="FT450" i="12"/>
  <c r="G43" i="15" l="1"/>
  <c r="G514" i="12"/>
  <c r="BX470" i="12"/>
  <c r="FN461" i="12"/>
  <c r="FQ461" i="12" s="1"/>
  <c r="FJ461" i="12"/>
  <c r="FD461" i="12" s="1"/>
  <c r="FN462" i="12"/>
  <c r="FQ462" i="12" s="1"/>
  <c r="FJ462" i="12"/>
  <c r="FD462" i="12" s="1"/>
  <c r="F514" i="12"/>
  <c r="G43" i="14"/>
  <c r="BH470" i="12"/>
  <c r="FN465" i="12"/>
  <c r="FQ465" i="12" s="1"/>
  <c r="FJ465" i="12"/>
  <c r="FD465" i="12" s="1"/>
  <c r="FN460" i="12"/>
  <c r="FQ460" i="12" s="1"/>
  <c r="FJ460" i="12"/>
  <c r="FD460" i="12" s="1"/>
  <c r="FN468" i="12"/>
  <c r="FQ468" i="12" s="1"/>
  <c r="FJ468" i="12"/>
  <c r="FD468" i="12" s="1"/>
  <c r="FN458" i="12"/>
  <c r="FQ458" i="12" s="1"/>
  <c r="FJ458" i="12"/>
  <c r="FD458" i="12" s="1"/>
  <c r="FN463" i="12"/>
  <c r="FQ463" i="12" s="1"/>
  <c r="FJ463" i="12"/>
  <c r="FD463" i="12" s="1"/>
  <c r="FN466" i="12"/>
  <c r="FQ466" i="12" s="1"/>
  <c r="FJ466" i="12"/>
  <c r="FD466" i="12" s="1"/>
  <c r="FN459" i="12"/>
  <c r="FQ459" i="12" s="1"/>
  <c r="FJ459" i="12"/>
  <c r="FD459" i="12" s="1"/>
  <c r="FN467" i="12"/>
  <c r="FQ467" i="12" s="1"/>
  <c r="FJ467" i="12"/>
  <c r="FD467" i="12" s="1"/>
  <c r="FN464" i="12"/>
  <c r="FQ464" i="12" s="1"/>
  <c r="FJ464" i="12"/>
  <c r="FD464" i="12" s="1"/>
  <c r="FO580" i="12"/>
  <c r="FP579" i="12"/>
  <c r="DX451" i="12"/>
  <c r="EA451" i="12" s="1"/>
  <c r="DK451" i="12" s="1"/>
  <c r="DD452" i="12" s="1"/>
  <c r="CR539" i="12"/>
  <c r="CX539" i="12" s="1"/>
  <c r="CN540" i="12" s="1"/>
  <c r="FY450" i="12"/>
  <c r="D45" i="15" l="1"/>
  <c r="L511" i="12"/>
  <c r="BD470" i="12"/>
  <c r="BE470" i="12" s="1"/>
  <c r="D45" i="14"/>
  <c r="K511" i="12"/>
  <c r="L265" i="12"/>
  <c r="G265" i="12"/>
  <c r="FP580" i="12"/>
  <c r="FO581" i="12"/>
  <c r="CR540" i="12"/>
  <c r="CX540" i="12" s="1"/>
  <c r="CN541" i="12" s="1"/>
  <c r="GQ450" i="12"/>
  <c r="HE450" i="12" s="1"/>
  <c r="GC450" i="12"/>
  <c r="FT451" i="12" s="1"/>
  <c r="DU452" i="12"/>
  <c r="GH452" i="12" s="1"/>
  <c r="DQ452" i="12"/>
  <c r="DH452" i="12"/>
  <c r="GL452" i="12" s="1"/>
  <c r="C45" i="15" l="1"/>
  <c r="C45" i="14"/>
  <c r="BG470" i="12"/>
  <c r="BL470" i="12" s="1"/>
  <c r="CE470" i="12"/>
  <c r="BO470" i="12"/>
  <c r="CU470" i="12"/>
  <c r="CM470" i="12"/>
  <c r="EX470" i="12"/>
  <c r="ER470" i="12"/>
  <c r="GU470" i="12"/>
  <c r="GV470" i="12" s="1"/>
  <c r="FR470" i="12" s="1"/>
  <c r="BW470" i="12"/>
  <c r="CB470" i="12" s="1"/>
  <c r="CH470" i="12" s="1"/>
  <c r="BX471" i="12" s="1"/>
  <c r="EF470" i="12"/>
  <c r="DC470" i="12"/>
  <c r="DP470" i="12" s="1"/>
  <c r="FP581" i="12"/>
  <c r="FO582" i="12"/>
  <c r="CR541" i="12"/>
  <c r="M55" i="16" s="1"/>
  <c r="FY451" i="12"/>
  <c r="GQ451" i="12" s="1"/>
  <c r="HE451" i="12" s="1"/>
  <c r="DX452" i="12"/>
  <c r="EA452" i="12" s="1"/>
  <c r="DK452" i="12" s="1"/>
  <c r="DD453" i="12" s="1"/>
  <c r="BR470" i="12" l="1"/>
  <c r="BH471" i="12" s="1"/>
  <c r="FO583" i="12"/>
  <c r="FP582" i="12"/>
  <c r="DQ453" i="12"/>
  <c r="DU453" i="12"/>
  <c r="GH453" i="12" s="1"/>
  <c r="DH453" i="12"/>
  <c r="GL453" i="12" s="1"/>
  <c r="CX541" i="12"/>
  <c r="GC451" i="12"/>
  <c r="FT452" i="12" s="1"/>
  <c r="BD471" i="12" l="1"/>
  <c r="BE471" i="12" s="1"/>
  <c r="FP583" i="12"/>
  <c r="FO584" i="12"/>
  <c r="G55" i="16"/>
  <c r="H532" i="12"/>
  <c r="CN542" i="12"/>
  <c r="FY452" i="12"/>
  <c r="GQ452" i="12" s="1"/>
  <c r="HE452" i="12" s="1"/>
  <c r="DX453" i="12"/>
  <c r="EA453" i="12" s="1"/>
  <c r="DK453" i="12" s="1"/>
  <c r="DD454" i="12" s="1"/>
  <c r="BW471" i="12" l="1"/>
  <c r="CB471" i="12" s="1"/>
  <c r="CH471" i="12" s="1"/>
  <c r="BX472" i="12" s="1"/>
  <c r="GU471" i="12"/>
  <c r="GV471" i="12" s="1"/>
  <c r="FR471" i="12" s="1"/>
  <c r="ER471" i="12"/>
  <c r="DC471" i="12"/>
  <c r="DP471" i="12" s="1"/>
  <c r="EF471" i="12"/>
  <c r="CE471" i="12"/>
  <c r="CM471" i="12"/>
  <c r="BO471" i="12"/>
  <c r="BG471" i="12"/>
  <c r="BL471" i="12" s="1"/>
  <c r="CU471" i="12"/>
  <c r="EX471" i="12"/>
  <c r="FO585" i="12"/>
  <c r="FP584" i="12"/>
  <c r="DU454" i="12"/>
  <c r="GH454" i="12" s="1"/>
  <c r="DQ454" i="12"/>
  <c r="DH454" i="12"/>
  <c r="GL454" i="12" s="1"/>
  <c r="CR542" i="12"/>
  <c r="D57" i="16"/>
  <c r="C57" i="16" s="1"/>
  <c r="GC452" i="12"/>
  <c r="FT453" i="12" s="1"/>
  <c r="N529" i="12"/>
  <c r="BR471" i="12" l="1"/>
  <c r="BH472" i="12" s="1"/>
  <c r="FO586" i="12"/>
  <c r="FP585" i="12"/>
  <c r="FY453" i="12"/>
  <c r="GQ453" i="12" s="1"/>
  <c r="HE453" i="12" s="1"/>
  <c r="CX542" i="12"/>
  <c r="CN543" i="12" s="1"/>
  <c r="DX454" i="12"/>
  <c r="EA454" i="12" s="1"/>
  <c r="DK454" i="12" s="1"/>
  <c r="DD455" i="12" s="1"/>
  <c r="BD472" i="12" l="1"/>
  <c r="BE472" i="12" s="1"/>
  <c r="FO587" i="12"/>
  <c r="FP586" i="12"/>
  <c r="DQ455" i="12"/>
  <c r="DU455" i="12"/>
  <c r="GH455" i="12" s="1"/>
  <c r="DH455" i="12"/>
  <c r="GL455" i="12" s="1"/>
  <c r="CR543" i="12"/>
  <c r="CX543" i="12" s="1"/>
  <c r="CN544" i="12" s="1"/>
  <c r="GC453" i="12"/>
  <c r="FT454" i="12" s="1"/>
  <c r="CE472" i="12" l="1"/>
  <c r="ER472" i="12"/>
  <c r="BO472" i="12"/>
  <c r="EF472" i="12"/>
  <c r="CU472" i="12"/>
  <c r="GU472" i="12"/>
  <c r="GV472" i="12" s="1"/>
  <c r="FR472" i="12" s="1"/>
  <c r="CM472" i="12"/>
  <c r="BG472" i="12"/>
  <c r="BL472" i="12" s="1"/>
  <c r="DC472" i="12"/>
  <c r="DP472" i="12" s="1"/>
  <c r="EX472" i="12"/>
  <c r="BW472" i="12"/>
  <c r="CB472" i="12" s="1"/>
  <c r="CH472" i="12" s="1"/>
  <c r="BX473" i="12" s="1"/>
  <c r="FO588" i="12"/>
  <c r="FP587" i="12"/>
  <c r="FY454" i="12"/>
  <c r="GQ454" i="12" s="1"/>
  <c r="HE454" i="12" s="1"/>
  <c r="DX455" i="12"/>
  <c r="EA455" i="12" s="1"/>
  <c r="DK455" i="12" s="1"/>
  <c r="DD456" i="12" s="1"/>
  <c r="CR544" i="12"/>
  <c r="CX544" i="12" s="1"/>
  <c r="CN545" i="12" s="1"/>
  <c r="BR472" i="12" l="1"/>
  <c r="BH473" i="12" s="1"/>
  <c r="FO589" i="12"/>
  <c r="FP588" i="12"/>
  <c r="DQ456" i="12"/>
  <c r="DU456" i="12"/>
  <c r="GH456" i="12" s="1"/>
  <c r="DH456" i="12"/>
  <c r="GL456" i="12" s="1"/>
  <c r="CR545" i="12"/>
  <c r="CX545" i="12" s="1"/>
  <c r="CN546" i="12" s="1"/>
  <c r="GC454" i="12"/>
  <c r="FT455" i="12" s="1"/>
  <c r="BD473" i="12" l="1"/>
  <c r="BE473" i="12" s="1"/>
  <c r="FP589" i="12"/>
  <c r="FO590" i="12"/>
  <c r="CR546" i="12"/>
  <c r="CX546" i="12" s="1"/>
  <c r="CN547" i="12" s="1"/>
  <c r="DX456" i="12"/>
  <c r="EA456" i="12" s="1"/>
  <c r="DK456" i="12" s="1"/>
  <c r="DD457" i="12" s="1"/>
  <c r="FY455" i="12"/>
  <c r="GQ455" i="12" s="1"/>
  <c r="HE455" i="12" s="1"/>
  <c r="CM473" i="12" l="1"/>
  <c r="DC473" i="12"/>
  <c r="DP473" i="12" s="1"/>
  <c r="CE473" i="12"/>
  <c r="EF473" i="12"/>
  <c r="EX473" i="12"/>
  <c r="BG473" i="12"/>
  <c r="BL473" i="12" s="1"/>
  <c r="BO473" i="12"/>
  <c r="BW473" i="12"/>
  <c r="CB473" i="12" s="1"/>
  <c r="CH473" i="12" s="1"/>
  <c r="BX474" i="12" s="1"/>
  <c r="ER473" i="12"/>
  <c r="CU473" i="12"/>
  <c r="GU473" i="12"/>
  <c r="GV473" i="12" s="1"/>
  <c r="FR473" i="12" s="1"/>
  <c r="FP590" i="12"/>
  <c r="FO591" i="12"/>
  <c r="CR547" i="12"/>
  <c r="CX547" i="12" s="1"/>
  <c r="CN548" i="12" s="1"/>
  <c r="DU457" i="12"/>
  <c r="DQ457" i="12"/>
  <c r="DH457" i="12"/>
  <c r="GC455" i="12"/>
  <c r="FT456" i="12" s="1"/>
  <c r="BR473" i="12" l="1"/>
  <c r="BH474" i="12" s="1"/>
  <c r="FP591" i="12"/>
  <c r="FO592" i="12"/>
  <c r="CR548" i="12"/>
  <c r="CX548" i="12" s="1"/>
  <c r="CN549" i="12" s="1"/>
  <c r="FY456" i="12"/>
  <c r="GQ456" i="12" s="1"/>
  <c r="HE456" i="12" s="1"/>
  <c r="HE337" i="12" s="1"/>
  <c r="H445" i="12" s="1"/>
  <c r="N445" i="12" s="1"/>
  <c r="DX457" i="12"/>
  <c r="AS29" i="22" s="1"/>
  <c r="GL457" i="12"/>
  <c r="Q263" i="12" s="1"/>
  <c r="AJ29" i="22"/>
  <c r="GH457" i="12"/>
  <c r="O263" i="12" s="1"/>
  <c r="AP29" i="22"/>
  <c r="BD474" i="12" l="1"/>
  <c r="BE474" i="12" s="1"/>
  <c r="EA457" i="12"/>
  <c r="DK457" i="12" s="1"/>
  <c r="DD458" i="12" s="1"/>
  <c r="DU458" i="12" s="1"/>
  <c r="FP592" i="12"/>
  <c r="FO593" i="12"/>
  <c r="AV27" i="22"/>
  <c r="CR549" i="12"/>
  <c r="CX549" i="12" s="1"/>
  <c r="CN550" i="12" s="1"/>
  <c r="GC456" i="12"/>
  <c r="FT457" i="12" s="1"/>
  <c r="CE474" i="12" l="1"/>
  <c r="EF474" i="12"/>
  <c r="EX474" i="12"/>
  <c r="GU474" i="12"/>
  <c r="GV474" i="12" s="1"/>
  <c r="FR474" i="12" s="1"/>
  <c r="BG474" i="12"/>
  <c r="BL474" i="12" s="1"/>
  <c r="CU474" i="12"/>
  <c r="ER474" i="12"/>
  <c r="BW474" i="12"/>
  <c r="CB474" i="12" s="1"/>
  <c r="CH474" i="12" s="1"/>
  <c r="BX475" i="12" s="1"/>
  <c r="CM474" i="12"/>
  <c r="DC474" i="12"/>
  <c r="DP474" i="12" s="1"/>
  <c r="BO474" i="12"/>
  <c r="AG31" i="22"/>
  <c r="I515" i="12" s="1"/>
  <c r="DQ458" i="12"/>
  <c r="DX458" i="12" s="1"/>
  <c r="EA458" i="12" s="1"/>
  <c r="DK458" i="12" s="1"/>
  <c r="DD459" i="12" s="1"/>
  <c r="DH458" i="12"/>
  <c r="GL458" i="12" s="1"/>
  <c r="FO594" i="12"/>
  <c r="FP593" i="12"/>
  <c r="FY457" i="12"/>
  <c r="GH458" i="12"/>
  <c r="AN27" i="22"/>
  <c r="CC105" i="22"/>
  <c r="CD105" i="22" s="1"/>
  <c r="J510" i="12"/>
  <c r="CR550" i="12"/>
  <c r="CX550" i="12" s="1"/>
  <c r="CN551" i="12" s="1"/>
  <c r="BR474" i="12" l="1"/>
  <c r="BH475" i="12" s="1"/>
  <c r="AF31" i="22"/>
  <c r="CA107" i="22" s="1"/>
  <c r="BZ106" i="22" s="1"/>
  <c r="CB107" i="22"/>
  <c r="FP594" i="12"/>
  <c r="FO595" i="12"/>
  <c r="CR551" i="12"/>
  <c r="CX551" i="12" s="1"/>
  <c r="CN552" i="12" s="1"/>
  <c r="O512" i="12"/>
  <c r="DU459" i="12"/>
  <c r="DQ459" i="12"/>
  <c r="DH459" i="12"/>
  <c r="GQ457" i="12"/>
  <c r="HF457" i="12" s="1"/>
  <c r="Y263" i="12"/>
  <c r="GC457" i="12"/>
  <c r="FT458" i="12" s="1"/>
  <c r="BD475" i="12" l="1"/>
  <c r="BE475" i="12" s="1"/>
  <c r="FO596" i="12"/>
  <c r="FP595" i="12"/>
  <c r="CR552" i="12"/>
  <c r="CX552" i="12" s="1"/>
  <c r="CN553" i="12" s="1"/>
  <c r="AA263" i="12"/>
  <c r="V613" i="12"/>
  <c r="G711" i="12"/>
  <c r="GL459" i="12"/>
  <c r="GH459" i="12"/>
  <c r="FY458" i="12"/>
  <c r="DX459" i="12"/>
  <c r="EA459" i="12" s="1"/>
  <c r="DK459" i="12" s="1"/>
  <c r="DD460" i="12" s="1"/>
  <c r="EX475" i="12" l="1"/>
  <c r="ER475" i="12"/>
  <c r="CE475" i="12"/>
  <c r="DC475" i="12"/>
  <c r="DP475" i="12" s="1"/>
  <c r="BG475" i="12"/>
  <c r="BL475" i="12" s="1"/>
  <c r="BR475" i="12" s="1"/>
  <c r="BH476" i="12" s="1"/>
  <c r="GU475" i="12"/>
  <c r="GV475" i="12" s="1"/>
  <c r="FR475" i="12" s="1"/>
  <c r="CM475" i="12"/>
  <c r="BO475" i="12"/>
  <c r="BW475" i="12"/>
  <c r="CB475" i="12" s="1"/>
  <c r="CH475" i="12" s="1"/>
  <c r="BX476" i="12" s="1"/>
  <c r="CU475" i="12"/>
  <c r="EF475" i="12"/>
  <c r="K711" i="12"/>
  <c r="AT711" i="12" s="1"/>
  <c r="X711" i="12" s="1"/>
  <c r="AC711" i="12" s="1"/>
  <c r="S711" i="12"/>
  <c r="P711" i="12"/>
  <c r="FO597" i="12"/>
  <c r="FP596" i="12"/>
  <c r="DU460" i="12"/>
  <c r="DQ460" i="12"/>
  <c r="DH460" i="12"/>
  <c r="GQ458" i="12"/>
  <c r="GC458" i="12"/>
  <c r="FT459" i="12" s="1"/>
  <c r="AP446" i="12"/>
  <c r="AH263" i="12"/>
  <c r="CR553" i="12"/>
  <c r="M57" i="16" s="1"/>
  <c r="O613" i="12"/>
  <c r="Y613" i="12"/>
  <c r="BD476" i="12" l="1"/>
  <c r="BE476" i="12" s="1"/>
  <c r="HF458" i="12"/>
  <c r="FP597" i="12"/>
  <c r="FO598" i="12"/>
  <c r="AU263" i="12"/>
  <c r="F610" i="12"/>
  <c r="CX553" i="12"/>
  <c r="AJ711" i="12"/>
  <c r="DX460" i="12"/>
  <c r="FY459" i="12"/>
  <c r="GL460" i="12"/>
  <c r="GH460" i="12"/>
  <c r="EF476" i="12" l="1"/>
  <c r="GU476" i="12"/>
  <c r="GV476" i="12" s="1"/>
  <c r="FR476" i="12" s="1"/>
  <c r="DC476" i="12"/>
  <c r="DP476" i="12" s="1"/>
  <c r="BG476" i="12"/>
  <c r="BL476" i="12" s="1"/>
  <c r="BR476" i="12" s="1"/>
  <c r="BH477" i="12" s="1"/>
  <c r="BW476" i="12"/>
  <c r="CB476" i="12" s="1"/>
  <c r="CH476" i="12" s="1"/>
  <c r="BX477" i="12" s="1"/>
  <c r="ER476" i="12"/>
  <c r="CM476" i="12"/>
  <c r="CE476" i="12"/>
  <c r="CU476" i="12"/>
  <c r="BO476" i="12"/>
  <c r="EX476" i="12"/>
  <c r="FO599" i="12"/>
  <c r="FP598" i="12"/>
  <c r="H535" i="12"/>
  <c r="G57" i="16"/>
  <c r="CN554" i="12"/>
  <c r="EA460" i="12"/>
  <c r="DK460" i="12" s="1"/>
  <c r="DD461" i="12" s="1"/>
  <c r="GQ459" i="12"/>
  <c r="GC459" i="12"/>
  <c r="FT460" i="12" s="1"/>
  <c r="I611" i="12"/>
  <c r="F122" i="23"/>
  <c r="L612" i="12"/>
  <c r="BD477" i="12" l="1"/>
  <c r="BE477" i="12" s="1"/>
  <c r="HF459" i="12"/>
  <c r="FP599" i="12"/>
  <c r="FO600" i="12"/>
  <c r="J121" i="23"/>
  <c r="FY460" i="12"/>
  <c r="DQ461" i="12"/>
  <c r="DU461" i="12"/>
  <c r="DH461" i="12"/>
  <c r="CR554" i="12"/>
  <c r="CX554" i="12" s="1"/>
  <c r="CN555" i="12" s="1"/>
  <c r="D59" i="16"/>
  <c r="C59" i="16" s="1"/>
  <c r="N532" i="12"/>
  <c r="DC477" i="12" l="1"/>
  <c r="DP477" i="12" s="1"/>
  <c r="GU477" i="12"/>
  <c r="GV477" i="12" s="1"/>
  <c r="FR477" i="12" s="1"/>
  <c r="EF477" i="12"/>
  <c r="CU477" i="12"/>
  <c r="BO477" i="12"/>
  <c r="BW477" i="12"/>
  <c r="CB477" i="12" s="1"/>
  <c r="CH477" i="12" s="1"/>
  <c r="BX478" i="12" s="1"/>
  <c r="CE477" i="12"/>
  <c r="CM477" i="12"/>
  <c r="EX477" i="12"/>
  <c r="BG477" i="12"/>
  <c r="BL477" i="12" s="1"/>
  <c r="BR477" i="12" s="1"/>
  <c r="BH478" i="12" s="1"/>
  <c r="ER477" i="12"/>
  <c r="FP600" i="12"/>
  <c r="FO601" i="12"/>
  <c r="CR555" i="12"/>
  <c r="CX555" i="12" s="1"/>
  <c r="CN556" i="12" s="1"/>
  <c r="DX461" i="12"/>
  <c r="EA461" i="12" s="1"/>
  <c r="DK461" i="12" s="1"/>
  <c r="DD462" i="12" s="1"/>
  <c r="GH461" i="12"/>
  <c r="GL461" i="12"/>
  <c r="GQ460" i="12"/>
  <c r="HF460" i="12" s="1"/>
  <c r="GC460" i="12"/>
  <c r="BD478" i="12" l="1"/>
  <c r="BE478" i="12" s="1"/>
  <c r="FO602" i="12"/>
  <c r="FP601" i="12"/>
  <c r="FT461" i="12"/>
  <c r="FY461" i="12" s="1"/>
  <c r="DQ462" i="12"/>
  <c r="DU462" i="12"/>
  <c r="DH462" i="12"/>
  <c r="CR556" i="12"/>
  <c r="BO478" i="12" l="1"/>
  <c r="ER478" i="12"/>
  <c r="CU478" i="12"/>
  <c r="EX478" i="12"/>
  <c r="CM478" i="12"/>
  <c r="GU478" i="12"/>
  <c r="GV478" i="12" s="1"/>
  <c r="FR478" i="12" s="1"/>
  <c r="BG478" i="12"/>
  <c r="BL478" i="12" s="1"/>
  <c r="BR478" i="12" s="1"/>
  <c r="BH479" i="12" s="1"/>
  <c r="EF478" i="12"/>
  <c r="CE478" i="12"/>
  <c r="DC478" i="12"/>
  <c r="DP478" i="12" s="1"/>
  <c r="BW478" i="12"/>
  <c r="CB478" i="12" s="1"/>
  <c r="CH478" i="12" s="1"/>
  <c r="BX479" i="12" s="1"/>
  <c r="FO603" i="12"/>
  <c r="FP602" i="12"/>
  <c r="GQ461" i="12"/>
  <c r="HF461" i="12" s="1"/>
  <c r="GC461" i="12"/>
  <c r="GL462" i="12"/>
  <c r="DX462" i="12"/>
  <c r="EA462" i="12" s="1"/>
  <c r="DK462" i="12" s="1"/>
  <c r="DD463" i="12" s="1"/>
  <c r="CX556" i="12"/>
  <c r="CN557" i="12" s="1"/>
  <c r="GH462" i="12"/>
  <c r="BD479" i="12" l="1"/>
  <c r="BE479" i="12" s="1"/>
  <c r="FO604" i="12"/>
  <c r="FP603" i="12"/>
  <c r="DU463" i="12"/>
  <c r="GH463" i="12" s="1"/>
  <c r="DQ463" i="12"/>
  <c r="DH463" i="12"/>
  <c r="GL463" i="12" s="1"/>
  <c r="CR557" i="12"/>
  <c r="CX557" i="12" s="1"/>
  <c r="CN558" i="12" s="1"/>
  <c r="FT462" i="12"/>
  <c r="GU479" i="12" l="1"/>
  <c r="GV479" i="12" s="1"/>
  <c r="FR479" i="12" s="1"/>
  <c r="EF479" i="12"/>
  <c r="BW479" i="12"/>
  <c r="CB479" i="12" s="1"/>
  <c r="CH479" i="12" s="1"/>
  <c r="BX480" i="12" s="1"/>
  <c r="DC479" i="12"/>
  <c r="DP479" i="12" s="1"/>
  <c r="EX479" i="12"/>
  <c r="BG479" i="12"/>
  <c r="BL479" i="12" s="1"/>
  <c r="BR479" i="12" s="1"/>
  <c r="BH480" i="12" s="1"/>
  <c r="CE479" i="12"/>
  <c r="CM479" i="12"/>
  <c r="BO479" i="12"/>
  <c r="CU479" i="12"/>
  <c r="ER479" i="12"/>
  <c r="FO605" i="12"/>
  <c r="FP604" i="12"/>
  <c r="FY462" i="12"/>
  <c r="DX463" i="12"/>
  <c r="EA463" i="12" s="1"/>
  <c r="DK463" i="12" s="1"/>
  <c r="DD464" i="12" s="1"/>
  <c r="CR558" i="12"/>
  <c r="CX558" i="12" s="1"/>
  <c r="CN559" i="12" s="1"/>
  <c r="BD480" i="12" l="1"/>
  <c r="BE480" i="12" s="1"/>
  <c r="FO606" i="12"/>
  <c r="FP605" i="12"/>
  <c r="DU464" i="12"/>
  <c r="GH464" i="12" s="1"/>
  <c r="DQ464" i="12"/>
  <c r="DH464" i="12"/>
  <c r="GL464" i="12" s="1"/>
  <c r="CR559" i="12"/>
  <c r="CX559" i="12" s="1"/>
  <c r="CN560" i="12" s="1"/>
  <c r="GQ462" i="12"/>
  <c r="HF462" i="12" s="1"/>
  <c r="GC462" i="12"/>
  <c r="FT463" i="12" s="1"/>
  <c r="ER480" i="12" l="1"/>
  <c r="BO480" i="12"/>
  <c r="CU480" i="12"/>
  <c r="CE480" i="12"/>
  <c r="EX480" i="12"/>
  <c r="EF480" i="12"/>
  <c r="BG480" i="12"/>
  <c r="BL480" i="12" s="1"/>
  <c r="BR480" i="12" s="1"/>
  <c r="BH481" i="12" s="1"/>
  <c r="BW480" i="12"/>
  <c r="CB480" i="12" s="1"/>
  <c r="CH480" i="12" s="1"/>
  <c r="BX481" i="12" s="1"/>
  <c r="CM480" i="12"/>
  <c r="GU480" i="12"/>
  <c r="GV480" i="12" s="1"/>
  <c r="FR480" i="12" s="1"/>
  <c r="DC480" i="12"/>
  <c r="DP480" i="12" s="1"/>
  <c r="FO607" i="12"/>
  <c r="FP606" i="12"/>
  <c r="CR560" i="12"/>
  <c r="CX560" i="12" s="1"/>
  <c r="CN561" i="12" s="1"/>
  <c r="DX464" i="12"/>
  <c r="EA464" i="12" s="1"/>
  <c r="DK464" i="12" s="1"/>
  <c r="DD465" i="12" s="1"/>
  <c r="FY463" i="12"/>
  <c r="GQ463" i="12" s="1"/>
  <c r="HF463" i="12" s="1"/>
  <c r="BD481" i="12" l="1"/>
  <c r="BE481" i="12" s="1"/>
  <c r="FO608" i="12"/>
  <c r="FP607" i="12"/>
  <c r="DQ465" i="12"/>
  <c r="DU465" i="12"/>
  <c r="GH465" i="12" s="1"/>
  <c r="DH465" i="12"/>
  <c r="GL465" i="12" s="1"/>
  <c r="CR561" i="12"/>
  <c r="CX561" i="12" s="1"/>
  <c r="CN562" i="12" s="1"/>
  <c r="GC463" i="12"/>
  <c r="FT464" i="12" s="1"/>
  <c r="ER481" i="12" l="1"/>
  <c r="V267" i="12" s="1"/>
  <c r="BG481" i="12"/>
  <c r="BL481" i="12" s="1"/>
  <c r="DC481" i="12"/>
  <c r="DP481" i="12" s="1"/>
  <c r="CU481" i="12"/>
  <c r="J45" i="16" s="1"/>
  <c r="P45" i="16" s="1"/>
  <c r="EF481" i="12"/>
  <c r="S267" i="12" s="1"/>
  <c r="BW481" i="12"/>
  <c r="CB481" i="12" s="1"/>
  <c r="EX481" i="12"/>
  <c r="CE481" i="12"/>
  <c r="J45" i="15" s="1"/>
  <c r="GU481" i="12"/>
  <c r="GV481" i="12" s="1"/>
  <c r="BO481" i="12"/>
  <c r="J45" i="14" s="1"/>
  <c r="CM481" i="12"/>
  <c r="FO609" i="12"/>
  <c r="FP608" i="12"/>
  <c r="CR562" i="12"/>
  <c r="CX562" i="12" s="1"/>
  <c r="CN563" i="12" s="1"/>
  <c r="DX465" i="12"/>
  <c r="EA465" i="12" s="1"/>
  <c r="DK465" i="12" s="1"/>
  <c r="DD466" i="12" s="1"/>
  <c r="FY464" i="12"/>
  <c r="GQ464" i="12" s="1"/>
  <c r="HF464" i="12" s="1"/>
  <c r="M45" i="15" l="1"/>
  <c r="P45" i="15" s="1"/>
  <c r="CH481" i="12"/>
  <c r="FL481" i="12"/>
  <c r="FN481" i="12" s="1"/>
  <c r="FQ481" i="12" s="1"/>
  <c r="FL471" i="12"/>
  <c r="FL470" i="12"/>
  <c r="FL472" i="12"/>
  <c r="FL474" i="12"/>
  <c r="FL473" i="12"/>
  <c r="FL475" i="12"/>
  <c r="FL477" i="12"/>
  <c r="FL478" i="12"/>
  <c r="FL476" i="12"/>
  <c r="FL479" i="12"/>
  <c r="FL480" i="12"/>
  <c r="BR481" i="12"/>
  <c r="M45" i="14"/>
  <c r="P45" i="14" s="1"/>
  <c r="FO610" i="12"/>
  <c r="FP609" i="12"/>
  <c r="CR563" i="12"/>
  <c r="CX563" i="12" s="1"/>
  <c r="CN564" i="12" s="1"/>
  <c r="DU466" i="12"/>
  <c r="GH466" i="12" s="1"/>
  <c r="DQ466" i="12"/>
  <c r="DH466" i="12"/>
  <c r="GL466" i="12" s="1"/>
  <c r="GC464" i="12"/>
  <c r="FT465" i="12" s="1"/>
  <c r="G45" i="15" l="1"/>
  <c r="BX482" i="12"/>
  <c r="G517" i="12"/>
  <c r="FN475" i="12"/>
  <c r="FQ475" i="12" s="1"/>
  <c r="FJ475" i="12"/>
  <c r="FD475" i="12" s="1"/>
  <c r="F517" i="12"/>
  <c r="G45" i="14"/>
  <c r="BH482" i="12"/>
  <c r="FN480" i="12"/>
  <c r="FQ480" i="12" s="1"/>
  <c r="FJ480" i="12"/>
  <c r="FD480" i="12" s="1"/>
  <c r="FN472" i="12"/>
  <c r="FQ472" i="12" s="1"/>
  <c r="FJ472" i="12"/>
  <c r="FD472" i="12" s="1"/>
  <c r="FN473" i="12"/>
  <c r="FQ473" i="12" s="1"/>
  <c r="FJ473" i="12"/>
  <c r="FD473" i="12" s="1"/>
  <c r="FN479" i="12"/>
  <c r="FQ479" i="12" s="1"/>
  <c r="FJ479" i="12"/>
  <c r="FD479" i="12" s="1"/>
  <c r="FN470" i="12"/>
  <c r="FQ470" i="12" s="1"/>
  <c r="FJ470" i="12"/>
  <c r="FD470" i="12" s="1"/>
  <c r="FN476" i="12"/>
  <c r="FQ476" i="12" s="1"/>
  <c r="FJ476" i="12"/>
  <c r="FD476" i="12" s="1"/>
  <c r="FN471" i="12"/>
  <c r="FQ471" i="12" s="1"/>
  <c r="FJ471" i="12"/>
  <c r="FD471" i="12" s="1"/>
  <c r="FN474" i="12"/>
  <c r="FQ474" i="12" s="1"/>
  <c r="FJ474" i="12"/>
  <c r="FD474" i="12" s="1"/>
  <c r="FN478" i="12"/>
  <c r="FQ478" i="12" s="1"/>
  <c r="FJ478" i="12"/>
  <c r="FD478" i="12" s="1"/>
  <c r="FJ481" i="12"/>
  <c r="FD481" i="12" s="1"/>
  <c r="FN477" i="12"/>
  <c r="FQ477" i="12" s="1"/>
  <c r="FJ477" i="12"/>
  <c r="FD477" i="12" s="1"/>
  <c r="FO611" i="12"/>
  <c r="FP610" i="12"/>
  <c r="CR564" i="12"/>
  <c r="CX564" i="12" s="1"/>
  <c r="CN565" i="12" s="1"/>
  <c r="FY465" i="12"/>
  <c r="GQ465" i="12" s="1"/>
  <c r="HF465" i="12" s="1"/>
  <c r="DX466" i="12"/>
  <c r="EA466" i="12" s="1"/>
  <c r="DK466" i="12" s="1"/>
  <c r="DD467" i="12" s="1"/>
  <c r="L514" i="12" l="1"/>
  <c r="D47" i="15"/>
  <c r="G267" i="12"/>
  <c r="D47" i="14"/>
  <c r="BD482" i="12"/>
  <c r="BE482" i="12" s="1"/>
  <c r="L267" i="12"/>
  <c r="K514" i="12"/>
  <c r="FP611" i="12"/>
  <c r="FO612" i="12"/>
  <c r="CR565" i="12"/>
  <c r="M59" i="16" s="1"/>
  <c r="DU467" i="12"/>
  <c r="GH467" i="12" s="1"/>
  <c r="DQ467" i="12"/>
  <c r="DH467" i="12"/>
  <c r="GL467" i="12" s="1"/>
  <c r="GC465" i="12"/>
  <c r="FT466" i="12" s="1"/>
  <c r="C47" i="15" l="1"/>
  <c r="BO482" i="12"/>
  <c r="CE482" i="12"/>
  <c r="BW482" i="12"/>
  <c r="CB482" i="12" s="1"/>
  <c r="CH482" i="12" s="1"/>
  <c r="BX483" i="12" s="1"/>
  <c r="BG482" i="12"/>
  <c r="BL482" i="12" s="1"/>
  <c r="CU482" i="12"/>
  <c r="GU482" i="12"/>
  <c r="GV482" i="12" s="1"/>
  <c r="FR482" i="12" s="1"/>
  <c r="EX482" i="12"/>
  <c r="ER482" i="12"/>
  <c r="DC482" i="12"/>
  <c r="DP482" i="12" s="1"/>
  <c r="CM482" i="12"/>
  <c r="EF482" i="12"/>
  <c r="C47" i="14"/>
  <c r="FP612" i="12"/>
  <c r="FO613" i="12"/>
  <c r="FY466" i="12"/>
  <c r="GQ466" i="12" s="1"/>
  <c r="HF466" i="12" s="1"/>
  <c r="DX467" i="12"/>
  <c r="EA467" i="12" s="1"/>
  <c r="DK467" i="12" s="1"/>
  <c r="DD468" i="12" s="1"/>
  <c r="CX565" i="12"/>
  <c r="BR482" i="12" l="1"/>
  <c r="BH483" i="12" s="1"/>
  <c r="FP613" i="12"/>
  <c r="FO614" i="12"/>
  <c r="DU468" i="12"/>
  <c r="GH468" i="12" s="1"/>
  <c r="DQ468" i="12"/>
  <c r="DH468" i="12"/>
  <c r="GL468" i="12" s="1"/>
  <c r="GC466" i="12"/>
  <c r="FT467" i="12" s="1"/>
  <c r="CN566" i="12"/>
  <c r="G59" i="16"/>
  <c r="H538" i="12"/>
  <c r="BD483" i="12" l="1"/>
  <c r="BE483" i="12" s="1"/>
  <c r="FP614" i="12"/>
  <c r="FO615" i="12"/>
  <c r="DX468" i="12"/>
  <c r="EA468" i="12" s="1"/>
  <c r="DK468" i="12" s="1"/>
  <c r="DD469" i="12" s="1"/>
  <c r="N535" i="12"/>
  <c r="D61" i="16"/>
  <c r="C61" i="16" s="1"/>
  <c r="CR566" i="12"/>
  <c r="FY467" i="12"/>
  <c r="GQ467" i="12" s="1"/>
  <c r="HF467" i="12" s="1"/>
  <c r="CE483" i="12" l="1"/>
  <c r="CU483" i="12"/>
  <c r="BO483" i="12"/>
  <c r="CM483" i="12"/>
  <c r="ER483" i="12"/>
  <c r="EF483" i="12"/>
  <c r="BW483" i="12"/>
  <c r="CB483" i="12" s="1"/>
  <c r="CH483" i="12" s="1"/>
  <c r="BX484" i="12" s="1"/>
  <c r="GU483" i="12"/>
  <c r="GV483" i="12" s="1"/>
  <c r="FR483" i="12" s="1"/>
  <c r="BG483" i="12"/>
  <c r="BL483" i="12" s="1"/>
  <c r="DC483" i="12"/>
  <c r="DP483" i="12" s="1"/>
  <c r="EX483" i="12"/>
  <c r="FP615" i="12"/>
  <c r="FO616" i="12"/>
  <c r="GC467" i="12"/>
  <c r="FT468" i="12" s="1"/>
  <c r="DQ469" i="12"/>
  <c r="DU469" i="12"/>
  <c r="DH469" i="12"/>
  <c r="CX566" i="12"/>
  <c r="CN567" i="12" s="1"/>
  <c r="BR483" i="12" l="1"/>
  <c r="BH484" i="12" s="1"/>
  <c r="FP616" i="12"/>
  <c r="FO617" i="12"/>
  <c r="GH469" i="12"/>
  <c r="O265" i="12" s="1"/>
  <c r="AP31" i="22"/>
  <c r="CR567" i="12"/>
  <c r="GL469" i="12"/>
  <c r="Q265" i="12" s="1"/>
  <c r="AJ31" i="22"/>
  <c r="DX469" i="12"/>
  <c r="AS31" i="22" s="1"/>
  <c r="FY468" i="12"/>
  <c r="GQ468" i="12" s="1"/>
  <c r="HF468" i="12" s="1"/>
  <c r="HF337" i="12" s="1"/>
  <c r="H446" i="12" s="1"/>
  <c r="N446" i="12" s="1"/>
  <c r="BD484" i="12" l="1"/>
  <c r="BE484" i="12" s="1"/>
  <c r="FP617" i="12"/>
  <c r="FO618" i="12"/>
  <c r="GC468" i="12"/>
  <c r="FT469" i="12" s="1"/>
  <c r="EA469" i="12"/>
  <c r="DK469" i="12" s="1"/>
  <c r="DD470" i="12" s="1"/>
  <c r="CX567" i="12"/>
  <c r="CN568" i="12" s="1"/>
  <c r="AV29" i="22"/>
  <c r="ER484" i="12" l="1"/>
  <c r="CM484" i="12"/>
  <c r="CU484" i="12"/>
  <c r="CE484" i="12"/>
  <c r="EF484" i="12"/>
  <c r="BW484" i="12"/>
  <c r="CB484" i="12" s="1"/>
  <c r="CH484" i="12" s="1"/>
  <c r="BX485" i="12" s="1"/>
  <c r="EX484" i="12"/>
  <c r="BG484" i="12"/>
  <c r="BL484" i="12" s="1"/>
  <c r="DC484" i="12"/>
  <c r="DP484" i="12" s="1"/>
  <c r="BO484" i="12"/>
  <c r="GU484" i="12"/>
  <c r="GV484" i="12" s="1"/>
  <c r="FR484" i="12" s="1"/>
  <c r="FO619" i="12"/>
  <c r="FP618" i="12"/>
  <c r="AN29" i="22"/>
  <c r="CC106" i="22"/>
  <c r="CD106" i="22" s="1"/>
  <c r="J513" i="12"/>
  <c r="CR568" i="12"/>
  <c r="CX568" i="12" s="1"/>
  <c r="CN569" i="12" s="1"/>
  <c r="FY469" i="12"/>
  <c r="AG33" i="22"/>
  <c r="DQ470" i="12"/>
  <c r="DU470" i="12"/>
  <c r="DH470" i="12"/>
  <c r="BR484" i="12" l="1"/>
  <c r="BH485" i="12" s="1"/>
  <c r="FP619" i="12"/>
  <c r="FO620" i="12"/>
  <c r="GL470" i="12"/>
  <c r="DX470" i="12"/>
  <c r="GQ469" i="12"/>
  <c r="HG469" i="12" s="1"/>
  <c r="Y265" i="12"/>
  <c r="GC469" i="12"/>
  <c r="CR569" i="12"/>
  <c r="CX569" i="12" s="1"/>
  <c r="CN570" i="12" s="1"/>
  <c r="GH470" i="12"/>
  <c r="CB108" i="22"/>
  <c r="AF33" i="22"/>
  <c r="CA108" i="22" s="1"/>
  <c r="I518" i="12"/>
  <c r="BD485" i="12" l="1"/>
  <c r="BE485" i="12" s="1"/>
  <c r="FP620" i="12"/>
  <c r="FO621" i="12"/>
  <c r="BZ107" i="22"/>
  <c r="O515" i="12"/>
  <c r="AA265" i="12"/>
  <c r="G712" i="12"/>
  <c r="V618" i="12"/>
  <c r="EA470" i="12"/>
  <c r="DK470" i="12" s="1"/>
  <c r="DD471" i="12" s="1"/>
  <c r="CR570" i="12"/>
  <c r="CX570" i="12" s="1"/>
  <c r="CN571" i="12" s="1"/>
  <c r="FT470" i="12"/>
  <c r="ER485" i="12" l="1"/>
  <c r="DC485" i="12"/>
  <c r="DP485" i="12" s="1"/>
  <c r="BG485" i="12"/>
  <c r="BL485" i="12" s="1"/>
  <c r="BO485" i="12"/>
  <c r="CU485" i="12"/>
  <c r="CM485" i="12"/>
  <c r="CE485" i="12"/>
  <c r="GU485" i="12"/>
  <c r="GV485" i="12" s="1"/>
  <c r="FR485" i="12" s="1"/>
  <c r="EF485" i="12"/>
  <c r="BW485" i="12"/>
  <c r="CB485" i="12" s="1"/>
  <c r="CH485" i="12" s="1"/>
  <c r="BX486" i="12" s="1"/>
  <c r="EX485" i="12"/>
  <c r="K712" i="12"/>
  <c r="AT712" i="12" s="1"/>
  <c r="X712" i="12" s="1"/>
  <c r="AC712" i="12" s="1"/>
  <c r="S712" i="12"/>
  <c r="P712" i="12"/>
  <c r="FP621" i="12"/>
  <c r="FO622" i="12"/>
  <c r="CR571" i="12"/>
  <c r="CX571" i="12" s="1"/>
  <c r="CN572" i="12" s="1"/>
  <c r="FY470" i="12"/>
  <c r="Y618" i="12"/>
  <c r="O618" i="12"/>
  <c r="AP447" i="12"/>
  <c r="AH265" i="12"/>
  <c r="DU471" i="12"/>
  <c r="DQ471" i="12"/>
  <c r="DH471" i="12"/>
  <c r="BR485" i="12" l="1"/>
  <c r="BH486" i="12" s="1"/>
  <c r="FP622" i="12"/>
  <c r="FO623" i="12"/>
  <c r="CR572" i="12"/>
  <c r="CX572" i="12" s="1"/>
  <c r="CN573" i="12" s="1"/>
  <c r="AJ712" i="12"/>
  <c r="DX471" i="12"/>
  <c r="EA471" i="12" s="1"/>
  <c r="DK471" i="12" s="1"/>
  <c r="DD472" i="12" s="1"/>
  <c r="GL471" i="12"/>
  <c r="GH471" i="12"/>
  <c r="AU265" i="12"/>
  <c r="F615" i="12"/>
  <c r="GQ470" i="12"/>
  <c r="GC470" i="12"/>
  <c r="BD486" i="12" l="1"/>
  <c r="BE486" i="12" s="1"/>
  <c r="HG470" i="12"/>
  <c r="FP623" i="12"/>
  <c r="FO624" i="12"/>
  <c r="FT471" i="12"/>
  <c r="FY471" i="12" s="1"/>
  <c r="CR573" i="12"/>
  <c r="CX573" i="12" s="1"/>
  <c r="CN574" i="12" s="1"/>
  <c r="L617" i="12"/>
  <c r="I616" i="12"/>
  <c r="F123" i="23"/>
  <c r="DU472" i="12"/>
  <c r="DQ472" i="12"/>
  <c r="DH472" i="12"/>
  <c r="EX486" i="12" l="1"/>
  <c r="CE486" i="12"/>
  <c r="EF486" i="12"/>
  <c r="BW486" i="12"/>
  <c r="CB486" i="12" s="1"/>
  <c r="CH486" i="12" s="1"/>
  <c r="BX487" i="12" s="1"/>
  <c r="CU486" i="12"/>
  <c r="CM486" i="12"/>
  <c r="DC486" i="12"/>
  <c r="DP486" i="12" s="1"/>
  <c r="GU486" i="12"/>
  <c r="GV486" i="12" s="1"/>
  <c r="FR486" i="12" s="1"/>
  <c r="BG486" i="12"/>
  <c r="BL486" i="12" s="1"/>
  <c r="BO486" i="12"/>
  <c r="ER486" i="12"/>
  <c r="FO625" i="12"/>
  <c r="FP624" i="12"/>
  <c r="CR574" i="12"/>
  <c r="CX574" i="12" s="1"/>
  <c r="CN575" i="12" s="1"/>
  <c r="DX472" i="12"/>
  <c r="GL472" i="12"/>
  <c r="GH472" i="12"/>
  <c r="J122" i="23"/>
  <c r="GQ471" i="12"/>
  <c r="GC471" i="12"/>
  <c r="BR486" i="12" l="1"/>
  <c r="BH487" i="12" s="1"/>
  <c r="HG471" i="12"/>
  <c r="FP625" i="12"/>
  <c r="FO626" i="12"/>
  <c r="FT472" i="12"/>
  <c r="FY472" i="12" s="1"/>
  <c r="GC472" i="12" s="1"/>
  <c r="EA472" i="12"/>
  <c r="DK472" i="12" s="1"/>
  <c r="DD473" i="12" s="1"/>
  <c r="CR575" i="12"/>
  <c r="CX575" i="12" s="1"/>
  <c r="CN576" i="12" s="1"/>
  <c r="BD487" i="12" l="1"/>
  <c r="BE487" i="12" s="1"/>
  <c r="FP626" i="12"/>
  <c r="FO627" i="12"/>
  <c r="CR576" i="12"/>
  <c r="CX576" i="12" s="1"/>
  <c r="CN577" i="12" s="1"/>
  <c r="DQ473" i="12"/>
  <c r="DU473" i="12"/>
  <c r="DH473" i="12"/>
  <c r="GQ472" i="12"/>
  <c r="HG472" i="12" s="1"/>
  <c r="DC487" i="12" l="1"/>
  <c r="DP487" i="12" s="1"/>
  <c r="GU487" i="12"/>
  <c r="GV487" i="12" s="1"/>
  <c r="FR487" i="12" s="1"/>
  <c r="CM487" i="12"/>
  <c r="EF487" i="12"/>
  <c r="CU487" i="12"/>
  <c r="EX487" i="12"/>
  <c r="ER487" i="12"/>
  <c r="CE487" i="12"/>
  <c r="BW487" i="12"/>
  <c r="CB487" i="12" s="1"/>
  <c r="CH487" i="12" s="1"/>
  <c r="BX488" i="12" s="1"/>
  <c r="BO487" i="12"/>
  <c r="BG487" i="12"/>
  <c r="BL487" i="12" s="1"/>
  <c r="BR487" i="12" s="1"/>
  <c r="BH488" i="12" s="1"/>
  <c r="FP627" i="12"/>
  <c r="FO628" i="12"/>
  <c r="GL473" i="12"/>
  <c r="DX473" i="12"/>
  <c r="EA473" i="12" s="1"/>
  <c r="DK473" i="12" s="1"/>
  <c r="DD474" i="12" s="1"/>
  <c r="GH473" i="12"/>
  <c r="CR577" i="12"/>
  <c r="M61" i="16" s="1"/>
  <c r="BD488" i="12" l="1"/>
  <c r="BE488" i="12" s="1"/>
  <c r="FT473" i="12"/>
  <c r="FY473" i="12" s="1"/>
  <c r="FO629" i="12"/>
  <c r="FP628" i="12"/>
  <c r="DU474" i="12"/>
  <c r="DQ474" i="12"/>
  <c r="DH474" i="12"/>
  <c r="CX577" i="12"/>
  <c r="GU488" i="12" l="1"/>
  <c r="GV488" i="12" s="1"/>
  <c r="FR488" i="12" s="1"/>
  <c r="BG488" i="12"/>
  <c r="BL488" i="12" s="1"/>
  <c r="BR488" i="12" s="1"/>
  <c r="BH489" i="12" s="1"/>
  <c r="DC488" i="12"/>
  <c r="DP488" i="12" s="1"/>
  <c r="BO488" i="12"/>
  <c r="CE488" i="12"/>
  <c r="BW488" i="12"/>
  <c r="CB488" i="12" s="1"/>
  <c r="CH488" i="12" s="1"/>
  <c r="BX489" i="12" s="1"/>
  <c r="CU488" i="12"/>
  <c r="EX488" i="12"/>
  <c r="CM488" i="12"/>
  <c r="EF488" i="12"/>
  <c r="ER488" i="12"/>
  <c r="FP629" i="12"/>
  <c r="FO630" i="12"/>
  <c r="GL474" i="12"/>
  <c r="GH474" i="12"/>
  <c r="G61" i="16"/>
  <c r="CN578" i="12"/>
  <c r="H541" i="12"/>
  <c r="DX474" i="12"/>
  <c r="EA474" i="12" s="1"/>
  <c r="DK474" i="12" s="1"/>
  <c r="DD475" i="12" s="1"/>
  <c r="GQ473" i="12"/>
  <c r="HG473" i="12" s="1"/>
  <c r="GC473" i="12"/>
  <c r="BD489" i="12" l="1"/>
  <c r="BE489" i="12" s="1"/>
  <c r="FO631" i="12"/>
  <c r="FP630" i="12"/>
  <c r="FT474" i="12"/>
  <c r="FY474" i="12" s="1"/>
  <c r="DQ475" i="12"/>
  <c r="DU475" i="12"/>
  <c r="GH475" i="12" s="1"/>
  <c r="DH475" i="12"/>
  <c r="GL475" i="12" s="1"/>
  <c r="N538" i="12"/>
  <c r="D63" i="16"/>
  <c r="C63" i="16" s="1"/>
  <c r="CR578" i="12"/>
  <c r="DC489" i="12" l="1"/>
  <c r="DP489" i="12" s="1"/>
  <c r="BW489" i="12"/>
  <c r="CB489" i="12" s="1"/>
  <c r="CH489" i="12" s="1"/>
  <c r="BX490" i="12" s="1"/>
  <c r="ER489" i="12"/>
  <c r="GU489" i="12"/>
  <c r="GV489" i="12" s="1"/>
  <c r="FR489" i="12" s="1"/>
  <c r="CU489" i="12"/>
  <c r="BG489" i="12"/>
  <c r="BL489" i="12" s="1"/>
  <c r="BR489" i="12" s="1"/>
  <c r="BH490" i="12" s="1"/>
  <c r="EX489" i="12"/>
  <c r="BO489" i="12"/>
  <c r="CM489" i="12"/>
  <c r="CE489" i="12"/>
  <c r="EF489" i="12"/>
  <c r="FP631" i="12"/>
  <c r="FO632" i="12"/>
  <c r="GQ474" i="12"/>
  <c r="HG474" i="12" s="1"/>
  <c r="GC474" i="12"/>
  <c r="FT475" i="12" s="1"/>
  <c r="CX578" i="12"/>
  <c r="CN579" i="12" s="1"/>
  <c r="DX475" i="12"/>
  <c r="EA475" i="12" s="1"/>
  <c r="DK475" i="12" s="1"/>
  <c r="DD476" i="12" s="1"/>
  <c r="BD490" i="12" l="1"/>
  <c r="BE490" i="12" s="1"/>
  <c r="FO633" i="12"/>
  <c r="FP632" i="12"/>
  <c r="DU476" i="12"/>
  <c r="GH476" i="12" s="1"/>
  <c r="DQ476" i="12"/>
  <c r="DH476" i="12"/>
  <c r="GL476" i="12" s="1"/>
  <c r="CR579" i="12"/>
  <c r="CX579" i="12" s="1"/>
  <c r="CN580" i="12" s="1"/>
  <c r="FY475" i="12"/>
  <c r="GQ475" i="12" s="1"/>
  <c r="HG475" i="12" s="1"/>
  <c r="BO490" i="12" l="1"/>
  <c r="BW490" i="12"/>
  <c r="CB490" i="12" s="1"/>
  <c r="CH490" i="12" s="1"/>
  <c r="BX491" i="12" s="1"/>
  <c r="CE490" i="12"/>
  <c r="BG490" i="12"/>
  <c r="BL490" i="12" s="1"/>
  <c r="BR490" i="12" s="1"/>
  <c r="BH491" i="12" s="1"/>
  <c r="DC490" i="12"/>
  <c r="DP490" i="12" s="1"/>
  <c r="CM490" i="12"/>
  <c r="CU490" i="12"/>
  <c r="GU490" i="12"/>
  <c r="GV490" i="12" s="1"/>
  <c r="FR490" i="12" s="1"/>
  <c r="EF490" i="12"/>
  <c r="ER490" i="12"/>
  <c r="EX490" i="12"/>
  <c r="FO634" i="12"/>
  <c r="FP633" i="12"/>
  <c r="CR580" i="12"/>
  <c r="CX580" i="12" s="1"/>
  <c r="CN581" i="12" s="1"/>
  <c r="GC475" i="12"/>
  <c r="FT476" i="12" s="1"/>
  <c r="DX476" i="12"/>
  <c r="EA476" i="12" s="1"/>
  <c r="DK476" i="12" s="1"/>
  <c r="DD477" i="12" s="1"/>
  <c r="BD491" i="12" l="1"/>
  <c r="BE491" i="12" s="1"/>
  <c r="FO635" i="12"/>
  <c r="FP634" i="12"/>
  <c r="CR581" i="12"/>
  <c r="DU477" i="12"/>
  <c r="GH477" i="12" s="1"/>
  <c r="DQ477" i="12"/>
  <c r="DH477" i="12"/>
  <c r="GL477" i="12" s="1"/>
  <c r="FY476" i="12"/>
  <c r="GQ476" i="12" s="1"/>
  <c r="HG476" i="12" s="1"/>
  <c r="BO491" i="12" l="1"/>
  <c r="GU491" i="12"/>
  <c r="GV491" i="12" s="1"/>
  <c r="FR491" i="12" s="1"/>
  <c r="DC491" i="12"/>
  <c r="DP491" i="12" s="1"/>
  <c r="CU491" i="12"/>
  <c r="CM491" i="12"/>
  <c r="BG491" i="12"/>
  <c r="BL491" i="12" s="1"/>
  <c r="BR491" i="12" s="1"/>
  <c r="BH492" i="12" s="1"/>
  <c r="ER491" i="12"/>
  <c r="EF491" i="12"/>
  <c r="BW491" i="12"/>
  <c r="CB491" i="12" s="1"/>
  <c r="CH491" i="12" s="1"/>
  <c r="BX492" i="12" s="1"/>
  <c r="CE491" i="12"/>
  <c r="EX491" i="12"/>
  <c r="FO636" i="12"/>
  <c r="FP635" i="12"/>
  <c r="GC476" i="12"/>
  <c r="FT477" i="12" s="1"/>
  <c r="DX477" i="12"/>
  <c r="EA477" i="12" s="1"/>
  <c r="DK477" i="12" s="1"/>
  <c r="DD478" i="12" s="1"/>
  <c r="CX581" i="12"/>
  <c r="CN582" i="12" s="1"/>
  <c r="BD492" i="12" l="1"/>
  <c r="BE492" i="12" s="1"/>
  <c r="FP636" i="12"/>
  <c r="FO637" i="12"/>
  <c r="CR582" i="12"/>
  <c r="CX582" i="12" s="1"/>
  <c r="CN583" i="12" s="1"/>
  <c r="FY477" i="12"/>
  <c r="GQ477" i="12" s="1"/>
  <c r="HG477" i="12" s="1"/>
  <c r="DU478" i="12"/>
  <c r="GH478" i="12" s="1"/>
  <c r="DQ478" i="12"/>
  <c r="DH478" i="12"/>
  <c r="GL478" i="12" s="1"/>
  <c r="CE492" i="12" l="1"/>
  <c r="BW492" i="12"/>
  <c r="CB492" i="12" s="1"/>
  <c r="CH492" i="12" s="1"/>
  <c r="BX493" i="12" s="1"/>
  <c r="ER492" i="12"/>
  <c r="DC492" i="12"/>
  <c r="DP492" i="12" s="1"/>
  <c r="CU492" i="12"/>
  <c r="EX492" i="12"/>
  <c r="EF492" i="12"/>
  <c r="BO492" i="12"/>
  <c r="GU492" i="12"/>
  <c r="GV492" i="12" s="1"/>
  <c r="FR492" i="12" s="1"/>
  <c r="CM492" i="12"/>
  <c r="BG492" i="12"/>
  <c r="BL492" i="12" s="1"/>
  <c r="BR492" i="12" s="1"/>
  <c r="BH493" i="12" s="1"/>
  <c r="FP637" i="12"/>
  <c r="FO638" i="12"/>
  <c r="DX478" i="12"/>
  <c r="EA478" i="12" s="1"/>
  <c r="DK478" i="12" s="1"/>
  <c r="DD479" i="12" s="1"/>
  <c r="GC477" i="12"/>
  <c r="FT478" i="12" s="1"/>
  <c r="CR583" i="12"/>
  <c r="CX583" i="12" s="1"/>
  <c r="CN584" i="12" s="1"/>
  <c r="BD493" i="12" l="1"/>
  <c r="BE493" i="12" s="1"/>
  <c r="FP638" i="12"/>
  <c r="FO639" i="12"/>
  <c r="FY478" i="12"/>
  <c r="GQ478" i="12" s="1"/>
  <c r="HG478" i="12" s="1"/>
  <c r="CR584" i="12"/>
  <c r="CX584" i="12" s="1"/>
  <c r="CN585" i="12" s="1"/>
  <c r="DQ479" i="12"/>
  <c r="DU479" i="12"/>
  <c r="GH479" i="12" s="1"/>
  <c r="DH479" i="12"/>
  <c r="GL479" i="12" s="1"/>
  <c r="BW493" i="12" l="1"/>
  <c r="CB493" i="12" s="1"/>
  <c r="CM493" i="12"/>
  <c r="DC493" i="12"/>
  <c r="DP493" i="12" s="1"/>
  <c r="BO493" i="12"/>
  <c r="J47" i="14" s="1"/>
  <c r="EF493" i="12"/>
  <c r="S269" i="12" s="1"/>
  <c r="CU493" i="12"/>
  <c r="J47" i="16" s="1"/>
  <c r="P47" i="16" s="1"/>
  <c r="EX493" i="12"/>
  <c r="FL493" i="12" s="1"/>
  <c r="FN493" i="12" s="1"/>
  <c r="FQ493" i="12" s="1"/>
  <c r="ER493" i="12"/>
  <c r="V269" i="12" s="1"/>
  <c r="CE493" i="12"/>
  <c r="J47" i="15" s="1"/>
  <c r="BG493" i="12"/>
  <c r="BL493" i="12" s="1"/>
  <c r="GU493" i="12"/>
  <c r="GV493" i="12" s="1"/>
  <c r="FP639" i="12"/>
  <c r="FO640" i="12"/>
  <c r="GC478" i="12"/>
  <c r="FT479" i="12" s="1"/>
  <c r="DX479" i="12"/>
  <c r="EA479" i="12" s="1"/>
  <c r="DK479" i="12" s="1"/>
  <c r="DD480" i="12" s="1"/>
  <c r="CR585" i="12"/>
  <c r="CX585" i="12" s="1"/>
  <c r="CN586" i="12" s="1"/>
  <c r="M47" i="15" l="1"/>
  <c r="P47" i="15" s="1"/>
  <c r="CH493" i="12"/>
  <c r="FJ493" i="12"/>
  <c r="FD493" i="12" s="1"/>
  <c r="FL482" i="12"/>
  <c r="FL484" i="12"/>
  <c r="FL483" i="12"/>
  <c r="FL486" i="12"/>
  <c r="FL485" i="12"/>
  <c r="FL487" i="12"/>
  <c r="FL488" i="12"/>
  <c r="FL492" i="12"/>
  <c r="FL491" i="12"/>
  <c r="FL489" i="12"/>
  <c r="FL490" i="12"/>
  <c r="M47" i="14"/>
  <c r="P47" i="14" s="1"/>
  <c r="BR493" i="12"/>
  <c r="FO641" i="12"/>
  <c r="FP640" i="12"/>
  <c r="CR586" i="12"/>
  <c r="CX586" i="12" s="1"/>
  <c r="CN587" i="12" s="1"/>
  <c r="DU480" i="12"/>
  <c r="GH480" i="12" s="1"/>
  <c r="DQ480" i="12"/>
  <c r="DH480" i="12"/>
  <c r="GL480" i="12" s="1"/>
  <c r="FY479" i="12"/>
  <c r="GQ479" i="12" s="1"/>
  <c r="HG479" i="12" s="1"/>
  <c r="G520" i="12" l="1"/>
  <c r="BX494" i="12"/>
  <c r="G47" i="15"/>
  <c r="BH494" i="12"/>
  <c r="F520" i="12"/>
  <c r="G47" i="14"/>
  <c r="FN486" i="12"/>
  <c r="FQ486" i="12" s="1"/>
  <c r="FJ486" i="12"/>
  <c r="FD486" i="12" s="1"/>
  <c r="FN488" i="12"/>
  <c r="FQ488" i="12" s="1"/>
  <c r="FJ488" i="12"/>
  <c r="FD488" i="12" s="1"/>
  <c r="FN483" i="12"/>
  <c r="FQ483" i="12" s="1"/>
  <c r="FJ483" i="12"/>
  <c r="FD483" i="12" s="1"/>
  <c r="FN484" i="12"/>
  <c r="FQ484" i="12" s="1"/>
  <c r="FJ484" i="12"/>
  <c r="FD484" i="12" s="1"/>
  <c r="FN487" i="12"/>
  <c r="FQ487" i="12" s="1"/>
  <c r="FJ487" i="12"/>
  <c r="FD487" i="12" s="1"/>
  <c r="FN491" i="12"/>
  <c r="FQ491" i="12" s="1"/>
  <c r="FJ491" i="12"/>
  <c r="FD491" i="12" s="1"/>
  <c r="FN482" i="12"/>
  <c r="FQ482" i="12" s="1"/>
  <c r="FJ482" i="12"/>
  <c r="FD482" i="12" s="1"/>
  <c r="FN485" i="12"/>
  <c r="FQ485" i="12" s="1"/>
  <c r="FJ485" i="12"/>
  <c r="FD485" i="12" s="1"/>
  <c r="FN490" i="12"/>
  <c r="FQ490" i="12" s="1"/>
  <c r="FJ490" i="12"/>
  <c r="FD490" i="12" s="1"/>
  <c r="FN489" i="12"/>
  <c r="FQ489" i="12" s="1"/>
  <c r="FJ489" i="12"/>
  <c r="FD489" i="12" s="1"/>
  <c r="FN492" i="12"/>
  <c r="FQ492" i="12" s="1"/>
  <c r="FJ492" i="12"/>
  <c r="FD492" i="12" s="1"/>
  <c r="FO642" i="12"/>
  <c r="FP641" i="12"/>
  <c r="CR587" i="12"/>
  <c r="CX587" i="12" s="1"/>
  <c r="CN588" i="12" s="1"/>
  <c r="GC479" i="12"/>
  <c r="FT480" i="12" s="1"/>
  <c r="DX480" i="12"/>
  <c r="EA480" i="12" s="1"/>
  <c r="DK480" i="12" s="1"/>
  <c r="DD481" i="12" s="1"/>
  <c r="D49" i="15" l="1"/>
  <c r="L517" i="12"/>
  <c r="G269" i="12"/>
  <c r="L269" i="12"/>
  <c r="BD494" i="12"/>
  <c r="BE494" i="12" s="1"/>
  <c r="D49" i="14"/>
  <c r="K517" i="12"/>
  <c r="FP642" i="12"/>
  <c r="FO643" i="12"/>
  <c r="DU481" i="12"/>
  <c r="DQ481" i="12"/>
  <c r="DH481" i="12"/>
  <c r="FY480" i="12"/>
  <c r="GQ480" i="12" s="1"/>
  <c r="HG480" i="12" s="1"/>
  <c r="HG337" i="12" s="1"/>
  <c r="H447" i="12" s="1"/>
  <c r="N447" i="12" s="1"/>
  <c r="CR588" i="12"/>
  <c r="CX588" i="12" s="1"/>
  <c r="CN589" i="12" s="1"/>
  <c r="C49" i="15" l="1"/>
  <c r="C49" i="14"/>
  <c r="BO494" i="12"/>
  <c r="BW494" i="12"/>
  <c r="CB494" i="12" s="1"/>
  <c r="CH494" i="12" s="1"/>
  <c r="BX495" i="12" s="1"/>
  <c r="CE494" i="12"/>
  <c r="ER494" i="12"/>
  <c r="EF494" i="12"/>
  <c r="CU494" i="12"/>
  <c r="EX494" i="12"/>
  <c r="GU494" i="12"/>
  <c r="GV494" i="12" s="1"/>
  <c r="FR494" i="12" s="1"/>
  <c r="DC494" i="12"/>
  <c r="DP494" i="12" s="1"/>
  <c r="BG494" i="12"/>
  <c r="BL494" i="12" s="1"/>
  <c r="CM494" i="12"/>
  <c r="FP643" i="12"/>
  <c r="FO644" i="12"/>
  <c r="GC480" i="12"/>
  <c r="DX481" i="12"/>
  <c r="AS33" i="22" s="1"/>
  <c r="CR589" i="12"/>
  <c r="M63" i="16" s="1"/>
  <c r="GL481" i="12"/>
  <c r="Q267" i="12" s="1"/>
  <c r="AJ33" i="22"/>
  <c r="GH481" i="12"/>
  <c r="O267" i="12" s="1"/>
  <c r="AP33" i="22"/>
  <c r="BR494" i="12" l="1"/>
  <c r="BH495" i="12" s="1"/>
  <c r="FO645" i="12"/>
  <c r="FP644" i="12"/>
  <c r="CX589" i="12"/>
  <c r="H544" i="12" s="1"/>
  <c r="EA481" i="12"/>
  <c r="DK481" i="12" s="1"/>
  <c r="DD482" i="12" s="1"/>
  <c r="FT481" i="12"/>
  <c r="AV31" i="22"/>
  <c r="BD495" i="12" l="1"/>
  <c r="BE495" i="12" s="1"/>
  <c r="CN590" i="12"/>
  <c r="CR590" i="12" s="1"/>
  <c r="G63" i="16"/>
  <c r="FO646" i="12"/>
  <c r="FP645" i="12"/>
  <c r="W544" i="12"/>
  <c r="N541" i="12"/>
  <c r="AN31" i="22"/>
  <c r="CC107" i="22"/>
  <c r="CD107" i="22" s="1"/>
  <c r="J516" i="12"/>
  <c r="AG35" i="22"/>
  <c r="DU482" i="12"/>
  <c r="DQ482" i="12"/>
  <c r="DH482" i="12"/>
  <c r="FY481" i="12"/>
  <c r="DC495" i="12" l="1"/>
  <c r="DP495" i="12" s="1"/>
  <c r="ER495" i="12"/>
  <c r="CM495" i="12"/>
  <c r="BO495" i="12"/>
  <c r="CU495" i="12"/>
  <c r="BG495" i="12"/>
  <c r="BL495" i="12" s="1"/>
  <c r="EF495" i="12"/>
  <c r="EX495" i="12"/>
  <c r="BW495" i="12"/>
  <c r="CB495" i="12" s="1"/>
  <c r="CH495" i="12" s="1"/>
  <c r="BX496" i="12" s="1"/>
  <c r="CE495" i="12"/>
  <c r="GU495" i="12"/>
  <c r="GV495" i="12" s="1"/>
  <c r="FR495" i="12" s="1"/>
  <c r="D65" i="16"/>
  <c r="C65" i="16" s="1"/>
  <c r="FP646" i="12"/>
  <c r="FO647" i="12"/>
  <c r="I521" i="12"/>
  <c r="CB109" i="22"/>
  <c r="AF35" i="22"/>
  <c r="CA109" i="22" s="1"/>
  <c r="GL482" i="12"/>
  <c r="GH482" i="12"/>
  <c r="CX590" i="12"/>
  <c r="CN591" i="12" s="1"/>
  <c r="GQ481" i="12"/>
  <c r="HH481" i="12" s="1"/>
  <c r="Y267" i="12"/>
  <c r="GC481" i="12"/>
  <c r="DX482" i="12"/>
  <c r="EA482" i="12" s="1"/>
  <c r="DK482" i="12" s="1"/>
  <c r="DD483" i="12" s="1"/>
  <c r="BR495" i="12" l="1"/>
  <c r="BH496" i="12" s="1"/>
  <c r="FO648" i="12"/>
  <c r="FP647" i="12"/>
  <c r="FT482" i="12"/>
  <c r="FY482" i="12" s="1"/>
  <c r="DU483" i="12"/>
  <c r="DQ483" i="12"/>
  <c r="DH483" i="12"/>
  <c r="AA267" i="12"/>
  <c r="V623" i="12"/>
  <c r="G713" i="12"/>
  <c r="CR591" i="12"/>
  <c r="CX591" i="12" s="1"/>
  <c r="CN592" i="12" s="1"/>
  <c r="BZ108" i="22"/>
  <c r="O518" i="12"/>
  <c r="BD496" i="12" l="1"/>
  <c r="BE496" i="12" s="1"/>
  <c r="K713" i="12"/>
  <c r="AT713" i="12" s="1"/>
  <c r="X713" i="12" s="1"/>
  <c r="AC713" i="12" s="1"/>
  <c r="S713" i="12"/>
  <c r="P713" i="12"/>
  <c r="FO649" i="12"/>
  <c r="FP649" i="12" s="1"/>
  <c r="FP648" i="12"/>
  <c r="CR592" i="12"/>
  <c r="CX592" i="12" s="1"/>
  <c r="CN593" i="12" s="1"/>
  <c r="AP448" i="12"/>
  <c r="AH267" i="12"/>
  <c r="GL483" i="12"/>
  <c r="GH483" i="12"/>
  <c r="Y623" i="12"/>
  <c r="O623" i="12"/>
  <c r="GQ482" i="12"/>
  <c r="GC482" i="12"/>
  <c r="DX483" i="12"/>
  <c r="EA483" i="12" s="1"/>
  <c r="DK483" i="12" s="1"/>
  <c r="DD484" i="12" s="1"/>
  <c r="CM496" i="12" l="1"/>
  <c r="GU496" i="12"/>
  <c r="GV496" i="12" s="1"/>
  <c r="FR496" i="12" s="1"/>
  <c r="CE496" i="12"/>
  <c r="DC496" i="12"/>
  <c r="DP496" i="12" s="1"/>
  <c r="BO496" i="12"/>
  <c r="CU496" i="12"/>
  <c r="BG496" i="12"/>
  <c r="BL496" i="12" s="1"/>
  <c r="ER496" i="12"/>
  <c r="BW496" i="12"/>
  <c r="CB496" i="12" s="1"/>
  <c r="CH496" i="12" s="1"/>
  <c r="BX497" i="12" s="1"/>
  <c r="EX496" i="12"/>
  <c r="EF496" i="12"/>
  <c r="HH482" i="12"/>
  <c r="FT483" i="12"/>
  <c r="FY483" i="12" s="1"/>
  <c r="CR593" i="12"/>
  <c r="CX593" i="12" s="1"/>
  <c r="CN594" i="12" s="1"/>
  <c r="F620" i="12"/>
  <c r="AU267" i="12"/>
  <c r="AJ713" i="12"/>
  <c r="DU484" i="12"/>
  <c r="DQ484" i="12"/>
  <c r="DH484" i="12"/>
  <c r="BR496" i="12" l="1"/>
  <c r="BH497" i="12" s="1"/>
  <c r="CR594" i="12"/>
  <c r="CX594" i="12" s="1"/>
  <c r="CN595" i="12" s="1"/>
  <c r="DX484" i="12"/>
  <c r="EA484" i="12" s="1"/>
  <c r="DK484" i="12" s="1"/>
  <c r="DD485" i="12" s="1"/>
  <c r="GL484" i="12"/>
  <c r="GH484" i="12"/>
  <c r="F124" i="23"/>
  <c r="L622" i="12"/>
  <c r="I621" i="12"/>
  <c r="GQ483" i="12"/>
  <c r="GC483" i="12"/>
  <c r="BD497" i="12" l="1"/>
  <c r="BE497" i="12" s="1"/>
  <c r="HH483" i="12"/>
  <c r="CR595" i="12"/>
  <c r="CX595" i="12" s="1"/>
  <c r="CN596" i="12" s="1"/>
  <c r="J123" i="23"/>
  <c r="FT484" i="12"/>
  <c r="DU485" i="12"/>
  <c r="DQ485" i="12"/>
  <c r="DH485" i="12"/>
  <c r="BO497" i="12" l="1"/>
  <c r="EX497" i="12"/>
  <c r="BW497" i="12"/>
  <c r="CB497" i="12" s="1"/>
  <c r="CH497" i="12" s="1"/>
  <c r="BX498" i="12" s="1"/>
  <c r="BG497" i="12"/>
  <c r="BL497" i="12" s="1"/>
  <c r="DC497" i="12"/>
  <c r="DP497" i="12" s="1"/>
  <c r="CM497" i="12"/>
  <c r="GU497" i="12"/>
  <c r="GV497" i="12" s="1"/>
  <c r="FR497" i="12" s="1"/>
  <c r="CU497" i="12"/>
  <c r="ER497" i="12"/>
  <c r="CE497" i="12"/>
  <c r="EF497" i="12"/>
  <c r="CR596" i="12"/>
  <c r="CX596" i="12" s="1"/>
  <c r="CN597" i="12" s="1"/>
  <c r="DX485" i="12"/>
  <c r="EA485" i="12" s="1"/>
  <c r="DK485" i="12" s="1"/>
  <c r="DD486" i="12" s="1"/>
  <c r="FY484" i="12"/>
  <c r="GL485" i="12"/>
  <c r="GH485" i="12"/>
  <c r="BR497" i="12" l="1"/>
  <c r="BH498" i="12" s="1"/>
  <c r="DQ486" i="12"/>
  <c r="DU486" i="12"/>
  <c r="DH486" i="12"/>
  <c r="CR597" i="12"/>
  <c r="CX597" i="12" s="1"/>
  <c r="CN598" i="12" s="1"/>
  <c r="GQ484" i="12"/>
  <c r="HH484" i="12" s="1"/>
  <c r="GC484" i="12"/>
  <c r="FT485" i="12" s="1"/>
  <c r="BD498" i="12" l="1"/>
  <c r="BE498" i="12" s="1"/>
  <c r="GH486" i="12"/>
  <c r="FY485" i="12"/>
  <c r="CR598" i="12"/>
  <c r="CX598" i="12" s="1"/>
  <c r="CN599" i="12" s="1"/>
  <c r="GL486" i="12"/>
  <c r="DX486" i="12"/>
  <c r="EA486" i="12" s="1"/>
  <c r="DK486" i="12" s="1"/>
  <c r="DD487" i="12" s="1"/>
  <c r="GU498" i="12" l="1"/>
  <c r="GV498" i="12" s="1"/>
  <c r="FR498" i="12" s="1"/>
  <c r="CE498" i="12"/>
  <c r="BW498" i="12"/>
  <c r="CB498" i="12" s="1"/>
  <c r="CH498" i="12" s="1"/>
  <c r="BX499" i="12" s="1"/>
  <c r="ER498" i="12"/>
  <c r="CU498" i="12"/>
  <c r="EF498" i="12"/>
  <c r="BO498" i="12"/>
  <c r="DC498" i="12"/>
  <c r="DP498" i="12" s="1"/>
  <c r="EX498" i="12"/>
  <c r="CM498" i="12"/>
  <c r="BG498" i="12"/>
  <c r="BL498" i="12" s="1"/>
  <c r="DU487" i="12"/>
  <c r="GH487" i="12" s="1"/>
  <c r="DQ487" i="12"/>
  <c r="DH487" i="12"/>
  <c r="GL487" i="12" s="1"/>
  <c r="CR599" i="12"/>
  <c r="CX599" i="12" s="1"/>
  <c r="CN600" i="12" s="1"/>
  <c r="GQ485" i="12"/>
  <c r="HH485" i="12" s="1"/>
  <c r="GC485" i="12"/>
  <c r="FT486" i="12" s="1"/>
  <c r="BR498" i="12" l="1"/>
  <c r="BH499" i="12" s="1"/>
  <c r="FY486" i="12"/>
  <c r="CR600" i="12"/>
  <c r="CX600" i="12" s="1"/>
  <c r="CN601" i="12" s="1"/>
  <c r="DX487" i="12"/>
  <c r="EA487" i="12" s="1"/>
  <c r="DK487" i="12" s="1"/>
  <c r="DD488" i="12" s="1"/>
  <c r="BD499" i="12" l="1"/>
  <c r="BE499" i="12" s="1"/>
  <c r="DU488" i="12"/>
  <c r="GH488" i="12" s="1"/>
  <c r="DQ488" i="12"/>
  <c r="DH488" i="12"/>
  <c r="GL488" i="12" s="1"/>
  <c r="CR601" i="12"/>
  <c r="M65" i="16" s="1"/>
  <c r="GQ486" i="12"/>
  <c r="HH486" i="12" s="1"/>
  <c r="GC486" i="12"/>
  <c r="FT487" i="12" s="1"/>
  <c r="DC499" i="12" l="1"/>
  <c r="DP499" i="12" s="1"/>
  <c r="CE499" i="12"/>
  <c r="BG499" i="12"/>
  <c r="BL499" i="12" s="1"/>
  <c r="BR499" i="12" s="1"/>
  <c r="BH500" i="12" s="1"/>
  <c r="EX499" i="12"/>
  <c r="CM499" i="12"/>
  <c r="BO499" i="12"/>
  <c r="ER499" i="12"/>
  <c r="CU499" i="12"/>
  <c r="BW499" i="12"/>
  <c r="CB499" i="12" s="1"/>
  <c r="CH499" i="12" s="1"/>
  <c r="BX500" i="12" s="1"/>
  <c r="GU499" i="12"/>
  <c r="GV499" i="12" s="1"/>
  <c r="FR499" i="12" s="1"/>
  <c r="EF499" i="12"/>
  <c r="FY487" i="12"/>
  <c r="GQ487" i="12" s="1"/>
  <c r="HH487" i="12" s="1"/>
  <c r="CX601" i="12"/>
  <c r="DX488" i="12"/>
  <c r="EA488" i="12" s="1"/>
  <c r="DK488" i="12" s="1"/>
  <c r="DD489" i="12" s="1"/>
  <c r="BD500" i="12" l="1"/>
  <c r="BE500" i="12" s="1"/>
  <c r="GC487" i="12"/>
  <c r="FT488" i="12" s="1"/>
  <c r="DU489" i="12"/>
  <c r="GH489" i="12" s="1"/>
  <c r="DQ489" i="12"/>
  <c r="DH489" i="12"/>
  <c r="GL489" i="12" s="1"/>
  <c r="H547" i="12"/>
  <c r="W547" i="12" s="1"/>
  <c r="G65" i="16"/>
  <c r="CN602" i="12"/>
  <c r="EX500" i="12" l="1"/>
  <c r="BO500" i="12"/>
  <c r="CU500" i="12"/>
  <c r="GU500" i="12"/>
  <c r="GV500" i="12" s="1"/>
  <c r="FR500" i="12" s="1"/>
  <c r="BG500" i="12"/>
  <c r="BL500" i="12" s="1"/>
  <c r="BR500" i="12" s="1"/>
  <c r="BH501" i="12" s="1"/>
  <c r="DC500" i="12"/>
  <c r="DP500" i="12" s="1"/>
  <c r="CE500" i="12"/>
  <c r="EF500" i="12"/>
  <c r="ER500" i="12"/>
  <c r="BW500" i="12"/>
  <c r="CB500" i="12" s="1"/>
  <c r="CH500" i="12" s="1"/>
  <c r="BX501" i="12" s="1"/>
  <c r="CM500" i="12"/>
  <c r="D67" i="16"/>
  <c r="C67" i="16" s="1"/>
  <c r="CR602" i="12"/>
  <c r="N544" i="12"/>
  <c r="DX489" i="12"/>
  <c r="EA489" i="12" s="1"/>
  <c r="DK489" i="12" s="1"/>
  <c r="DD490" i="12" s="1"/>
  <c r="FY488" i="12"/>
  <c r="GQ488" i="12" s="1"/>
  <c r="HH488" i="12" s="1"/>
  <c r="BD501" i="12" l="1"/>
  <c r="BE501" i="12" s="1"/>
  <c r="DQ490" i="12"/>
  <c r="DU490" i="12"/>
  <c r="GH490" i="12" s="1"/>
  <c r="DH490" i="12"/>
  <c r="GL490" i="12" s="1"/>
  <c r="GC488" i="12"/>
  <c r="FT489" i="12" s="1"/>
  <c r="CX602" i="12"/>
  <c r="CN603" i="12" s="1"/>
  <c r="BG501" i="12" l="1"/>
  <c r="BL501" i="12" s="1"/>
  <c r="BR501" i="12" s="1"/>
  <c r="BH502" i="12" s="1"/>
  <c r="EF501" i="12"/>
  <c r="GU501" i="12"/>
  <c r="GV501" i="12" s="1"/>
  <c r="FR501" i="12" s="1"/>
  <c r="DC501" i="12"/>
  <c r="DP501" i="12" s="1"/>
  <c r="EX501" i="12"/>
  <c r="CM501" i="12"/>
  <c r="BO501" i="12"/>
  <c r="CU501" i="12"/>
  <c r="ER501" i="12"/>
  <c r="BW501" i="12"/>
  <c r="CB501" i="12" s="1"/>
  <c r="CH501" i="12" s="1"/>
  <c r="BX502" i="12" s="1"/>
  <c r="CE501" i="12"/>
  <c r="FY489" i="12"/>
  <c r="GQ489" i="12" s="1"/>
  <c r="HH489" i="12" s="1"/>
  <c r="DX490" i="12"/>
  <c r="EA490" i="12" s="1"/>
  <c r="DK490" i="12" s="1"/>
  <c r="DD491" i="12" s="1"/>
  <c r="CR603" i="12"/>
  <c r="BD502" i="12" l="1"/>
  <c r="BE502" i="12" s="1"/>
  <c r="DU491" i="12"/>
  <c r="GH491" i="12" s="1"/>
  <c r="DQ491" i="12"/>
  <c r="DH491" i="12"/>
  <c r="GL491" i="12" s="1"/>
  <c r="CX603" i="12"/>
  <c r="CN604" i="12" s="1"/>
  <c r="GC489" i="12"/>
  <c r="FT490" i="12" s="1"/>
  <c r="EX502" i="12" l="1"/>
  <c r="BW502" i="12"/>
  <c r="CB502" i="12" s="1"/>
  <c r="CH502" i="12" s="1"/>
  <c r="BX503" i="12" s="1"/>
  <c r="BO502" i="12"/>
  <c r="CE502" i="12"/>
  <c r="BG502" i="12"/>
  <c r="BL502" i="12" s="1"/>
  <c r="BR502" i="12" s="1"/>
  <c r="BH503" i="12" s="1"/>
  <c r="ER502" i="12"/>
  <c r="DC502" i="12"/>
  <c r="DP502" i="12" s="1"/>
  <c r="CM502" i="12"/>
  <c r="EF502" i="12"/>
  <c r="GU502" i="12"/>
  <c r="GV502" i="12" s="1"/>
  <c r="FR502" i="12" s="1"/>
  <c r="CU502" i="12"/>
  <c r="FY490" i="12"/>
  <c r="GQ490" i="12" s="1"/>
  <c r="HH490" i="12" s="1"/>
  <c r="CR604" i="12"/>
  <c r="CX604" i="12" s="1"/>
  <c r="CN605" i="12" s="1"/>
  <c r="DX491" i="12"/>
  <c r="EA491" i="12" s="1"/>
  <c r="DK491" i="12" s="1"/>
  <c r="DD492" i="12" s="1"/>
  <c r="BD503" i="12" l="1"/>
  <c r="BE503" i="12" s="1"/>
  <c r="CR605" i="12"/>
  <c r="CX605" i="12" s="1"/>
  <c r="CN606" i="12" s="1"/>
  <c r="DU492" i="12"/>
  <c r="GH492" i="12" s="1"/>
  <c r="DQ492" i="12"/>
  <c r="DH492" i="12"/>
  <c r="GL492" i="12" s="1"/>
  <c r="GC490" i="12"/>
  <c r="FT491" i="12" s="1"/>
  <c r="CE503" i="12" l="1"/>
  <c r="DC503" i="12"/>
  <c r="DP503" i="12" s="1"/>
  <c r="CM503" i="12"/>
  <c r="BG503" i="12"/>
  <c r="BL503" i="12" s="1"/>
  <c r="BR503" i="12" s="1"/>
  <c r="BH504" i="12" s="1"/>
  <c r="GU503" i="12"/>
  <c r="GV503" i="12" s="1"/>
  <c r="FR503" i="12" s="1"/>
  <c r="CU503" i="12"/>
  <c r="BW503" i="12"/>
  <c r="CB503" i="12" s="1"/>
  <c r="CH503" i="12" s="1"/>
  <c r="BX504" i="12" s="1"/>
  <c r="EX503" i="12"/>
  <c r="EF503" i="12"/>
  <c r="ER503" i="12"/>
  <c r="BO503" i="12"/>
  <c r="CR606" i="12"/>
  <c r="CX606" i="12" s="1"/>
  <c r="CN607" i="12" s="1"/>
  <c r="DX492" i="12"/>
  <c r="EA492" i="12" s="1"/>
  <c r="DK492" i="12" s="1"/>
  <c r="DD493" i="12" s="1"/>
  <c r="FY491" i="12"/>
  <c r="GQ491" i="12" s="1"/>
  <c r="HH491" i="12" s="1"/>
  <c r="BD504" i="12" l="1"/>
  <c r="BE504" i="12" s="1"/>
  <c r="DU493" i="12"/>
  <c r="DQ493" i="12"/>
  <c r="DH493" i="12"/>
  <c r="CR607" i="12"/>
  <c r="CX607" i="12" s="1"/>
  <c r="CN608" i="12" s="1"/>
  <c r="GC491" i="12"/>
  <c r="FT492" i="12" s="1"/>
  <c r="ER504" i="12" l="1"/>
  <c r="CE504" i="12"/>
  <c r="BW504" i="12"/>
  <c r="CB504" i="12" s="1"/>
  <c r="CH504" i="12" s="1"/>
  <c r="BX505" i="12" s="1"/>
  <c r="BG504" i="12"/>
  <c r="BL504" i="12" s="1"/>
  <c r="BR504" i="12" s="1"/>
  <c r="BH505" i="12" s="1"/>
  <c r="CU504" i="12"/>
  <c r="GU504" i="12"/>
  <c r="GV504" i="12" s="1"/>
  <c r="FR504" i="12" s="1"/>
  <c r="EF504" i="12"/>
  <c r="EX504" i="12"/>
  <c r="DC504" i="12"/>
  <c r="DP504" i="12" s="1"/>
  <c r="CM504" i="12"/>
  <c r="BO504" i="12"/>
  <c r="FY492" i="12"/>
  <c r="GQ492" i="12" s="1"/>
  <c r="HH492" i="12" s="1"/>
  <c r="HH337" i="12" s="1"/>
  <c r="H448" i="12" s="1"/>
  <c r="N448" i="12" s="1"/>
  <c r="DX493" i="12"/>
  <c r="AS35" i="22" s="1"/>
  <c r="CR608" i="12"/>
  <c r="CX608" i="12" s="1"/>
  <c r="CN609" i="12" s="1"/>
  <c r="GL493" i="12"/>
  <c r="Q269" i="12" s="1"/>
  <c r="AJ35" i="22"/>
  <c r="GH493" i="12"/>
  <c r="O269" i="12" s="1"/>
  <c r="AP35" i="22"/>
  <c r="BD505" i="12" l="1"/>
  <c r="BE505" i="12" s="1"/>
  <c r="EA493" i="12"/>
  <c r="DK493" i="12" s="1"/>
  <c r="DD494" i="12" s="1"/>
  <c r="AG37" i="22" s="1"/>
  <c r="CR609" i="12"/>
  <c r="CX609" i="12" s="1"/>
  <c r="CN610" i="12" s="1"/>
  <c r="GC492" i="12"/>
  <c r="FT493" i="12" s="1"/>
  <c r="AV33" i="22"/>
  <c r="CE505" i="12" l="1"/>
  <c r="J49" i="15" s="1"/>
  <c r="EX505" i="12"/>
  <c r="GU505" i="12"/>
  <c r="GV505" i="12" s="1"/>
  <c r="CU505" i="12"/>
  <c r="J49" i="16" s="1"/>
  <c r="P49" i="16" s="1"/>
  <c r="BO505" i="12"/>
  <c r="J49" i="14" s="1"/>
  <c r="BG505" i="12"/>
  <c r="BL505" i="12" s="1"/>
  <c r="BW505" i="12"/>
  <c r="CB505" i="12" s="1"/>
  <c r="ER505" i="12"/>
  <c r="V271" i="12" s="1"/>
  <c r="DC505" i="12"/>
  <c r="DP505" i="12" s="1"/>
  <c r="CM505" i="12"/>
  <c r="EF505" i="12"/>
  <c r="S271" i="12" s="1"/>
  <c r="DU494" i="12"/>
  <c r="GH494" i="12" s="1"/>
  <c r="DQ494" i="12"/>
  <c r="DH494" i="12"/>
  <c r="GL494" i="12" s="1"/>
  <c r="CR610" i="12"/>
  <c r="CX610" i="12" s="1"/>
  <c r="CN611" i="12" s="1"/>
  <c r="CB110" i="22"/>
  <c r="I524" i="12"/>
  <c r="AF37" i="22"/>
  <c r="CA110" i="22" s="1"/>
  <c r="AN33" i="22"/>
  <c r="J519" i="12"/>
  <c r="CC108" i="22"/>
  <c r="CD108" i="22" s="1"/>
  <c r="FY493" i="12"/>
  <c r="M49" i="15" l="1"/>
  <c r="P49" i="15" s="1"/>
  <c r="CH505" i="12"/>
  <c r="BR505" i="12"/>
  <c r="M49" i="14"/>
  <c r="P49" i="14" s="1"/>
  <c r="FL505" i="12"/>
  <c r="FN505" i="12" s="1"/>
  <c r="FQ505" i="12" s="1"/>
  <c r="FL494" i="12"/>
  <c r="FL495" i="12"/>
  <c r="FL498" i="12"/>
  <c r="FL496" i="12"/>
  <c r="FL497" i="12"/>
  <c r="FL499" i="12"/>
  <c r="FL502" i="12"/>
  <c r="FL500" i="12"/>
  <c r="FL501" i="12"/>
  <c r="FL503" i="12"/>
  <c r="FL504" i="12"/>
  <c r="DX494" i="12"/>
  <c r="EA494" i="12" s="1"/>
  <c r="DK494" i="12" s="1"/>
  <c r="DD495" i="12" s="1"/>
  <c r="DQ495" i="12" s="1"/>
  <c r="GQ493" i="12"/>
  <c r="HI493" i="12" s="1"/>
  <c r="Y269" i="12"/>
  <c r="GC493" i="12"/>
  <c r="O521" i="12"/>
  <c r="BZ109" i="22"/>
  <c r="CR611" i="12"/>
  <c r="CX611" i="12" s="1"/>
  <c r="CN612" i="12" s="1"/>
  <c r="G49" i="15" l="1"/>
  <c r="G523" i="12"/>
  <c r="BX506" i="12"/>
  <c r="FN504" i="12"/>
  <c r="FQ504" i="12" s="1"/>
  <c r="FJ504" i="12"/>
  <c r="FD504" i="12" s="1"/>
  <c r="FN498" i="12"/>
  <c r="FQ498" i="12" s="1"/>
  <c r="FJ498" i="12"/>
  <c r="FD498" i="12" s="1"/>
  <c r="FN501" i="12"/>
  <c r="FQ501" i="12" s="1"/>
  <c r="FJ501" i="12"/>
  <c r="FD501" i="12" s="1"/>
  <c r="FN494" i="12"/>
  <c r="FQ494" i="12" s="1"/>
  <c r="FJ494" i="12"/>
  <c r="FD494" i="12" s="1"/>
  <c r="FN496" i="12"/>
  <c r="FQ496" i="12" s="1"/>
  <c r="FJ496" i="12"/>
  <c r="FD496" i="12" s="1"/>
  <c r="FN500" i="12"/>
  <c r="FQ500" i="12" s="1"/>
  <c r="FJ500" i="12"/>
  <c r="FD500" i="12" s="1"/>
  <c r="FJ505" i="12"/>
  <c r="FD505" i="12" s="1"/>
  <c r="BH506" i="12"/>
  <c r="F523" i="12"/>
  <c r="G49" i="14"/>
  <c r="FN503" i="12"/>
  <c r="FQ503" i="12" s="1"/>
  <c r="FJ503" i="12"/>
  <c r="FD503" i="12" s="1"/>
  <c r="FN502" i="12"/>
  <c r="FQ502" i="12" s="1"/>
  <c r="FJ502" i="12"/>
  <c r="FD502" i="12" s="1"/>
  <c r="FN495" i="12"/>
  <c r="FQ495" i="12" s="1"/>
  <c r="FJ495" i="12"/>
  <c r="FD495" i="12" s="1"/>
  <c r="FN499" i="12"/>
  <c r="FQ499" i="12" s="1"/>
  <c r="FJ499" i="12"/>
  <c r="FD499" i="12" s="1"/>
  <c r="FN497" i="12"/>
  <c r="FQ497" i="12" s="1"/>
  <c r="FJ497" i="12"/>
  <c r="FD497" i="12" s="1"/>
  <c r="DH495" i="12"/>
  <c r="GL495" i="12" s="1"/>
  <c r="DU495" i="12"/>
  <c r="DX495" i="12" s="1"/>
  <c r="CR612" i="12"/>
  <c r="CX612" i="12" s="1"/>
  <c r="CN613" i="12" s="1"/>
  <c r="AA269" i="12"/>
  <c r="V628" i="12"/>
  <c r="G714" i="12"/>
  <c r="L520" i="12" l="1"/>
  <c r="D51" i="15"/>
  <c r="GH495" i="12"/>
  <c r="G271" i="12"/>
  <c r="L271" i="12"/>
  <c r="FT494" i="12"/>
  <c r="FY494" i="12" s="1"/>
  <c r="GQ494" i="12" s="1"/>
  <c r="BD506" i="12"/>
  <c r="BE506" i="12" s="1"/>
  <c r="D51" i="14"/>
  <c r="K520" i="12"/>
  <c r="K714" i="12"/>
  <c r="AT714" i="12" s="1"/>
  <c r="X714" i="12" s="1"/>
  <c r="AC714" i="12" s="1"/>
  <c r="S714" i="12"/>
  <c r="P714" i="12"/>
  <c r="CR613" i="12"/>
  <c r="M67" i="16" s="1"/>
  <c r="Y628" i="12"/>
  <c r="O628" i="12"/>
  <c r="EA495" i="12"/>
  <c r="DK495" i="12" s="1"/>
  <c r="DD496" i="12" s="1"/>
  <c r="AP449" i="12"/>
  <c r="AH269" i="12"/>
  <c r="C51" i="15" l="1"/>
  <c r="C51" i="14"/>
  <c r="GC494" i="12"/>
  <c r="FT495" i="12" s="1"/>
  <c r="FY495" i="12" s="1"/>
  <c r="CE506" i="12"/>
  <c r="CM506" i="12"/>
  <c r="GU506" i="12"/>
  <c r="GV506" i="12" s="1"/>
  <c r="FR506" i="12" s="1"/>
  <c r="ER506" i="12"/>
  <c r="CU506" i="12"/>
  <c r="EF506" i="12"/>
  <c r="BG506" i="12"/>
  <c r="BL506" i="12" s="1"/>
  <c r="BW506" i="12"/>
  <c r="CB506" i="12" s="1"/>
  <c r="CH506" i="12" s="1"/>
  <c r="BX507" i="12" s="1"/>
  <c r="DC506" i="12"/>
  <c r="DP506" i="12" s="1"/>
  <c r="BO506" i="12"/>
  <c r="EX506" i="12"/>
  <c r="HI494" i="12"/>
  <c r="AJ714" i="12"/>
  <c r="DU496" i="12"/>
  <c r="DQ496" i="12"/>
  <c r="DH496" i="12"/>
  <c r="CX613" i="12"/>
  <c r="F625" i="12"/>
  <c r="AU269" i="12"/>
  <c r="BR506" i="12" l="1"/>
  <c r="BH507" i="12" s="1"/>
  <c r="GQ495" i="12"/>
  <c r="GC495" i="12"/>
  <c r="DX496" i="12"/>
  <c r="I626" i="12"/>
  <c r="L627" i="12"/>
  <c r="F125" i="23"/>
  <c r="G67" i="16"/>
  <c r="H550" i="12"/>
  <c r="W550" i="12" s="1"/>
  <c r="CN614" i="12"/>
  <c r="GL496" i="12"/>
  <c r="GH496" i="12"/>
  <c r="BD507" i="12" l="1"/>
  <c r="BE507" i="12" s="1"/>
  <c r="HI495" i="12"/>
  <c r="N547" i="12"/>
  <c r="J124" i="23"/>
  <c r="FT496" i="12"/>
  <c r="D69" i="16"/>
  <c r="C69" i="16" s="1"/>
  <c r="CR614" i="12"/>
  <c r="EA496" i="12"/>
  <c r="DK496" i="12" s="1"/>
  <c r="DD497" i="12" s="1"/>
  <c r="GU507" i="12" l="1"/>
  <c r="GV507" i="12" s="1"/>
  <c r="FR507" i="12" s="1"/>
  <c r="BG507" i="12"/>
  <c r="BL507" i="12" s="1"/>
  <c r="EF507" i="12"/>
  <c r="CM507" i="12"/>
  <c r="CE507" i="12"/>
  <c r="CU507" i="12"/>
  <c r="BO507" i="12"/>
  <c r="ER507" i="12"/>
  <c r="BW507" i="12"/>
  <c r="CB507" i="12" s="1"/>
  <c r="CH507" i="12" s="1"/>
  <c r="BX508" i="12" s="1"/>
  <c r="EX507" i="12"/>
  <c r="DC507" i="12"/>
  <c r="DP507" i="12" s="1"/>
  <c r="DQ497" i="12"/>
  <c r="DU497" i="12"/>
  <c r="DH497" i="12"/>
  <c r="CX614" i="12"/>
  <c r="CN615" i="12" s="1"/>
  <c r="FY496" i="12"/>
  <c r="BR507" i="12" l="1"/>
  <c r="BH508" i="12" s="1"/>
  <c r="GQ496" i="12"/>
  <c r="HI496" i="12" s="1"/>
  <c r="GC496" i="12"/>
  <c r="GH497" i="12"/>
  <c r="CR615" i="12"/>
  <c r="CX615" i="12" s="1"/>
  <c r="CN616" i="12" s="1"/>
  <c r="GL497" i="12"/>
  <c r="DX497" i="12"/>
  <c r="EA497" i="12" s="1"/>
  <c r="DK497" i="12" s="1"/>
  <c r="DD498" i="12" s="1"/>
  <c r="BD508" i="12" l="1"/>
  <c r="BE508" i="12" s="1"/>
  <c r="FT497" i="12"/>
  <c r="FY497" i="12" s="1"/>
  <c r="DU498" i="12"/>
  <c r="DQ498" i="12"/>
  <c r="DH498" i="12"/>
  <c r="CR616" i="12"/>
  <c r="CX616" i="12" s="1"/>
  <c r="CN617" i="12" s="1"/>
  <c r="EX508" i="12" l="1"/>
  <c r="DC508" i="12"/>
  <c r="DP508" i="12" s="1"/>
  <c r="CE508" i="12"/>
  <c r="BO508" i="12"/>
  <c r="ER508" i="12"/>
  <c r="BW508" i="12"/>
  <c r="CB508" i="12" s="1"/>
  <c r="CH508" i="12" s="1"/>
  <c r="BX509" i="12" s="1"/>
  <c r="CU508" i="12"/>
  <c r="CM508" i="12"/>
  <c r="BG508" i="12"/>
  <c r="BL508" i="12" s="1"/>
  <c r="GU508" i="12"/>
  <c r="GV508" i="12" s="1"/>
  <c r="FR508" i="12" s="1"/>
  <c r="EF508" i="12"/>
  <c r="GL498" i="12"/>
  <c r="GH498" i="12"/>
  <c r="GQ497" i="12"/>
  <c r="HI497" i="12" s="1"/>
  <c r="GC497" i="12"/>
  <c r="DX498" i="12"/>
  <c r="EA498" i="12" s="1"/>
  <c r="DK498" i="12" s="1"/>
  <c r="DD499" i="12" s="1"/>
  <c r="CR617" i="12"/>
  <c r="CX617" i="12" s="1"/>
  <c r="CN618" i="12" s="1"/>
  <c r="BR508" i="12" l="1"/>
  <c r="BH509" i="12" s="1"/>
  <c r="CR618" i="12"/>
  <c r="CX618" i="12" s="1"/>
  <c r="CN619" i="12" s="1"/>
  <c r="DU499" i="12"/>
  <c r="GH499" i="12" s="1"/>
  <c r="DQ499" i="12"/>
  <c r="DH499" i="12"/>
  <c r="GL499" i="12" s="1"/>
  <c r="FT498" i="12"/>
  <c r="BD509" i="12" l="1"/>
  <c r="BE509" i="12" s="1"/>
  <c r="CR619" i="12"/>
  <c r="CX619" i="12" s="1"/>
  <c r="CN620" i="12" s="1"/>
  <c r="FY498" i="12"/>
  <c r="DX499" i="12"/>
  <c r="EA499" i="12" s="1"/>
  <c r="DK499" i="12" s="1"/>
  <c r="DD500" i="12" s="1"/>
  <c r="ER509" i="12" l="1"/>
  <c r="BO509" i="12"/>
  <c r="EX509" i="12"/>
  <c r="CE509" i="12"/>
  <c r="GU509" i="12"/>
  <c r="GV509" i="12" s="1"/>
  <c r="FR509" i="12" s="1"/>
  <c r="BG509" i="12"/>
  <c r="BL509" i="12" s="1"/>
  <c r="BW509" i="12"/>
  <c r="CB509" i="12" s="1"/>
  <c r="CH509" i="12" s="1"/>
  <c r="BX510" i="12" s="1"/>
  <c r="CM509" i="12"/>
  <c r="CU509" i="12"/>
  <c r="DC509" i="12"/>
  <c r="DP509" i="12" s="1"/>
  <c r="EF509" i="12"/>
  <c r="DU500" i="12"/>
  <c r="GH500" i="12" s="1"/>
  <c r="DQ500" i="12"/>
  <c r="DH500" i="12"/>
  <c r="GL500" i="12" s="1"/>
  <c r="GQ498" i="12"/>
  <c r="HI498" i="12" s="1"/>
  <c r="GC498" i="12"/>
  <c r="FT499" i="12" s="1"/>
  <c r="CR620" i="12"/>
  <c r="CX620" i="12" s="1"/>
  <c r="CN621" i="12" s="1"/>
  <c r="BR509" i="12" l="1"/>
  <c r="BH510" i="12" s="1"/>
  <c r="CR621" i="12"/>
  <c r="CX621" i="12" s="1"/>
  <c r="CN622" i="12" s="1"/>
  <c r="FY499" i="12"/>
  <c r="GQ499" i="12" s="1"/>
  <c r="HI499" i="12" s="1"/>
  <c r="DX500" i="12"/>
  <c r="EA500" i="12" s="1"/>
  <c r="DK500" i="12" s="1"/>
  <c r="DD501" i="12" s="1"/>
  <c r="BD510" i="12" l="1"/>
  <c r="BE510" i="12" s="1"/>
  <c r="DQ501" i="12"/>
  <c r="DU501" i="12"/>
  <c r="GH501" i="12" s="1"/>
  <c r="DH501" i="12"/>
  <c r="GL501" i="12" s="1"/>
  <c r="CR622" i="12"/>
  <c r="CX622" i="12" s="1"/>
  <c r="CN623" i="12" s="1"/>
  <c r="GC499" i="12"/>
  <c r="FT500" i="12" s="1"/>
  <c r="BO510" i="12" l="1"/>
  <c r="CM510" i="12"/>
  <c r="CU510" i="12"/>
  <c r="EF510" i="12"/>
  <c r="CE510" i="12"/>
  <c r="GU510" i="12"/>
  <c r="GV510" i="12" s="1"/>
  <c r="FR510" i="12" s="1"/>
  <c r="BG510" i="12"/>
  <c r="BL510" i="12" s="1"/>
  <c r="DC510" i="12"/>
  <c r="DP510" i="12" s="1"/>
  <c r="EX510" i="12"/>
  <c r="BW510" i="12"/>
  <c r="CB510" i="12" s="1"/>
  <c r="CH510" i="12" s="1"/>
  <c r="BX511" i="12" s="1"/>
  <c r="ER510" i="12"/>
  <c r="CR623" i="12"/>
  <c r="CX623" i="12" s="1"/>
  <c r="CN624" i="12" s="1"/>
  <c r="DX501" i="12"/>
  <c r="EA501" i="12" s="1"/>
  <c r="DK501" i="12" s="1"/>
  <c r="DD502" i="12" s="1"/>
  <c r="FY500" i="12"/>
  <c r="GQ500" i="12" s="1"/>
  <c r="HI500" i="12" s="1"/>
  <c r="BR510" i="12" l="1"/>
  <c r="BH511" i="12" s="1"/>
  <c r="GC500" i="12"/>
  <c r="FT501" i="12" s="1"/>
  <c r="DU502" i="12"/>
  <c r="GH502" i="12" s="1"/>
  <c r="DQ502" i="12"/>
  <c r="DH502" i="12"/>
  <c r="GL502" i="12" s="1"/>
  <c r="CR624" i="12"/>
  <c r="CX624" i="12" s="1"/>
  <c r="CN625" i="12" s="1"/>
  <c r="BD511" i="12" l="1"/>
  <c r="BE511" i="12" s="1"/>
  <c r="DX502" i="12"/>
  <c r="EA502" i="12" s="1"/>
  <c r="DK502" i="12" s="1"/>
  <c r="DD503" i="12" s="1"/>
  <c r="FY501" i="12"/>
  <c r="GQ501" i="12" s="1"/>
  <c r="HI501" i="12" s="1"/>
  <c r="CR625" i="12"/>
  <c r="M69" i="16" s="1"/>
  <c r="EF511" i="12" l="1"/>
  <c r="BW511" i="12"/>
  <c r="CB511" i="12" s="1"/>
  <c r="CH511" i="12" s="1"/>
  <c r="BX512" i="12" s="1"/>
  <c r="EX511" i="12"/>
  <c r="ER511" i="12"/>
  <c r="BG511" i="12"/>
  <c r="BL511" i="12" s="1"/>
  <c r="BR511" i="12" s="1"/>
  <c r="BH512" i="12" s="1"/>
  <c r="BO511" i="12"/>
  <c r="CU511" i="12"/>
  <c r="GU511" i="12"/>
  <c r="GV511" i="12" s="1"/>
  <c r="FR511" i="12" s="1"/>
  <c r="CM511" i="12"/>
  <c r="CE511" i="12"/>
  <c r="DC511" i="12"/>
  <c r="DP511" i="12" s="1"/>
  <c r="DU503" i="12"/>
  <c r="GH503" i="12" s="1"/>
  <c r="DQ503" i="12"/>
  <c r="DH503" i="12"/>
  <c r="GL503" i="12" s="1"/>
  <c r="CX625" i="12"/>
  <c r="GC501" i="12"/>
  <c r="FT502" i="12" s="1"/>
  <c r="BD512" i="12" l="1"/>
  <c r="BE512" i="12" s="1"/>
  <c r="FY502" i="12"/>
  <c r="GQ502" i="12" s="1"/>
  <c r="HI502" i="12" s="1"/>
  <c r="DX503" i="12"/>
  <c r="EA503" i="12" s="1"/>
  <c r="DK503" i="12" s="1"/>
  <c r="DD504" i="12" s="1"/>
  <c r="G69" i="16"/>
  <c r="H553" i="12"/>
  <c r="W553" i="12" s="1"/>
  <c r="CN626" i="12"/>
  <c r="GU512" i="12" l="1"/>
  <c r="GV512" i="12" s="1"/>
  <c r="FR512" i="12" s="1"/>
  <c r="DC512" i="12"/>
  <c r="DP512" i="12" s="1"/>
  <c r="ER512" i="12"/>
  <c r="CE512" i="12"/>
  <c r="BW512" i="12"/>
  <c r="CB512" i="12" s="1"/>
  <c r="CH512" i="12" s="1"/>
  <c r="BX513" i="12" s="1"/>
  <c r="BG512" i="12"/>
  <c r="BL512" i="12" s="1"/>
  <c r="BR512" i="12" s="1"/>
  <c r="BH513" i="12" s="1"/>
  <c r="EX512" i="12"/>
  <c r="BO512" i="12"/>
  <c r="CU512" i="12"/>
  <c r="CM512" i="12"/>
  <c r="EF512" i="12"/>
  <c r="N550" i="12"/>
  <c r="DU504" i="12"/>
  <c r="GH504" i="12" s="1"/>
  <c r="DQ504" i="12"/>
  <c r="DH504" i="12"/>
  <c r="GL504" i="12" s="1"/>
  <c r="GC502" i="12"/>
  <c r="FT503" i="12" s="1"/>
  <c r="D71" i="16"/>
  <c r="C71" i="16" s="1"/>
  <c r="CR626" i="12"/>
  <c r="CX626" i="12" s="1"/>
  <c r="CN627" i="12" s="1"/>
  <c r="BD513" i="12" l="1"/>
  <c r="BE513" i="12" s="1"/>
  <c r="CR627" i="12"/>
  <c r="CX627" i="12" s="1"/>
  <c r="CN628" i="12" s="1"/>
  <c r="FY503" i="12"/>
  <c r="GQ503" i="12" s="1"/>
  <c r="HI503" i="12" s="1"/>
  <c r="DX504" i="12"/>
  <c r="EA504" i="12" s="1"/>
  <c r="DK504" i="12" s="1"/>
  <c r="DD505" i="12" s="1"/>
  <c r="BW513" i="12" l="1"/>
  <c r="CB513" i="12" s="1"/>
  <c r="CH513" i="12" s="1"/>
  <c r="BX514" i="12" s="1"/>
  <c r="EX513" i="12"/>
  <c r="ER513" i="12"/>
  <c r="EF513" i="12"/>
  <c r="BO513" i="12"/>
  <c r="BG513" i="12"/>
  <c r="BL513" i="12" s="1"/>
  <c r="BR513" i="12" s="1"/>
  <c r="BH514" i="12" s="1"/>
  <c r="CU513" i="12"/>
  <c r="GU513" i="12"/>
  <c r="GV513" i="12" s="1"/>
  <c r="FR513" i="12" s="1"/>
  <c r="CE513" i="12"/>
  <c r="DC513" i="12"/>
  <c r="DP513" i="12" s="1"/>
  <c r="CM513" i="12"/>
  <c r="DQ505" i="12"/>
  <c r="DU505" i="12"/>
  <c r="DH505" i="12"/>
  <c r="CR628" i="12"/>
  <c r="CX628" i="12" s="1"/>
  <c r="CN629" i="12" s="1"/>
  <c r="GC503" i="12"/>
  <c r="FT504" i="12" s="1"/>
  <c r="BD514" i="12" l="1"/>
  <c r="BE514" i="12" s="1"/>
  <c r="CR629" i="12"/>
  <c r="CX629" i="12" s="1"/>
  <c r="CN630" i="12" s="1"/>
  <c r="GL505" i="12"/>
  <c r="Q271" i="12" s="1"/>
  <c r="AJ37" i="22"/>
  <c r="GH505" i="12"/>
  <c r="O271" i="12" s="1"/>
  <c r="AP37" i="22"/>
  <c r="FY504" i="12"/>
  <c r="GQ504" i="12" s="1"/>
  <c r="HI504" i="12" s="1"/>
  <c r="HI337" i="12" s="1"/>
  <c r="H449" i="12" s="1"/>
  <c r="N449" i="12" s="1"/>
  <c r="DX505" i="12"/>
  <c r="AS37" i="22" s="1"/>
  <c r="EX514" i="12" l="1"/>
  <c r="CE514" i="12"/>
  <c r="BW514" i="12"/>
  <c r="CB514" i="12" s="1"/>
  <c r="CH514" i="12" s="1"/>
  <c r="BX515" i="12" s="1"/>
  <c r="GU514" i="12"/>
  <c r="GV514" i="12" s="1"/>
  <c r="FR514" i="12" s="1"/>
  <c r="BO514" i="12"/>
  <c r="CM514" i="12"/>
  <c r="ER514" i="12"/>
  <c r="BG514" i="12"/>
  <c r="BL514" i="12" s="1"/>
  <c r="BR514" i="12" s="1"/>
  <c r="BH515" i="12" s="1"/>
  <c r="CU514" i="12"/>
  <c r="DC514" i="12"/>
  <c r="DP514" i="12" s="1"/>
  <c r="EF514" i="12"/>
  <c r="CR630" i="12"/>
  <c r="CX630" i="12" s="1"/>
  <c r="CN631" i="12" s="1"/>
  <c r="EA505" i="12"/>
  <c r="DK505" i="12" s="1"/>
  <c r="DD506" i="12" s="1"/>
  <c r="GC504" i="12"/>
  <c r="FT505" i="12" s="1"/>
  <c r="AV35" i="22"/>
  <c r="BD515" i="12" l="1"/>
  <c r="BE515" i="12" s="1"/>
  <c r="CR631" i="12"/>
  <c r="CX631" i="12" s="1"/>
  <c r="CN632" i="12" s="1"/>
  <c r="DQ506" i="12"/>
  <c r="DU506" i="12"/>
  <c r="AG39" i="22"/>
  <c r="DH506" i="12"/>
  <c r="CC109" i="22"/>
  <c r="CD109" i="22" s="1"/>
  <c r="AN35" i="22"/>
  <c r="J522" i="12"/>
  <c r="FY505" i="12"/>
  <c r="BO515" i="12" l="1"/>
  <c r="EX515" i="12"/>
  <c r="GU515" i="12"/>
  <c r="GV515" i="12" s="1"/>
  <c r="FR515" i="12" s="1"/>
  <c r="CE515" i="12"/>
  <c r="BW515" i="12"/>
  <c r="CB515" i="12" s="1"/>
  <c r="CH515" i="12" s="1"/>
  <c r="BX516" i="12" s="1"/>
  <c r="ER515" i="12"/>
  <c r="CU515" i="12"/>
  <c r="EF515" i="12"/>
  <c r="BG515" i="12"/>
  <c r="BL515" i="12" s="1"/>
  <c r="BR515" i="12" s="1"/>
  <c r="BH516" i="12" s="1"/>
  <c r="DC515" i="12"/>
  <c r="DP515" i="12" s="1"/>
  <c r="CM515" i="12"/>
  <c r="CR632" i="12"/>
  <c r="CX632" i="12" s="1"/>
  <c r="CN633" i="12" s="1"/>
  <c r="GL506" i="12"/>
  <c r="GH506" i="12"/>
  <c r="GQ505" i="12"/>
  <c r="HJ505" i="12" s="1"/>
  <c r="Y271" i="12"/>
  <c r="GC505" i="12"/>
  <c r="I527" i="12"/>
  <c r="AF39" i="22"/>
  <c r="CA111" i="22" s="1"/>
  <c r="CB111" i="22"/>
  <c r="DX506" i="12"/>
  <c r="BD516" i="12" l="1"/>
  <c r="BE516" i="12" s="1"/>
  <c r="CR633" i="12"/>
  <c r="CX633" i="12" s="1"/>
  <c r="CN634" i="12" s="1"/>
  <c r="BZ110" i="22"/>
  <c r="AA271" i="12"/>
  <c r="V633" i="12"/>
  <c r="G715" i="12"/>
  <c r="EA506" i="12"/>
  <c r="DK506" i="12" s="1"/>
  <c r="DD507" i="12" s="1"/>
  <c r="O524" i="12"/>
  <c r="EF516" i="12" l="1"/>
  <c r="CM516" i="12"/>
  <c r="CE516" i="12"/>
  <c r="BO516" i="12"/>
  <c r="CU516" i="12"/>
  <c r="DC516" i="12"/>
  <c r="DP516" i="12" s="1"/>
  <c r="GU516" i="12"/>
  <c r="GV516" i="12" s="1"/>
  <c r="FR516" i="12" s="1"/>
  <c r="BG516" i="12"/>
  <c r="BL516" i="12" s="1"/>
  <c r="BR516" i="12" s="1"/>
  <c r="BH517" i="12" s="1"/>
  <c r="EX516" i="12"/>
  <c r="BW516" i="12"/>
  <c r="CB516" i="12" s="1"/>
  <c r="CH516" i="12" s="1"/>
  <c r="BX517" i="12" s="1"/>
  <c r="ER516" i="12"/>
  <c r="K715" i="12"/>
  <c r="S715" i="12"/>
  <c r="P715" i="12"/>
  <c r="DQ507" i="12"/>
  <c r="DU507" i="12"/>
  <c r="DH507" i="12"/>
  <c r="AP450" i="12"/>
  <c r="AH271" i="12"/>
  <c r="O633" i="12"/>
  <c r="Y633" i="12"/>
  <c r="CR634" i="12"/>
  <c r="CX634" i="12" s="1"/>
  <c r="CN635" i="12" s="1"/>
  <c r="BD517" i="12" l="1"/>
  <c r="BE517" i="12" s="1"/>
  <c r="AT715" i="12"/>
  <c r="X715" i="12" s="1"/>
  <c r="AC715" i="12" s="1"/>
  <c r="AU271" i="12"/>
  <c r="F630" i="12"/>
  <c r="GL507" i="12"/>
  <c r="DX507" i="12"/>
  <c r="EA507" i="12" s="1"/>
  <c r="DK507" i="12" s="1"/>
  <c r="DD508" i="12" s="1"/>
  <c r="CR635" i="12"/>
  <c r="CX635" i="12" s="1"/>
  <c r="CN636" i="12" s="1"/>
  <c r="GH507" i="12"/>
  <c r="EX517" i="12" l="1"/>
  <c r="CE517" i="12"/>
  <c r="J51" i="15" s="1"/>
  <c r="CU517" i="12"/>
  <c r="J51" i="16" s="1"/>
  <c r="P51" i="16" s="1"/>
  <c r="CM517" i="12"/>
  <c r="BO517" i="12"/>
  <c r="J51" i="14" s="1"/>
  <c r="EF517" i="12"/>
  <c r="S273" i="12" s="1"/>
  <c r="GU517" i="12"/>
  <c r="GV517" i="12" s="1"/>
  <c r="ER517" i="12"/>
  <c r="V273" i="12" s="1"/>
  <c r="BG517" i="12"/>
  <c r="BL517" i="12" s="1"/>
  <c r="DC517" i="12"/>
  <c r="DP517" i="12" s="1"/>
  <c r="BW517" i="12"/>
  <c r="CB517" i="12" s="1"/>
  <c r="CR636" i="12"/>
  <c r="CX636" i="12" s="1"/>
  <c r="CN637" i="12" s="1"/>
  <c r="DU508" i="12"/>
  <c r="DQ508" i="12"/>
  <c r="DH508" i="12"/>
  <c r="AJ715" i="12"/>
  <c r="L632" i="12"/>
  <c r="I631" i="12"/>
  <c r="F126" i="23"/>
  <c r="M51" i="15" l="1"/>
  <c r="P51" i="15" s="1"/>
  <c r="CH517" i="12"/>
  <c r="M51" i="14"/>
  <c r="P51" i="14" s="1"/>
  <c r="BR517" i="12"/>
  <c r="FL517" i="12"/>
  <c r="FN517" i="12" s="1"/>
  <c r="FQ517" i="12" s="1"/>
  <c r="FL506" i="12"/>
  <c r="FL507" i="12"/>
  <c r="FL508" i="12"/>
  <c r="FL509" i="12"/>
  <c r="FL510" i="12"/>
  <c r="FL511" i="12"/>
  <c r="FL512" i="12"/>
  <c r="FL516" i="12"/>
  <c r="FL514" i="12"/>
  <c r="FL515" i="12"/>
  <c r="FL513" i="12"/>
  <c r="CR637" i="12"/>
  <c r="M71" i="16" s="1"/>
  <c r="J125" i="23"/>
  <c r="GL508" i="12"/>
  <c r="GH508" i="12"/>
  <c r="DX508" i="12"/>
  <c r="G51" i="15" l="1"/>
  <c r="G526" i="12"/>
  <c r="BX518" i="12"/>
  <c r="FJ517" i="12"/>
  <c r="FD517" i="12" s="1"/>
  <c r="FN508" i="12"/>
  <c r="FQ508" i="12" s="1"/>
  <c r="FJ508" i="12"/>
  <c r="FD508" i="12" s="1"/>
  <c r="FN512" i="12"/>
  <c r="FQ512" i="12" s="1"/>
  <c r="FJ512" i="12"/>
  <c r="FD512" i="12" s="1"/>
  <c r="FN513" i="12"/>
  <c r="FQ513" i="12" s="1"/>
  <c r="FJ513" i="12"/>
  <c r="FD513" i="12" s="1"/>
  <c r="FN506" i="12"/>
  <c r="FQ506" i="12" s="1"/>
  <c r="FJ506" i="12"/>
  <c r="FD506" i="12" s="1"/>
  <c r="FN511" i="12"/>
  <c r="FQ511" i="12" s="1"/>
  <c r="FJ511" i="12"/>
  <c r="FD511" i="12" s="1"/>
  <c r="BH518" i="12"/>
  <c r="F526" i="12"/>
  <c r="G51" i="14"/>
  <c r="FN507" i="12"/>
  <c r="FQ507" i="12" s="1"/>
  <c r="FJ507" i="12"/>
  <c r="FD507" i="12" s="1"/>
  <c r="FN516" i="12"/>
  <c r="FQ516" i="12" s="1"/>
  <c r="FJ516" i="12"/>
  <c r="FD516" i="12" s="1"/>
  <c r="FN510" i="12"/>
  <c r="FQ510" i="12" s="1"/>
  <c r="FJ510" i="12"/>
  <c r="FD510" i="12" s="1"/>
  <c r="FN515" i="12"/>
  <c r="FQ515" i="12" s="1"/>
  <c r="FJ515" i="12"/>
  <c r="FD515" i="12" s="1"/>
  <c r="FN514" i="12"/>
  <c r="FQ514" i="12" s="1"/>
  <c r="FJ514" i="12"/>
  <c r="FD514" i="12" s="1"/>
  <c r="FN509" i="12"/>
  <c r="FQ509" i="12" s="1"/>
  <c r="FJ509" i="12"/>
  <c r="FD509" i="12" s="1"/>
  <c r="CX637" i="12"/>
  <c r="G71" i="16" s="1"/>
  <c r="EA508" i="12"/>
  <c r="DK508" i="12" s="1"/>
  <c r="DD509" i="12" s="1"/>
  <c r="L523" i="12" l="1"/>
  <c r="D53" i="15"/>
  <c r="G273" i="12"/>
  <c r="FT506" i="12"/>
  <c r="K523" i="12"/>
  <c r="BD518" i="12"/>
  <c r="BE518" i="12" s="1"/>
  <c r="D53" i="14"/>
  <c r="L273" i="12"/>
  <c r="H556" i="12"/>
  <c r="CN638" i="12"/>
  <c r="CR638" i="12" s="1"/>
  <c r="CX638" i="12" s="1"/>
  <c r="CN639" i="12" s="1"/>
  <c r="DQ509" i="12"/>
  <c r="DU509" i="12"/>
  <c r="DH509" i="12"/>
  <c r="C53" i="15" l="1"/>
  <c r="C53" i="14"/>
  <c r="DC518" i="12"/>
  <c r="DP518" i="12" s="1"/>
  <c r="CU518" i="12"/>
  <c r="EF518" i="12"/>
  <c r="EX518" i="12"/>
  <c r="BO518" i="12"/>
  <c r="CM518" i="12"/>
  <c r="CE518" i="12"/>
  <c r="BW518" i="12"/>
  <c r="CB518" i="12" s="1"/>
  <c r="CH518" i="12" s="1"/>
  <c r="BX519" i="12" s="1"/>
  <c r="GU518" i="12"/>
  <c r="GV518" i="12" s="1"/>
  <c r="FR518" i="12" s="1"/>
  <c r="ER518" i="12"/>
  <c r="BG518" i="12"/>
  <c r="BL518" i="12" s="1"/>
  <c r="FY506" i="12"/>
  <c r="GQ506" i="12" s="1"/>
  <c r="N553" i="12"/>
  <c r="W556" i="12"/>
  <c r="D73" i="16"/>
  <c r="C73" i="16" s="1"/>
  <c r="GL509" i="12"/>
  <c r="DX509" i="12"/>
  <c r="EA509" i="12" s="1"/>
  <c r="DK509" i="12" s="1"/>
  <c r="DD510" i="12" s="1"/>
  <c r="GH509" i="12"/>
  <c r="CR639" i="12"/>
  <c r="HJ506" i="12" l="1"/>
  <c r="GC506" i="12"/>
  <c r="FT507" i="12" s="1"/>
  <c r="FY507" i="12" s="1"/>
  <c r="GQ507" i="12" s="1"/>
  <c r="HJ507" i="12" s="1"/>
  <c r="BR518" i="12"/>
  <c r="BH519" i="12" s="1"/>
  <c r="DU510" i="12"/>
  <c r="DQ510" i="12"/>
  <c r="DH510" i="12"/>
  <c r="CX639" i="12"/>
  <c r="CN640" i="12" s="1"/>
  <c r="GC507" i="12" l="1"/>
  <c r="FT508" i="12" s="1"/>
  <c r="FY508" i="12" s="1"/>
  <c r="GQ508" i="12" s="1"/>
  <c r="HJ508" i="12" s="1"/>
  <c r="BD519" i="12"/>
  <c r="BE519" i="12" s="1"/>
  <c r="CR640" i="12"/>
  <c r="CX640" i="12" s="1"/>
  <c r="CN641" i="12" s="1"/>
  <c r="GL510" i="12"/>
  <c r="GH510" i="12"/>
  <c r="DX510" i="12"/>
  <c r="EA510" i="12" s="1"/>
  <c r="DK510" i="12" s="1"/>
  <c r="DD511" i="12" s="1"/>
  <c r="GC508" i="12" l="1"/>
  <c r="FT509" i="12" s="1"/>
  <c r="FY509" i="12" s="1"/>
  <c r="GC509" i="12" s="1"/>
  <c r="FT510" i="12" s="1"/>
  <c r="CE519" i="12"/>
  <c r="CU519" i="12"/>
  <c r="EX519" i="12"/>
  <c r="CM519" i="12"/>
  <c r="DC519" i="12"/>
  <c r="DP519" i="12" s="1"/>
  <c r="ER519" i="12"/>
  <c r="GU519" i="12"/>
  <c r="GV519" i="12" s="1"/>
  <c r="FR519" i="12" s="1"/>
  <c r="BW519" i="12"/>
  <c r="CB519" i="12" s="1"/>
  <c r="CH519" i="12" s="1"/>
  <c r="BX520" i="12" s="1"/>
  <c r="EF519" i="12"/>
  <c r="BG519" i="12"/>
  <c r="BL519" i="12" s="1"/>
  <c r="BO519" i="12"/>
  <c r="CR641" i="12"/>
  <c r="CX641" i="12" s="1"/>
  <c r="CN642" i="12" s="1"/>
  <c r="DQ511" i="12"/>
  <c r="DU511" i="12"/>
  <c r="GH511" i="12" s="1"/>
  <c r="DH511" i="12"/>
  <c r="GL511" i="12" s="1"/>
  <c r="GQ509" i="12" l="1"/>
  <c r="HJ509" i="12" s="1"/>
  <c r="BR519" i="12"/>
  <c r="BH520" i="12" s="1"/>
  <c r="CR642" i="12"/>
  <c r="CX642" i="12" s="1"/>
  <c r="CN643" i="12" s="1"/>
  <c r="FY510" i="12"/>
  <c r="DX511" i="12"/>
  <c r="EA511" i="12" s="1"/>
  <c r="DK511" i="12" s="1"/>
  <c r="DD512" i="12" s="1"/>
  <c r="BD520" i="12" l="1"/>
  <c r="BE520" i="12" s="1"/>
  <c r="CR643" i="12"/>
  <c r="CX643" i="12" s="1"/>
  <c r="CN644" i="12" s="1"/>
  <c r="DQ512" i="12"/>
  <c r="DU512" i="12"/>
  <c r="GH512" i="12" s="1"/>
  <c r="DH512" i="12"/>
  <c r="GL512" i="12" s="1"/>
  <c r="GQ510" i="12"/>
  <c r="HJ510" i="12" s="1"/>
  <c r="GC510" i="12"/>
  <c r="FT511" i="12" s="1"/>
  <c r="EF520" i="12" l="1"/>
  <c r="CM520" i="12"/>
  <c r="CE520" i="12"/>
  <c r="BG520" i="12"/>
  <c r="BL520" i="12" s="1"/>
  <c r="ER520" i="12"/>
  <c r="BO520" i="12"/>
  <c r="CU520" i="12"/>
  <c r="DC520" i="12"/>
  <c r="DP520" i="12" s="1"/>
  <c r="BW520" i="12"/>
  <c r="CB520" i="12" s="1"/>
  <c r="CH520" i="12" s="1"/>
  <c r="BX521" i="12" s="1"/>
  <c r="GU520" i="12"/>
  <c r="GV520" i="12" s="1"/>
  <c r="FR520" i="12" s="1"/>
  <c r="EX520" i="12"/>
  <c r="CR644" i="12"/>
  <c r="CX644" i="12" s="1"/>
  <c r="CN645" i="12" s="1"/>
  <c r="DX512" i="12"/>
  <c r="EA512" i="12" s="1"/>
  <c r="DK512" i="12" s="1"/>
  <c r="DD513" i="12" s="1"/>
  <c r="FY511" i="12"/>
  <c r="GQ511" i="12" s="1"/>
  <c r="HJ511" i="12" s="1"/>
  <c r="BR520" i="12" l="1"/>
  <c r="BH521" i="12" s="1"/>
  <c r="GC511" i="12"/>
  <c r="FT512" i="12" s="1"/>
  <c r="DU513" i="12"/>
  <c r="GH513" i="12" s="1"/>
  <c r="DQ513" i="12"/>
  <c r="DH513" i="12"/>
  <c r="GL513" i="12" s="1"/>
  <c r="CR645" i="12"/>
  <c r="CX645" i="12" s="1"/>
  <c r="CN646" i="12" s="1"/>
  <c r="BD521" i="12" l="1"/>
  <c r="BE521" i="12" s="1"/>
  <c r="CR646" i="12"/>
  <c r="CX646" i="12" s="1"/>
  <c r="CN647" i="12" s="1"/>
  <c r="FY512" i="12"/>
  <c r="GQ512" i="12" s="1"/>
  <c r="HJ512" i="12" s="1"/>
  <c r="DX513" i="12"/>
  <c r="EA513" i="12" s="1"/>
  <c r="DK513" i="12" s="1"/>
  <c r="DD514" i="12" s="1"/>
  <c r="DC521" i="12" l="1"/>
  <c r="DP521" i="12" s="1"/>
  <c r="BG521" i="12"/>
  <c r="BL521" i="12" s="1"/>
  <c r="EX521" i="12"/>
  <c r="CE521" i="12"/>
  <c r="CM521" i="12"/>
  <c r="CU521" i="12"/>
  <c r="ER521" i="12"/>
  <c r="BW521" i="12"/>
  <c r="CB521" i="12" s="1"/>
  <c r="CH521" i="12" s="1"/>
  <c r="BX522" i="12" s="1"/>
  <c r="GU521" i="12"/>
  <c r="GV521" i="12" s="1"/>
  <c r="FR521" i="12" s="1"/>
  <c r="EF521" i="12"/>
  <c r="BO521" i="12"/>
  <c r="CR647" i="12"/>
  <c r="CX647" i="12" s="1"/>
  <c r="CN648" i="12" s="1"/>
  <c r="DU514" i="12"/>
  <c r="GH514" i="12" s="1"/>
  <c r="DQ514" i="12"/>
  <c r="DH514" i="12"/>
  <c r="GL514" i="12" s="1"/>
  <c r="GC512" i="12"/>
  <c r="FT513" i="12" s="1"/>
  <c r="BR521" i="12" l="1"/>
  <c r="BH522" i="12" s="1"/>
  <c r="CR648" i="12"/>
  <c r="CX648" i="12" s="1"/>
  <c r="CN649" i="12" s="1"/>
  <c r="FY513" i="12"/>
  <c r="GQ513" i="12" s="1"/>
  <c r="HJ513" i="12" s="1"/>
  <c r="DX514" i="12"/>
  <c r="EA514" i="12" s="1"/>
  <c r="DK514" i="12" s="1"/>
  <c r="DD515" i="12" s="1"/>
  <c r="BD522" i="12" l="1"/>
  <c r="BE522" i="12" s="1"/>
  <c r="DU515" i="12"/>
  <c r="GH515" i="12" s="1"/>
  <c r="DQ515" i="12"/>
  <c r="DH515" i="12"/>
  <c r="GL515" i="12" s="1"/>
  <c r="CR649" i="12"/>
  <c r="M73" i="16" s="1"/>
  <c r="GC513" i="12"/>
  <c r="FT514" i="12" s="1"/>
  <c r="ER522" i="12" l="1"/>
  <c r="CM522" i="12"/>
  <c r="DC522" i="12"/>
  <c r="DP522" i="12" s="1"/>
  <c r="BW522" i="12"/>
  <c r="CB522" i="12" s="1"/>
  <c r="CH522" i="12" s="1"/>
  <c r="BX523" i="12" s="1"/>
  <c r="BG522" i="12"/>
  <c r="BL522" i="12" s="1"/>
  <c r="GU522" i="12"/>
  <c r="GV522" i="12" s="1"/>
  <c r="FR522" i="12" s="1"/>
  <c r="EF522" i="12"/>
  <c r="CU522" i="12"/>
  <c r="EX522" i="12"/>
  <c r="BO522" i="12"/>
  <c r="CE522" i="12"/>
  <c r="CX649" i="12"/>
  <c r="H559" i="12" s="1"/>
  <c r="W559" i="12" s="1"/>
  <c r="W561" i="12" s="1"/>
  <c r="X477" i="12" s="1"/>
  <c r="S492" i="12" s="1"/>
  <c r="FY514" i="12"/>
  <c r="GQ514" i="12" s="1"/>
  <c r="HJ514" i="12" s="1"/>
  <c r="DX515" i="12"/>
  <c r="EA515" i="12" s="1"/>
  <c r="DK515" i="12" s="1"/>
  <c r="DD516" i="12" s="1"/>
  <c r="BR522" i="12" l="1"/>
  <c r="BH523" i="12" s="1"/>
  <c r="G73" i="16"/>
  <c r="DU516" i="12"/>
  <c r="GH516" i="12" s="1"/>
  <c r="DQ516" i="12"/>
  <c r="DH516" i="12"/>
  <c r="GL516" i="12" s="1"/>
  <c r="N559" i="12"/>
  <c r="N556" i="12"/>
  <c r="GC514" i="12"/>
  <c r="FT515" i="12" s="1"/>
  <c r="BD523" i="12" l="1"/>
  <c r="BE523" i="12" s="1"/>
  <c r="FY515" i="12"/>
  <c r="GQ515" i="12" s="1"/>
  <c r="HJ515" i="12" s="1"/>
  <c r="DX516" i="12"/>
  <c r="EA516" i="12" s="1"/>
  <c r="DK516" i="12" s="1"/>
  <c r="DD517" i="12" s="1"/>
  <c r="BG523" i="12" l="1"/>
  <c r="BL523" i="12" s="1"/>
  <c r="BR523" i="12" s="1"/>
  <c r="BH524" i="12" s="1"/>
  <c r="EF523" i="12"/>
  <c r="EX523" i="12"/>
  <c r="DC523" i="12"/>
  <c r="DP523" i="12" s="1"/>
  <c r="CM523" i="12"/>
  <c r="ER523" i="12"/>
  <c r="BW523" i="12"/>
  <c r="CB523" i="12" s="1"/>
  <c r="CH523" i="12" s="1"/>
  <c r="BX524" i="12" s="1"/>
  <c r="BO523" i="12"/>
  <c r="CU523" i="12"/>
  <c r="GU523" i="12"/>
  <c r="GV523" i="12" s="1"/>
  <c r="FR523" i="12" s="1"/>
  <c r="CE523" i="12"/>
  <c r="DU517" i="12"/>
  <c r="DQ517" i="12"/>
  <c r="DH517" i="12"/>
  <c r="GC515" i="12"/>
  <c r="FT516" i="12" s="1"/>
  <c r="BD524" i="12" l="1"/>
  <c r="BE524" i="12" s="1"/>
  <c r="FY516" i="12"/>
  <c r="GQ516" i="12" s="1"/>
  <c r="HJ516" i="12" s="1"/>
  <c r="HJ337" i="12" s="1"/>
  <c r="H450" i="12" s="1"/>
  <c r="N450" i="12" s="1"/>
  <c r="GL517" i="12"/>
  <c r="Q273" i="12" s="1"/>
  <c r="AJ39" i="22"/>
  <c r="GH517" i="12"/>
  <c r="O273" i="12" s="1"/>
  <c r="AP39" i="22"/>
  <c r="DX517" i="12"/>
  <c r="AS39" i="22" s="1"/>
  <c r="BG524" i="12" l="1"/>
  <c r="BL524" i="12" s="1"/>
  <c r="BR524" i="12" s="1"/>
  <c r="BH525" i="12" s="1"/>
  <c r="EX524" i="12"/>
  <c r="GU524" i="12"/>
  <c r="GV524" i="12" s="1"/>
  <c r="FR524" i="12" s="1"/>
  <c r="EF524" i="12"/>
  <c r="BW524" i="12"/>
  <c r="CB524" i="12" s="1"/>
  <c r="CH524" i="12" s="1"/>
  <c r="BX525" i="12" s="1"/>
  <c r="CE524" i="12"/>
  <c r="BO524" i="12"/>
  <c r="DC524" i="12"/>
  <c r="DP524" i="12" s="1"/>
  <c r="CM524" i="12"/>
  <c r="ER524" i="12"/>
  <c r="CU524" i="12"/>
  <c r="EA517" i="12"/>
  <c r="DK517" i="12" s="1"/>
  <c r="DD518" i="12" s="1"/>
  <c r="DQ518" i="12" s="1"/>
  <c r="AV37" i="22"/>
  <c r="GC516" i="12"/>
  <c r="FT517" i="12" s="1"/>
  <c r="BD525" i="12" l="1"/>
  <c r="BE525" i="12" s="1"/>
  <c r="DH518" i="12"/>
  <c r="GL518" i="12" s="1"/>
  <c r="DU518" i="12"/>
  <c r="DX518" i="12" s="1"/>
  <c r="AG41" i="22"/>
  <c r="AF41" i="22" s="1"/>
  <c r="CA112" i="22" s="1"/>
  <c r="FY517" i="12"/>
  <c r="AN37" i="22"/>
  <c r="CC110" i="22"/>
  <c r="CD110" i="22" s="1"/>
  <c r="J525" i="12"/>
  <c r="GH518" i="12" l="1"/>
  <c r="DC525" i="12"/>
  <c r="DP525" i="12" s="1"/>
  <c r="BW525" i="12"/>
  <c r="CB525" i="12" s="1"/>
  <c r="CH525" i="12" s="1"/>
  <c r="BX526" i="12" s="1"/>
  <c r="CM525" i="12"/>
  <c r="CU525" i="12"/>
  <c r="EX525" i="12"/>
  <c r="EF525" i="12"/>
  <c r="GU525" i="12"/>
  <c r="GV525" i="12" s="1"/>
  <c r="FR525" i="12" s="1"/>
  <c r="ER525" i="12"/>
  <c r="CE525" i="12"/>
  <c r="BG525" i="12"/>
  <c r="BL525" i="12" s="1"/>
  <c r="BR525" i="12" s="1"/>
  <c r="BH526" i="12" s="1"/>
  <c r="BO525" i="12"/>
  <c r="CB112" i="22"/>
  <c r="I530" i="12"/>
  <c r="O527" i="12" s="1"/>
  <c r="BZ111" i="22"/>
  <c r="GQ517" i="12"/>
  <c r="HK517" i="12" s="1"/>
  <c r="Y273" i="12"/>
  <c r="GC517" i="12"/>
  <c r="EA518" i="12"/>
  <c r="DK518" i="12" s="1"/>
  <c r="DD519" i="12" s="1"/>
  <c r="BD526" i="12" l="1"/>
  <c r="BE526" i="12" s="1"/>
  <c r="DQ519" i="12"/>
  <c r="DU519" i="12"/>
  <c r="DH519" i="12"/>
  <c r="AA273" i="12"/>
  <c r="G716" i="12"/>
  <c r="V638" i="12"/>
  <c r="EX526" i="12" l="1"/>
  <c r="EF526" i="12"/>
  <c r="ER526" i="12"/>
  <c r="BG526" i="12"/>
  <c r="BL526" i="12" s="1"/>
  <c r="BR526" i="12" s="1"/>
  <c r="BH527" i="12" s="1"/>
  <c r="CE526" i="12"/>
  <c r="DC526" i="12"/>
  <c r="DP526" i="12" s="1"/>
  <c r="CM526" i="12"/>
  <c r="BW526" i="12"/>
  <c r="CB526" i="12" s="1"/>
  <c r="CH526" i="12" s="1"/>
  <c r="BX527" i="12" s="1"/>
  <c r="CU526" i="12"/>
  <c r="BO526" i="12"/>
  <c r="GU526" i="12"/>
  <c r="GV526" i="12" s="1"/>
  <c r="FR526" i="12" s="1"/>
  <c r="K716" i="12"/>
  <c r="AT716" i="12" s="1"/>
  <c r="X716" i="12" s="1"/>
  <c r="AC716" i="12" s="1"/>
  <c r="S716" i="12"/>
  <c r="P716" i="12"/>
  <c r="Y638" i="12"/>
  <c r="O638" i="12"/>
  <c r="AP451" i="12"/>
  <c r="AH273" i="12"/>
  <c r="GH519" i="12"/>
  <c r="GL519" i="12"/>
  <c r="DX519" i="12"/>
  <c r="EA519" i="12" s="1"/>
  <c r="DK519" i="12" s="1"/>
  <c r="DD520" i="12" s="1"/>
  <c r="BD527" i="12" l="1"/>
  <c r="BE527" i="12" s="1"/>
  <c r="AJ716" i="12"/>
  <c r="F635" i="12"/>
  <c r="AU273" i="12"/>
  <c r="DU520" i="12"/>
  <c r="DQ520" i="12"/>
  <c r="DH520" i="12"/>
  <c r="EF527" i="12" l="1"/>
  <c r="BW527" i="12"/>
  <c r="CB527" i="12" s="1"/>
  <c r="CH527" i="12" s="1"/>
  <c r="BX528" i="12" s="1"/>
  <c r="ER527" i="12"/>
  <c r="CU527" i="12"/>
  <c r="DC527" i="12"/>
  <c r="DP527" i="12" s="1"/>
  <c r="CM527" i="12"/>
  <c r="EX527" i="12"/>
  <c r="BO527" i="12"/>
  <c r="CE527" i="12"/>
  <c r="GU527" i="12"/>
  <c r="GV527" i="12" s="1"/>
  <c r="FR527" i="12" s="1"/>
  <c r="BG527" i="12"/>
  <c r="BL527" i="12" s="1"/>
  <c r="BR527" i="12" s="1"/>
  <c r="BH528" i="12" s="1"/>
  <c r="GL520" i="12"/>
  <c r="DX520" i="12"/>
  <c r="EA520" i="12" s="1"/>
  <c r="DK520" i="12" s="1"/>
  <c r="DD521" i="12" s="1"/>
  <c r="F127" i="23"/>
  <c r="I636" i="12"/>
  <c r="L637" i="12"/>
  <c r="GH520" i="12"/>
  <c r="BD528" i="12" l="1"/>
  <c r="BE528" i="12" s="1"/>
  <c r="DQ521" i="12"/>
  <c r="DU521" i="12"/>
  <c r="DH521" i="12"/>
  <c r="J126" i="23"/>
  <c r="CE528" i="12" l="1"/>
  <c r="GU528" i="12"/>
  <c r="GV528" i="12" s="1"/>
  <c r="FR528" i="12" s="1"/>
  <c r="ER528" i="12"/>
  <c r="BW528" i="12"/>
  <c r="CB528" i="12" s="1"/>
  <c r="CH528" i="12" s="1"/>
  <c r="BX529" i="12" s="1"/>
  <c r="BO528" i="12"/>
  <c r="EX528" i="12"/>
  <c r="DC528" i="12"/>
  <c r="DP528" i="12" s="1"/>
  <c r="BG528" i="12"/>
  <c r="BL528" i="12" s="1"/>
  <c r="BR528" i="12" s="1"/>
  <c r="BH529" i="12" s="1"/>
  <c r="CU528" i="12"/>
  <c r="CM528" i="12"/>
  <c r="EF528" i="12"/>
  <c r="GH521" i="12"/>
  <c r="GL521" i="12"/>
  <c r="DX521" i="12"/>
  <c r="EA521" i="12" s="1"/>
  <c r="DK521" i="12" s="1"/>
  <c r="DD522" i="12" s="1"/>
  <c r="BD529" i="12" l="1"/>
  <c r="BE529" i="12" s="1"/>
  <c r="DQ522" i="12"/>
  <c r="DU522" i="12"/>
  <c r="DH522" i="12"/>
  <c r="EX529" i="12" l="1"/>
  <c r="FL529" i="12" s="1"/>
  <c r="FN529" i="12" s="1"/>
  <c r="FQ529" i="12" s="1"/>
  <c r="ER529" i="12"/>
  <c r="V275" i="12" s="1"/>
  <c r="CM529" i="12"/>
  <c r="CE529" i="12"/>
  <c r="J53" i="15" s="1"/>
  <c r="BW529" i="12"/>
  <c r="CB529" i="12" s="1"/>
  <c r="GU529" i="12"/>
  <c r="GV529" i="12" s="1"/>
  <c r="BG529" i="12"/>
  <c r="BL529" i="12" s="1"/>
  <c r="BO529" i="12"/>
  <c r="J53" i="14" s="1"/>
  <c r="EF529" i="12"/>
  <c r="S275" i="12" s="1"/>
  <c r="CU529" i="12"/>
  <c r="J53" i="16" s="1"/>
  <c r="P53" i="16" s="1"/>
  <c r="DC529" i="12"/>
  <c r="DP529" i="12" s="1"/>
  <c r="GL522" i="12"/>
  <c r="DX522" i="12"/>
  <c r="EA522" i="12" s="1"/>
  <c r="DK522" i="12" s="1"/>
  <c r="DD523" i="12" s="1"/>
  <c r="GH522" i="12"/>
  <c r="M53" i="15" l="1"/>
  <c r="P53" i="15" s="1"/>
  <c r="CH529" i="12"/>
  <c r="BR529" i="12"/>
  <c r="M53" i="14"/>
  <c r="P53" i="14" s="1"/>
  <c r="FL523" i="12"/>
  <c r="FJ529" i="12"/>
  <c r="FD529" i="12" s="1"/>
  <c r="FL520" i="12"/>
  <c r="FL518" i="12"/>
  <c r="FL519" i="12"/>
  <c r="FL521" i="12"/>
  <c r="FL522" i="12"/>
  <c r="FL524" i="12"/>
  <c r="FL525" i="12"/>
  <c r="FL527" i="12"/>
  <c r="FL526" i="12"/>
  <c r="FL528" i="12"/>
  <c r="DQ523" i="12"/>
  <c r="DU523" i="12"/>
  <c r="GH523" i="12" s="1"/>
  <c r="DH523" i="12"/>
  <c r="GL523" i="12" s="1"/>
  <c r="G53" i="15" l="1"/>
  <c r="BX530" i="12"/>
  <c r="G529" i="12"/>
  <c r="L526" i="12" s="1"/>
  <c r="FN518" i="12"/>
  <c r="FQ518" i="12" s="1"/>
  <c r="FJ518" i="12"/>
  <c r="FD518" i="12" s="1"/>
  <c r="FN520" i="12"/>
  <c r="FQ520" i="12" s="1"/>
  <c r="FJ520" i="12"/>
  <c r="FD520" i="12" s="1"/>
  <c r="FN519" i="12"/>
  <c r="FQ519" i="12" s="1"/>
  <c r="FJ519" i="12"/>
  <c r="FD519" i="12" s="1"/>
  <c r="FN526" i="12"/>
  <c r="FQ526" i="12" s="1"/>
  <c r="FJ526" i="12"/>
  <c r="FD526" i="12" s="1"/>
  <c r="FN523" i="12"/>
  <c r="FQ523" i="12" s="1"/>
  <c r="FJ523" i="12"/>
  <c r="FD523" i="12" s="1"/>
  <c r="FN522" i="12"/>
  <c r="FQ522" i="12" s="1"/>
  <c r="FJ522" i="12"/>
  <c r="FD522" i="12" s="1"/>
  <c r="FN528" i="12"/>
  <c r="FQ528" i="12" s="1"/>
  <c r="FJ528" i="12"/>
  <c r="FD528" i="12" s="1"/>
  <c r="FN527" i="12"/>
  <c r="FQ527" i="12" s="1"/>
  <c r="FJ527" i="12"/>
  <c r="FD527" i="12" s="1"/>
  <c r="FN525" i="12"/>
  <c r="FQ525" i="12" s="1"/>
  <c r="FJ525" i="12"/>
  <c r="FD525" i="12" s="1"/>
  <c r="FJ524" i="12"/>
  <c r="FD524" i="12" s="1"/>
  <c r="FN524" i="12"/>
  <c r="FQ524" i="12" s="1"/>
  <c r="FN521" i="12"/>
  <c r="FQ521" i="12" s="1"/>
  <c r="FJ521" i="12"/>
  <c r="FD521" i="12" s="1"/>
  <c r="BH530" i="12"/>
  <c r="F529" i="12"/>
  <c r="G53" i="14"/>
  <c r="DX523" i="12"/>
  <c r="EA523" i="12" s="1"/>
  <c r="DK523" i="12" s="1"/>
  <c r="DD524" i="12" s="1"/>
  <c r="D55" i="15" l="1"/>
  <c r="K526" i="12"/>
  <c r="D55" i="14"/>
  <c r="BD530" i="12"/>
  <c r="BE530" i="12" s="1"/>
  <c r="G275" i="12"/>
  <c r="FT518" i="12"/>
  <c r="L275" i="12"/>
  <c r="DU524" i="12"/>
  <c r="GH524" i="12" s="1"/>
  <c r="DQ524" i="12"/>
  <c r="DH524" i="12"/>
  <c r="GL524" i="12" s="1"/>
  <c r="C55" i="15" l="1"/>
  <c r="C55" i="14"/>
  <c r="EF530" i="12"/>
  <c r="BW530" i="12"/>
  <c r="CB530" i="12" s="1"/>
  <c r="CH530" i="12" s="1"/>
  <c r="BX531" i="12" s="1"/>
  <c r="CM530" i="12"/>
  <c r="BO530" i="12"/>
  <c r="BG530" i="12"/>
  <c r="BL530" i="12" s="1"/>
  <c r="CE530" i="12"/>
  <c r="EX530" i="12"/>
  <c r="CU530" i="12"/>
  <c r="ER530" i="12"/>
  <c r="GU530" i="12"/>
  <c r="GV530" i="12" s="1"/>
  <c r="FR530" i="12" s="1"/>
  <c r="DC530" i="12"/>
  <c r="DP530" i="12" s="1"/>
  <c r="FY518" i="12"/>
  <c r="GQ518" i="12" s="1"/>
  <c r="DX524" i="12"/>
  <c r="EA524" i="12" s="1"/>
  <c r="DK524" i="12" s="1"/>
  <c r="DD525" i="12" s="1"/>
  <c r="HK518" i="12" l="1"/>
  <c r="GC518" i="12"/>
  <c r="FT519" i="12" s="1"/>
  <c r="BR530" i="12"/>
  <c r="BH531" i="12" s="1"/>
  <c r="DQ525" i="12"/>
  <c r="DU525" i="12"/>
  <c r="GH525" i="12" s="1"/>
  <c r="DH525" i="12"/>
  <c r="GL525" i="12" s="1"/>
  <c r="BD531" i="12" l="1"/>
  <c r="BE531" i="12" s="1"/>
  <c r="FY519" i="12"/>
  <c r="GQ519" i="12" s="1"/>
  <c r="HK519" i="12" s="1"/>
  <c r="DX525" i="12"/>
  <c r="EA525" i="12" s="1"/>
  <c r="DK525" i="12" s="1"/>
  <c r="DD526" i="12" s="1"/>
  <c r="GC519" i="12" l="1"/>
  <c r="FT520" i="12" s="1"/>
  <c r="ER531" i="12"/>
  <c r="BW531" i="12"/>
  <c r="CB531" i="12" s="1"/>
  <c r="CH531" i="12" s="1"/>
  <c r="BX532" i="12" s="1"/>
  <c r="CM531" i="12"/>
  <c r="BO531" i="12"/>
  <c r="EX531" i="12"/>
  <c r="CU531" i="12"/>
  <c r="BG531" i="12"/>
  <c r="BL531" i="12" s="1"/>
  <c r="GU531" i="12"/>
  <c r="GV531" i="12" s="1"/>
  <c r="FR531" i="12" s="1"/>
  <c r="CE531" i="12"/>
  <c r="EF531" i="12"/>
  <c r="DC531" i="12"/>
  <c r="DP531" i="12" s="1"/>
  <c r="DU526" i="12"/>
  <c r="GH526" i="12" s="1"/>
  <c r="DQ526" i="12"/>
  <c r="DH526" i="12"/>
  <c r="GL526" i="12" s="1"/>
  <c r="BR531" i="12" l="1"/>
  <c r="BH532" i="12" s="1"/>
  <c r="FY520" i="12"/>
  <c r="GQ520" i="12" s="1"/>
  <c r="HK520" i="12" s="1"/>
  <c r="DX526" i="12"/>
  <c r="EA526" i="12" s="1"/>
  <c r="DK526" i="12" s="1"/>
  <c r="DD527" i="12" s="1"/>
  <c r="GC520" i="12" l="1"/>
  <c r="FT521" i="12" s="1"/>
  <c r="FY521" i="12" s="1"/>
  <c r="GQ521" i="12" s="1"/>
  <c r="HK521" i="12" s="1"/>
  <c r="BD532" i="12"/>
  <c r="BE532" i="12" s="1"/>
  <c r="DU527" i="12"/>
  <c r="GH527" i="12" s="1"/>
  <c r="DQ527" i="12"/>
  <c r="DH527" i="12"/>
  <c r="GL527" i="12" s="1"/>
  <c r="GC521" i="12" l="1"/>
  <c r="FT522" i="12" s="1"/>
  <c r="FY522" i="12" s="1"/>
  <c r="GQ522" i="12" s="1"/>
  <c r="HK522" i="12" s="1"/>
  <c r="EF532" i="12"/>
  <c r="EX532" i="12"/>
  <c r="CM532" i="12"/>
  <c r="CU532" i="12"/>
  <c r="DC532" i="12"/>
  <c r="DP532" i="12" s="1"/>
  <c r="BW532" i="12"/>
  <c r="CB532" i="12" s="1"/>
  <c r="CH532" i="12" s="1"/>
  <c r="BX533" i="12" s="1"/>
  <c r="CE532" i="12"/>
  <c r="BG532" i="12"/>
  <c r="BL532" i="12" s="1"/>
  <c r="ER532" i="12"/>
  <c r="GU532" i="12"/>
  <c r="GV532" i="12" s="1"/>
  <c r="FR532" i="12" s="1"/>
  <c r="BO532" i="12"/>
  <c r="DX527" i="12"/>
  <c r="EA527" i="12" s="1"/>
  <c r="DK527" i="12" s="1"/>
  <c r="DD528" i="12" s="1"/>
  <c r="GC522" i="12" l="1"/>
  <c r="FT523" i="12" s="1"/>
  <c r="FY523" i="12" s="1"/>
  <c r="GQ523" i="12" s="1"/>
  <c r="HK523" i="12" s="1"/>
  <c r="BR532" i="12"/>
  <c r="BH533" i="12" s="1"/>
  <c r="DU528" i="12"/>
  <c r="GH528" i="12" s="1"/>
  <c r="DQ528" i="12"/>
  <c r="DH528" i="12"/>
  <c r="GL528" i="12" s="1"/>
  <c r="GC523" i="12" l="1"/>
  <c r="FT524" i="12" s="1"/>
  <c r="FY524" i="12" s="1"/>
  <c r="GQ524" i="12" s="1"/>
  <c r="HK524" i="12" s="1"/>
  <c r="BD533" i="12"/>
  <c r="BE533" i="12" s="1"/>
  <c r="DX528" i="12"/>
  <c r="EA528" i="12" s="1"/>
  <c r="DK528" i="12" s="1"/>
  <c r="DD529" i="12" s="1"/>
  <c r="GC524" i="12" l="1"/>
  <c r="FT525" i="12" s="1"/>
  <c r="FY525" i="12" s="1"/>
  <c r="GQ525" i="12" s="1"/>
  <c r="HK525" i="12" s="1"/>
  <c r="GU533" i="12"/>
  <c r="GV533" i="12" s="1"/>
  <c r="FR533" i="12" s="1"/>
  <c r="DC533" i="12"/>
  <c r="DP533" i="12" s="1"/>
  <c r="BO533" i="12"/>
  <c r="BW533" i="12"/>
  <c r="CB533" i="12" s="1"/>
  <c r="CH533" i="12" s="1"/>
  <c r="BX534" i="12" s="1"/>
  <c r="EX533" i="12"/>
  <c r="BG533" i="12"/>
  <c r="BL533" i="12" s="1"/>
  <c r="CM533" i="12"/>
  <c r="CU533" i="12"/>
  <c r="EF533" i="12"/>
  <c r="ER533" i="12"/>
  <c r="CE533" i="12"/>
  <c r="DU529" i="12"/>
  <c r="DQ529" i="12"/>
  <c r="DH529" i="12"/>
  <c r="GC525" i="12" l="1"/>
  <c r="FT526" i="12" s="1"/>
  <c r="FY526" i="12" s="1"/>
  <c r="GQ526" i="12" s="1"/>
  <c r="HK526" i="12" s="1"/>
  <c r="BR533" i="12"/>
  <c r="BH534" i="12" s="1"/>
  <c r="DX529" i="12"/>
  <c r="AS41" i="22" s="1"/>
  <c r="GL529" i="12"/>
  <c r="Q275" i="12" s="1"/>
  <c r="AJ41" i="22"/>
  <c r="GH529" i="12"/>
  <c r="O275" i="12" s="1"/>
  <c r="AP41" i="22"/>
  <c r="GC526" i="12" l="1"/>
  <c r="FT527" i="12" s="1"/>
  <c r="FY527" i="12" s="1"/>
  <c r="GQ527" i="12" s="1"/>
  <c r="HK527" i="12" s="1"/>
  <c r="BD534" i="12"/>
  <c r="BE534" i="12" s="1"/>
  <c r="AV39" i="22"/>
  <c r="EA529" i="12"/>
  <c r="DK529" i="12" s="1"/>
  <c r="DD530" i="12" s="1"/>
  <c r="GC527" i="12" l="1"/>
  <c r="FT528" i="12" s="1"/>
  <c r="FY528" i="12" s="1"/>
  <c r="GQ528" i="12" s="1"/>
  <c r="HK528" i="12" s="1"/>
  <c r="HK337" i="12" s="1"/>
  <c r="H451" i="12" s="1"/>
  <c r="N451" i="12" s="1"/>
  <c r="CU534" i="12"/>
  <c r="EX534" i="12"/>
  <c r="CE534" i="12"/>
  <c r="BO534" i="12"/>
  <c r="GU534" i="12"/>
  <c r="GV534" i="12" s="1"/>
  <c r="FR534" i="12" s="1"/>
  <c r="BW534" i="12"/>
  <c r="CB534" i="12" s="1"/>
  <c r="CH534" i="12" s="1"/>
  <c r="BX535" i="12" s="1"/>
  <c r="BG534" i="12"/>
  <c r="BL534" i="12" s="1"/>
  <c r="DC534" i="12"/>
  <c r="DP534" i="12" s="1"/>
  <c r="CM534" i="12"/>
  <c r="ER534" i="12"/>
  <c r="EF534" i="12"/>
  <c r="CC111" i="22"/>
  <c r="CD111" i="22" s="1"/>
  <c r="AN39" i="22"/>
  <c r="J528" i="12"/>
  <c r="DQ530" i="12"/>
  <c r="AG43" i="22"/>
  <c r="DU530" i="12"/>
  <c r="DH530" i="12"/>
  <c r="GC528" i="12" l="1"/>
  <c r="FT529" i="12" s="1"/>
  <c r="FY529" i="12" s="1"/>
  <c r="GC529" i="12" s="1"/>
  <c r="BR534" i="12"/>
  <c r="BH535" i="12" s="1"/>
  <c r="DX530" i="12"/>
  <c r="GL530" i="12"/>
  <c r="AF43" i="22"/>
  <c r="CA113" i="22" s="1"/>
  <c r="I533" i="12"/>
  <c r="CB113" i="22"/>
  <c r="GH530" i="12"/>
  <c r="Y275" i="12" l="1"/>
  <c r="G717" i="12" s="1"/>
  <c r="GQ529" i="12"/>
  <c r="HL529" i="12" s="1"/>
  <c r="BD535" i="12"/>
  <c r="BE535" i="12" s="1"/>
  <c r="O530" i="12"/>
  <c r="BZ112" i="22"/>
  <c r="EA530" i="12"/>
  <c r="DK530" i="12" s="1"/>
  <c r="DD531" i="12" s="1"/>
  <c r="V643" i="12" l="1"/>
  <c r="O643" i="12" s="1"/>
  <c r="AA275" i="12"/>
  <c r="AP452" i="12" s="1"/>
  <c r="CM535" i="12"/>
  <c r="BO535" i="12"/>
  <c r="CU535" i="12"/>
  <c r="DC535" i="12"/>
  <c r="DP535" i="12" s="1"/>
  <c r="BG535" i="12"/>
  <c r="BL535" i="12" s="1"/>
  <c r="BR535" i="12" s="1"/>
  <c r="BH536" i="12" s="1"/>
  <c r="EF535" i="12"/>
  <c r="GU535" i="12"/>
  <c r="GV535" i="12" s="1"/>
  <c r="FR535" i="12" s="1"/>
  <c r="BW535" i="12"/>
  <c r="CB535" i="12" s="1"/>
  <c r="CH535" i="12" s="1"/>
  <c r="BX536" i="12" s="1"/>
  <c r="CE535" i="12"/>
  <c r="ER535" i="12"/>
  <c r="EX535" i="12"/>
  <c r="K717" i="12"/>
  <c r="AT717" i="12" s="1"/>
  <c r="X717" i="12" s="1"/>
  <c r="P717" i="12"/>
  <c r="S717" i="12"/>
  <c r="DQ531" i="12"/>
  <c r="DU531" i="12"/>
  <c r="DH531" i="12"/>
  <c r="AH275" i="12" l="1"/>
  <c r="F640" i="12" s="1"/>
  <c r="Y643" i="12"/>
  <c r="BD536" i="12"/>
  <c r="BE536" i="12" s="1"/>
  <c r="AC717" i="12"/>
  <c r="GH531" i="12"/>
  <c r="GL531" i="12"/>
  <c r="DX531" i="12"/>
  <c r="EA531" i="12" s="1"/>
  <c r="DK531" i="12" s="1"/>
  <c r="DD532" i="12" s="1"/>
  <c r="AU275" i="12" l="1"/>
  <c r="CM536" i="12"/>
  <c r="BO536" i="12"/>
  <c r="ER536" i="12"/>
  <c r="CE536" i="12"/>
  <c r="BG536" i="12"/>
  <c r="BL536" i="12" s="1"/>
  <c r="BR536" i="12" s="1"/>
  <c r="BH537" i="12" s="1"/>
  <c r="CU536" i="12"/>
  <c r="EF536" i="12"/>
  <c r="GU536" i="12"/>
  <c r="GV536" i="12" s="1"/>
  <c r="FR536" i="12" s="1"/>
  <c r="BW536" i="12"/>
  <c r="CB536" i="12" s="1"/>
  <c r="CH536" i="12" s="1"/>
  <c r="BX537" i="12" s="1"/>
  <c r="EX536" i="12"/>
  <c r="DC536" i="12"/>
  <c r="DP536" i="12" s="1"/>
  <c r="DQ532" i="12"/>
  <c r="DU532" i="12"/>
  <c r="DH532" i="12"/>
  <c r="F128" i="23"/>
  <c r="I641" i="12"/>
  <c r="L642" i="12"/>
  <c r="AJ717" i="12"/>
  <c r="BD537" i="12" l="1"/>
  <c r="BE537" i="12" s="1"/>
  <c r="J127" i="23"/>
  <c r="GH532" i="12"/>
  <c r="GL532" i="12"/>
  <c r="DX532" i="12"/>
  <c r="EA532" i="12" s="1"/>
  <c r="DK532" i="12" s="1"/>
  <c r="DD533" i="12" s="1"/>
  <c r="ER537" i="12" l="1"/>
  <c r="EF537" i="12"/>
  <c r="BO537" i="12"/>
  <c r="CM537" i="12"/>
  <c r="DC537" i="12"/>
  <c r="DP537" i="12" s="1"/>
  <c r="BG537" i="12"/>
  <c r="BL537" i="12" s="1"/>
  <c r="BR537" i="12" s="1"/>
  <c r="BH538" i="12" s="1"/>
  <c r="EX537" i="12"/>
  <c r="CU537" i="12"/>
  <c r="BW537" i="12"/>
  <c r="CB537" i="12" s="1"/>
  <c r="CH537" i="12" s="1"/>
  <c r="BX538" i="12" s="1"/>
  <c r="CE537" i="12"/>
  <c r="GU537" i="12"/>
  <c r="GV537" i="12" s="1"/>
  <c r="FR537" i="12" s="1"/>
  <c r="DQ533" i="12"/>
  <c r="DU533" i="12"/>
  <c r="DH533" i="12"/>
  <c r="BD538" i="12" l="1"/>
  <c r="BE538" i="12" s="1"/>
  <c r="GL533" i="12"/>
  <c r="GH533" i="12"/>
  <c r="DX533" i="12"/>
  <c r="EA533" i="12" s="1"/>
  <c r="DK533" i="12" s="1"/>
  <c r="DD534" i="12" s="1"/>
  <c r="DC538" i="12" l="1"/>
  <c r="DP538" i="12" s="1"/>
  <c r="BW538" i="12"/>
  <c r="CB538" i="12" s="1"/>
  <c r="CH538" i="12" s="1"/>
  <c r="BX539" i="12" s="1"/>
  <c r="CE538" i="12"/>
  <c r="EF538" i="12"/>
  <c r="CU538" i="12"/>
  <c r="GU538" i="12"/>
  <c r="GV538" i="12" s="1"/>
  <c r="FR538" i="12" s="1"/>
  <c r="BO538" i="12"/>
  <c r="BG538" i="12"/>
  <c r="BL538" i="12" s="1"/>
  <c r="BR538" i="12" s="1"/>
  <c r="BH539" i="12" s="1"/>
  <c r="EX538" i="12"/>
  <c r="CM538" i="12"/>
  <c r="ER538" i="12"/>
  <c r="DU534" i="12"/>
  <c r="DQ534" i="12"/>
  <c r="DH534" i="12"/>
  <c r="BD539" i="12" l="1"/>
  <c r="BE539" i="12" s="1"/>
  <c r="DX534" i="12"/>
  <c r="EA534" i="12" s="1"/>
  <c r="DK534" i="12" s="1"/>
  <c r="DD535" i="12" s="1"/>
  <c r="GL534" i="12"/>
  <c r="GH534" i="12"/>
  <c r="EX539" i="12" l="1"/>
  <c r="DC539" i="12"/>
  <c r="DP539" i="12" s="1"/>
  <c r="BG539" i="12"/>
  <c r="BL539" i="12" s="1"/>
  <c r="BR539" i="12" s="1"/>
  <c r="BH540" i="12" s="1"/>
  <c r="CU539" i="12"/>
  <c r="GU539" i="12"/>
  <c r="GV539" i="12" s="1"/>
  <c r="FR539" i="12" s="1"/>
  <c r="BO539" i="12"/>
  <c r="BW539" i="12"/>
  <c r="CB539" i="12" s="1"/>
  <c r="CH539" i="12" s="1"/>
  <c r="BX540" i="12" s="1"/>
  <c r="CM539" i="12"/>
  <c r="EF539" i="12"/>
  <c r="ER539" i="12"/>
  <c r="CE539" i="12"/>
  <c r="DU535" i="12"/>
  <c r="GH535" i="12" s="1"/>
  <c r="DQ535" i="12"/>
  <c r="DH535" i="12"/>
  <c r="GL535" i="12" s="1"/>
  <c r="BD540" i="12" l="1"/>
  <c r="BE540" i="12" s="1"/>
  <c r="DX535" i="12"/>
  <c r="EA535" i="12" s="1"/>
  <c r="DK535" i="12" s="1"/>
  <c r="DD536" i="12" s="1"/>
  <c r="BW540" i="12" l="1"/>
  <c r="CB540" i="12" s="1"/>
  <c r="CH540" i="12" s="1"/>
  <c r="BX541" i="12" s="1"/>
  <c r="EX540" i="12"/>
  <c r="BG540" i="12"/>
  <c r="BL540" i="12" s="1"/>
  <c r="BR540" i="12" s="1"/>
  <c r="BH541" i="12" s="1"/>
  <c r="CE540" i="12"/>
  <c r="DC540" i="12"/>
  <c r="DP540" i="12" s="1"/>
  <c r="ER540" i="12"/>
  <c r="EF540" i="12"/>
  <c r="GU540" i="12"/>
  <c r="GV540" i="12" s="1"/>
  <c r="FR540" i="12" s="1"/>
  <c r="CU540" i="12"/>
  <c r="CM540" i="12"/>
  <c r="BO540" i="12"/>
  <c r="DQ536" i="12"/>
  <c r="DU536" i="12"/>
  <c r="GH536" i="12" s="1"/>
  <c r="DH536" i="12"/>
  <c r="GL536" i="12" s="1"/>
  <c r="BD541" i="12" l="1"/>
  <c r="BE541" i="12" s="1"/>
  <c r="DX536" i="12"/>
  <c r="EA536" i="12" s="1"/>
  <c r="DK536" i="12" s="1"/>
  <c r="DD537" i="12" s="1"/>
  <c r="BW541" i="12" l="1"/>
  <c r="CB541" i="12" s="1"/>
  <c r="GU541" i="12"/>
  <c r="GV541" i="12" s="1"/>
  <c r="EX541" i="12"/>
  <c r="EF541" i="12"/>
  <c r="S277" i="12" s="1"/>
  <c r="CM541" i="12"/>
  <c r="BO541" i="12"/>
  <c r="J55" i="14" s="1"/>
  <c r="ER541" i="12"/>
  <c r="V277" i="12" s="1"/>
  <c r="CE541" i="12"/>
  <c r="J55" i="15" s="1"/>
  <c r="BG541" i="12"/>
  <c r="BL541" i="12" s="1"/>
  <c r="CU541" i="12"/>
  <c r="J55" i="16" s="1"/>
  <c r="P55" i="16" s="1"/>
  <c r="DC541" i="12"/>
  <c r="DP541" i="12" s="1"/>
  <c r="DU537" i="12"/>
  <c r="GH537" i="12" s="1"/>
  <c r="DQ537" i="12"/>
  <c r="DH537" i="12"/>
  <c r="GL537" i="12" s="1"/>
  <c r="M55" i="15" l="1"/>
  <c r="P55" i="15" s="1"/>
  <c r="CH541" i="12"/>
  <c r="FL541" i="12"/>
  <c r="FN541" i="12" s="1"/>
  <c r="FQ541" i="12" s="1"/>
  <c r="FL530" i="12"/>
  <c r="FL531" i="12"/>
  <c r="FL533" i="12"/>
  <c r="FL532" i="12"/>
  <c r="FL534" i="12"/>
  <c r="FL535" i="12"/>
  <c r="FL540" i="12"/>
  <c r="FL536" i="12"/>
  <c r="FL539" i="12"/>
  <c r="FL538" i="12"/>
  <c r="FL537" i="12"/>
  <c r="M55" i="14"/>
  <c r="P55" i="14" s="1"/>
  <c r="BR541" i="12"/>
  <c r="DX537" i="12"/>
  <c r="EA537" i="12" s="1"/>
  <c r="DK537" i="12" s="1"/>
  <c r="DD538" i="12" s="1"/>
  <c r="BX542" i="12" l="1"/>
  <c r="G55" i="15"/>
  <c r="G532" i="12"/>
  <c r="FN537" i="12"/>
  <c r="FQ537" i="12" s="1"/>
  <c r="FJ537" i="12"/>
  <c r="FD537" i="12" s="1"/>
  <c r="FN532" i="12"/>
  <c r="FQ532" i="12" s="1"/>
  <c r="FJ532" i="12"/>
  <c r="FD532" i="12" s="1"/>
  <c r="FN530" i="12"/>
  <c r="FQ530" i="12" s="1"/>
  <c r="FJ530" i="12"/>
  <c r="FD530" i="12" s="1"/>
  <c r="FN534" i="12"/>
  <c r="FQ534" i="12" s="1"/>
  <c r="FJ534" i="12"/>
  <c r="FD534" i="12" s="1"/>
  <c r="FN531" i="12"/>
  <c r="FQ531" i="12" s="1"/>
  <c r="FJ531" i="12"/>
  <c r="FD531" i="12" s="1"/>
  <c r="FN536" i="12"/>
  <c r="FQ536" i="12" s="1"/>
  <c r="FJ536" i="12"/>
  <c r="FD536" i="12" s="1"/>
  <c r="FJ541" i="12"/>
  <c r="FD541" i="12" s="1"/>
  <c r="F532" i="12"/>
  <c r="G55" i="14"/>
  <c r="BH542" i="12"/>
  <c r="FN533" i="12"/>
  <c r="FQ533" i="12" s="1"/>
  <c r="FJ533" i="12"/>
  <c r="FD533" i="12" s="1"/>
  <c r="FN538" i="12"/>
  <c r="FQ538" i="12" s="1"/>
  <c r="FJ538" i="12"/>
  <c r="FD538" i="12" s="1"/>
  <c r="FN539" i="12"/>
  <c r="FQ539" i="12" s="1"/>
  <c r="FJ539" i="12"/>
  <c r="FD539" i="12" s="1"/>
  <c r="FN540" i="12"/>
  <c r="FQ540" i="12" s="1"/>
  <c r="FJ540" i="12"/>
  <c r="FD540" i="12" s="1"/>
  <c r="FN535" i="12"/>
  <c r="FQ535" i="12" s="1"/>
  <c r="FJ535" i="12"/>
  <c r="FD535" i="12" s="1"/>
  <c r="DU538" i="12"/>
  <c r="GH538" i="12" s="1"/>
  <c r="DQ538" i="12"/>
  <c r="DH538" i="12"/>
  <c r="GL538" i="12" s="1"/>
  <c r="L529" i="12" l="1"/>
  <c r="D57" i="15"/>
  <c r="BD542" i="12"/>
  <c r="BE542" i="12" s="1"/>
  <c r="D57" i="14"/>
  <c r="K529" i="12"/>
  <c r="G277" i="12"/>
  <c r="FT530" i="12"/>
  <c r="L277" i="12"/>
  <c r="DX538" i="12"/>
  <c r="EA538" i="12" s="1"/>
  <c r="DK538" i="12" s="1"/>
  <c r="DD539" i="12" s="1"/>
  <c r="C57" i="15" l="1"/>
  <c r="C57" i="14"/>
  <c r="FY530" i="12"/>
  <c r="GQ530" i="12" s="1"/>
  <c r="BG542" i="12"/>
  <c r="BL542" i="12" s="1"/>
  <c r="GU542" i="12"/>
  <c r="GV542" i="12" s="1"/>
  <c r="FR542" i="12" s="1"/>
  <c r="CM542" i="12"/>
  <c r="DC542" i="12"/>
  <c r="DP542" i="12" s="1"/>
  <c r="CE542" i="12"/>
  <c r="CU542" i="12"/>
  <c r="BO542" i="12"/>
  <c r="ER542" i="12"/>
  <c r="EX542" i="12"/>
  <c r="EF542" i="12"/>
  <c r="BW542" i="12"/>
  <c r="CB542" i="12" s="1"/>
  <c r="CH542" i="12" s="1"/>
  <c r="BX543" i="12" s="1"/>
  <c r="DU539" i="12"/>
  <c r="GH539" i="12" s="1"/>
  <c r="DQ539" i="12"/>
  <c r="DH539" i="12"/>
  <c r="GL539" i="12" s="1"/>
  <c r="HL530" i="12" l="1"/>
  <c r="GC530" i="12"/>
  <c r="FT531" i="12" s="1"/>
  <c r="FY531" i="12" s="1"/>
  <c r="GC531" i="12" s="1"/>
  <c r="FT532" i="12" s="1"/>
  <c r="BR542" i="12"/>
  <c r="BH543" i="12" s="1"/>
  <c r="DX539" i="12"/>
  <c r="EA539" i="12" s="1"/>
  <c r="DK539" i="12" s="1"/>
  <c r="DD540" i="12" s="1"/>
  <c r="GQ531" i="12" l="1"/>
  <c r="HL531" i="12" s="1"/>
  <c r="FY532" i="12"/>
  <c r="GQ532" i="12" s="1"/>
  <c r="BD543" i="12"/>
  <c r="BE543" i="12" s="1"/>
  <c r="DU540" i="12"/>
  <c r="GH540" i="12" s="1"/>
  <c r="DQ540" i="12"/>
  <c r="DH540" i="12"/>
  <c r="GL540" i="12" s="1"/>
  <c r="HL532" i="12" l="1"/>
  <c r="GC532" i="12"/>
  <c r="FT533" i="12" s="1"/>
  <c r="FY533" i="12" s="1"/>
  <c r="GQ533" i="12" s="1"/>
  <c r="HL533" i="12" s="1"/>
  <c r="DC543" i="12"/>
  <c r="DP543" i="12" s="1"/>
  <c r="CE543" i="12"/>
  <c r="CU543" i="12"/>
  <c r="ER543" i="12"/>
  <c r="BO543" i="12"/>
  <c r="BG543" i="12"/>
  <c r="BL543" i="12" s="1"/>
  <c r="EX543" i="12"/>
  <c r="EF543" i="12"/>
  <c r="CM543" i="12"/>
  <c r="GU543" i="12"/>
  <c r="GV543" i="12" s="1"/>
  <c r="FR543" i="12" s="1"/>
  <c r="BW543" i="12"/>
  <c r="CB543" i="12" s="1"/>
  <c r="CH543" i="12" s="1"/>
  <c r="BX544" i="12" s="1"/>
  <c r="DX540" i="12"/>
  <c r="EA540" i="12" s="1"/>
  <c r="DK540" i="12" s="1"/>
  <c r="DD541" i="12" s="1"/>
  <c r="GC533" i="12" l="1"/>
  <c r="FT534" i="12" s="1"/>
  <c r="FY534" i="12" s="1"/>
  <c r="GQ534" i="12" s="1"/>
  <c r="HL534" i="12" s="1"/>
  <c r="BR543" i="12"/>
  <c r="BH544" i="12" s="1"/>
  <c r="DU541" i="12"/>
  <c r="DQ541" i="12"/>
  <c r="DH541" i="12"/>
  <c r="GC534" i="12" l="1"/>
  <c r="FT535" i="12" s="1"/>
  <c r="FY535" i="12" s="1"/>
  <c r="GQ535" i="12" s="1"/>
  <c r="HL535" i="12" s="1"/>
  <c r="BD544" i="12"/>
  <c r="BE544" i="12" s="1"/>
  <c r="DX541" i="12"/>
  <c r="AS43" i="22" s="1"/>
  <c r="GL541" i="12"/>
  <c r="Q277" i="12" s="1"/>
  <c r="AJ43" i="22"/>
  <c r="GH541" i="12"/>
  <c r="O277" i="12" s="1"/>
  <c r="AP43" i="22"/>
  <c r="GC535" i="12" l="1"/>
  <c r="FT536" i="12" s="1"/>
  <c r="FY536" i="12" s="1"/>
  <c r="GQ536" i="12" s="1"/>
  <c r="HL536" i="12" s="1"/>
  <c r="EX544" i="12"/>
  <c r="GU544" i="12"/>
  <c r="GV544" i="12" s="1"/>
  <c r="FR544" i="12" s="1"/>
  <c r="DC544" i="12"/>
  <c r="DP544" i="12" s="1"/>
  <c r="CU544" i="12"/>
  <c r="BW544" i="12"/>
  <c r="CB544" i="12" s="1"/>
  <c r="CH544" i="12" s="1"/>
  <c r="BX545" i="12" s="1"/>
  <c r="CE544" i="12"/>
  <c r="CM544" i="12"/>
  <c r="EF544" i="12"/>
  <c r="BG544" i="12"/>
  <c r="BL544" i="12" s="1"/>
  <c r="ER544" i="12"/>
  <c r="BO544" i="12"/>
  <c r="EA541" i="12"/>
  <c r="DK541" i="12" s="1"/>
  <c r="DD542" i="12" s="1"/>
  <c r="DQ542" i="12" s="1"/>
  <c r="AV41" i="22"/>
  <c r="GC536" i="12" l="1"/>
  <c r="FT537" i="12" s="1"/>
  <c r="FY537" i="12" s="1"/>
  <c r="GQ537" i="12" s="1"/>
  <c r="HL537" i="12" s="1"/>
  <c r="BR544" i="12"/>
  <c r="BH545" i="12" s="1"/>
  <c r="DH542" i="12"/>
  <c r="GL542" i="12" s="1"/>
  <c r="DU542" i="12"/>
  <c r="DX542" i="12" s="1"/>
  <c r="AG45" i="22"/>
  <c r="CB114" i="22" s="1"/>
  <c r="J531" i="12"/>
  <c r="CC112" i="22"/>
  <c r="CD112" i="22" s="1"/>
  <c r="AN41" i="22"/>
  <c r="GC537" i="12" l="1"/>
  <c r="FT538" i="12" s="1"/>
  <c r="FY538" i="12" s="1"/>
  <c r="GQ538" i="12" s="1"/>
  <c r="HL538" i="12" s="1"/>
  <c r="BD545" i="12"/>
  <c r="BE545" i="12" s="1"/>
  <c r="AF45" i="22"/>
  <c r="CA114" i="22" s="1"/>
  <c r="BZ113" i="22" s="1"/>
  <c r="GH542" i="12"/>
  <c r="I536" i="12"/>
  <c r="O533" i="12" s="1"/>
  <c r="EA542" i="12"/>
  <c r="DK542" i="12" s="1"/>
  <c r="DD543" i="12" s="1"/>
  <c r="GC538" i="12" l="1"/>
  <c r="FT539" i="12" s="1"/>
  <c r="FY539" i="12" s="1"/>
  <c r="BG545" i="12"/>
  <c r="BL545" i="12" s="1"/>
  <c r="EX545" i="12"/>
  <c r="BO545" i="12"/>
  <c r="ER545" i="12"/>
  <c r="GU545" i="12"/>
  <c r="GV545" i="12" s="1"/>
  <c r="FR545" i="12" s="1"/>
  <c r="DC545" i="12"/>
  <c r="DP545" i="12" s="1"/>
  <c r="BW545" i="12"/>
  <c r="CB545" i="12" s="1"/>
  <c r="CH545" i="12" s="1"/>
  <c r="BX546" i="12" s="1"/>
  <c r="CE545" i="12"/>
  <c r="CU545" i="12"/>
  <c r="CM545" i="12"/>
  <c r="EF545" i="12"/>
  <c r="DU543" i="12"/>
  <c r="DQ543" i="12"/>
  <c r="DH543" i="12"/>
  <c r="GQ539" i="12" l="1"/>
  <c r="HL539" i="12" s="1"/>
  <c r="BR545" i="12"/>
  <c r="BH546" i="12" s="1"/>
  <c r="GC539" i="12"/>
  <c r="FT540" i="12" s="1"/>
  <c r="DX543" i="12"/>
  <c r="EA543" i="12" s="1"/>
  <c r="DK543" i="12" s="1"/>
  <c r="DD544" i="12" s="1"/>
  <c r="GL543" i="12"/>
  <c r="GH543" i="12"/>
  <c r="FY540" i="12" l="1"/>
  <c r="BD546" i="12"/>
  <c r="BE546" i="12" s="1"/>
  <c r="DQ544" i="12"/>
  <c r="DU544" i="12"/>
  <c r="DH544" i="12"/>
  <c r="EX546" i="12" l="1"/>
  <c r="CM546" i="12"/>
  <c r="CE546" i="12"/>
  <c r="BG546" i="12"/>
  <c r="BL546" i="12" s="1"/>
  <c r="EF546" i="12"/>
  <c r="DC546" i="12"/>
  <c r="DP546" i="12" s="1"/>
  <c r="CU546" i="12"/>
  <c r="BO546" i="12"/>
  <c r="BW546" i="12"/>
  <c r="CB546" i="12" s="1"/>
  <c r="CH546" i="12" s="1"/>
  <c r="BX547" i="12" s="1"/>
  <c r="GU546" i="12"/>
  <c r="GV546" i="12" s="1"/>
  <c r="FR546" i="12" s="1"/>
  <c r="ER546" i="12"/>
  <c r="GQ540" i="12"/>
  <c r="GC540" i="12"/>
  <c r="FT541" i="12" s="1"/>
  <c r="GH544" i="12"/>
  <c r="GL544" i="12"/>
  <c r="DX544" i="12"/>
  <c r="EA544" i="12" s="1"/>
  <c r="DK544" i="12" s="1"/>
  <c r="DD545" i="12" s="1"/>
  <c r="HL540" i="12" l="1"/>
  <c r="HL337" i="12" s="1"/>
  <c r="H452" i="12" s="1"/>
  <c r="N452" i="12" s="1"/>
  <c r="FY541" i="12"/>
  <c r="BR546" i="12"/>
  <c r="BH547" i="12" s="1"/>
  <c r="DQ545" i="12"/>
  <c r="DU545" i="12"/>
  <c r="DH545" i="12"/>
  <c r="BD547" i="12" l="1"/>
  <c r="BE547" i="12" s="1"/>
  <c r="GQ541" i="12"/>
  <c r="Y277" i="12"/>
  <c r="GC541" i="12"/>
  <c r="GL545" i="12"/>
  <c r="DX545" i="12"/>
  <c r="EA545" i="12" s="1"/>
  <c r="DK545" i="12" s="1"/>
  <c r="DD546" i="12" s="1"/>
  <c r="GH545" i="12"/>
  <c r="HM541" i="12" l="1"/>
  <c r="G718" i="12"/>
  <c r="P718" i="12" s="1"/>
  <c r="AA277" i="12"/>
  <c r="V648" i="12"/>
  <c r="CU547" i="12"/>
  <c r="ER547" i="12"/>
  <c r="BW547" i="12"/>
  <c r="CB547" i="12" s="1"/>
  <c r="CH547" i="12" s="1"/>
  <c r="BX548" i="12" s="1"/>
  <c r="GU547" i="12"/>
  <c r="GV547" i="12" s="1"/>
  <c r="FR547" i="12" s="1"/>
  <c r="EF547" i="12"/>
  <c r="BG547" i="12"/>
  <c r="BL547" i="12" s="1"/>
  <c r="BR547" i="12" s="1"/>
  <c r="BH548" i="12" s="1"/>
  <c r="CM547" i="12"/>
  <c r="CE547" i="12"/>
  <c r="BO547" i="12"/>
  <c r="DC547" i="12"/>
  <c r="DP547" i="12" s="1"/>
  <c r="EX547" i="12"/>
  <c r="DQ546" i="12"/>
  <c r="DU546" i="12"/>
  <c r="DH546" i="12"/>
  <c r="K718" i="12" l="1"/>
  <c r="AT718" i="12" s="1"/>
  <c r="X718" i="12" s="1"/>
  <c r="S718" i="12"/>
  <c r="BD548" i="12"/>
  <c r="BE548" i="12" s="1"/>
  <c r="AP453" i="12"/>
  <c r="AH277" i="12"/>
  <c r="O648" i="12"/>
  <c r="Y648" i="12"/>
  <c r="GL546" i="12"/>
  <c r="DX546" i="12"/>
  <c r="EA546" i="12" s="1"/>
  <c r="DK546" i="12" s="1"/>
  <c r="DD547" i="12" s="1"/>
  <c r="GH546" i="12"/>
  <c r="AC718" i="12" l="1"/>
  <c r="AJ718" i="12" s="1"/>
  <c r="F645" i="12"/>
  <c r="AU277" i="12"/>
  <c r="CM548" i="12"/>
  <c r="DC548" i="12"/>
  <c r="DP548" i="12" s="1"/>
  <c r="BO548" i="12"/>
  <c r="CE548" i="12"/>
  <c r="EX548" i="12"/>
  <c r="CU548" i="12"/>
  <c r="EF548" i="12"/>
  <c r="BW548" i="12"/>
  <c r="CB548" i="12" s="1"/>
  <c r="CH548" i="12" s="1"/>
  <c r="BX549" i="12" s="1"/>
  <c r="BG548" i="12"/>
  <c r="BL548" i="12" s="1"/>
  <c r="BR548" i="12" s="1"/>
  <c r="BH549" i="12" s="1"/>
  <c r="ER548" i="12"/>
  <c r="GU548" i="12"/>
  <c r="GV548" i="12" s="1"/>
  <c r="FR548" i="12" s="1"/>
  <c r="DU547" i="12"/>
  <c r="GH547" i="12" s="1"/>
  <c r="DQ547" i="12"/>
  <c r="DH547" i="12"/>
  <c r="GL547" i="12" s="1"/>
  <c r="BD549" i="12" l="1"/>
  <c r="BE549" i="12" s="1"/>
  <c r="F129" i="23"/>
  <c r="J128" i="23" s="1"/>
  <c r="I646" i="12"/>
  <c r="L647" i="12"/>
  <c r="DX547" i="12"/>
  <c r="EA547" i="12" s="1"/>
  <c r="DK547" i="12" s="1"/>
  <c r="DD548" i="12" s="1"/>
  <c r="ER549" i="12" l="1"/>
  <c r="CU549" i="12"/>
  <c r="EX549" i="12"/>
  <c r="BO549" i="12"/>
  <c r="GU549" i="12"/>
  <c r="GV549" i="12" s="1"/>
  <c r="FR549" i="12" s="1"/>
  <c r="CE549" i="12"/>
  <c r="CM549" i="12"/>
  <c r="BW549" i="12"/>
  <c r="CB549" i="12" s="1"/>
  <c r="CH549" i="12" s="1"/>
  <c r="BX550" i="12" s="1"/>
  <c r="DC549" i="12"/>
  <c r="DP549" i="12" s="1"/>
  <c r="BG549" i="12"/>
  <c r="BL549" i="12" s="1"/>
  <c r="BR549" i="12" s="1"/>
  <c r="BH550" i="12" s="1"/>
  <c r="EF549" i="12"/>
  <c r="DU548" i="12"/>
  <c r="GH548" i="12" s="1"/>
  <c r="DQ548" i="12"/>
  <c r="DH548" i="12"/>
  <c r="GL548" i="12" s="1"/>
  <c r="BD550" i="12" l="1"/>
  <c r="BE550" i="12" s="1"/>
  <c r="DX548" i="12"/>
  <c r="EA548" i="12" s="1"/>
  <c r="DK548" i="12" s="1"/>
  <c r="DD549" i="12" s="1"/>
  <c r="EX550" i="12" l="1"/>
  <c r="BW550" i="12"/>
  <c r="CB550" i="12" s="1"/>
  <c r="CH550" i="12" s="1"/>
  <c r="BX551" i="12" s="1"/>
  <c r="CU550" i="12"/>
  <c r="EF550" i="12"/>
  <c r="CM550" i="12"/>
  <c r="DC550" i="12"/>
  <c r="DP550" i="12" s="1"/>
  <c r="BO550" i="12"/>
  <c r="BG550" i="12"/>
  <c r="BL550" i="12" s="1"/>
  <c r="BR550" i="12" s="1"/>
  <c r="BH551" i="12" s="1"/>
  <c r="ER550" i="12"/>
  <c r="CE550" i="12"/>
  <c r="GU550" i="12"/>
  <c r="GV550" i="12" s="1"/>
  <c r="FR550" i="12" s="1"/>
  <c r="DU549" i="12"/>
  <c r="GH549" i="12" s="1"/>
  <c r="DQ549" i="12"/>
  <c r="DH549" i="12"/>
  <c r="GL549" i="12" s="1"/>
  <c r="BD551" i="12" l="1"/>
  <c r="BE551" i="12" s="1"/>
  <c r="DX549" i="12"/>
  <c r="EA549" i="12" s="1"/>
  <c r="DK549" i="12" s="1"/>
  <c r="DD550" i="12" s="1"/>
  <c r="ER551" i="12" l="1"/>
  <c r="DC551" i="12"/>
  <c r="DP551" i="12" s="1"/>
  <c r="GU551" i="12"/>
  <c r="GV551" i="12" s="1"/>
  <c r="FR551" i="12" s="1"/>
  <c r="BG551" i="12"/>
  <c r="BL551" i="12" s="1"/>
  <c r="BR551" i="12" s="1"/>
  <c r="BH552" i="12" s="1"/>
  <c r="CE551" i="12"/>
  <c r="CU551" i="12"/>
  <c r="EX551" i="12"/>
  <c r="BW551" i="12"/>
  <c r="CB551" i="12" s="1"/>
  <c r="CH551" i="12" s="1"/>
  <c r="BX552" i="12" s="1"/>
  <c r="EF551" i="12"/>
  <c r="BO551" i="12"/>
  <c r="CM551" i="12"/>
  <c r="DQ550" i="12"/>
  <c r="DU550" i="12"/>
  <c r="GH550" i="12" s="1"/>
  <c r="DH550" i="12"/>
  <c r="GL550" i="12" s="1"/>
  <c r="BD552" i="12" l="1"/>
  <c r="BE552" i="12" s="1"/>
  <c r="DX550" i="12"/>
  <c r="EA550" i="12" s="1"/>
  <c r="DK550" i="12" s="1"/>
  <c r="DD551" i="12" s="1"/>
  <c r="GU552" i="12" l="1"/>
  <c r="GV552" i="12" s="1"/>
  <c r="FR552" i="12" s="1"/>
  <c r="BO552" i="12"/>
  <c r="CM552" i="12"/>
  <c r="BW552" i="12"/>
  <c r="CB552" i="12" s="1"/>
  <c r="CH552" i="12" s="1"/>
  <c r="BX553" i="12" s="1"/>
  <c r="EF552" i="12"/>
  <c r="CE552" i="12"/>
  <c r="ER552" i="12"/>
  <c r="DC552" i="12"/>
  <c r="DP552" i="12" s="1"/>
  <c r="EX552" i="12"/>
  <c r="BG552" i="12"/>
  <c r="BL552" i="12" s="1"/>
  <c r="BR552" i="12" s="1"/>
  <c r="BH553" i="12" s="1"/>
  <c r="CU552" i="12"/>
  <c r="DU551" i="12"/>
  <c r="GH551" i="12" s="1"/>
  <c r="DQ551" i="12"/>
  <c r="DH551" i="12"/>
  <c r="GL551" i="12" s="1"/>
  <c r="BD553" i="12" l="1"/>
  <c r="BE553" i="12" s="1"/>
  <c r="DX551" i="12"/>
  <c r="EA551" i="12" s="1"/>
  <c r="DK551" i="12" s="1"/>
  <c r="DD552" i="12" s="1"/>
  <c r="CM553" i="12" l="1"/>
  <c r="CU553" i="12"/>
  <c r="J57" i="16" s="1"/>
  <c r="P57" i="16" s="1"/>
  <c r="EF553" i="12"/>
  <c r="S279" i="12" s="1"/>
  <c r="BO553" i="12"/>
  <c r="J57" i="14" s="1"/>
  <c r="EX553" i="12"/>
  <c r="FL553" i="12" s="1"/>
  <c r="FN553" i="12" s="1"/>
  <c r="FQ553" i="12" s="1"/>
  <c r="GU553" i="12"/>
  <c r="GV553" i="12" s="1"/>
  <c r="DC553" i="12"/>
  <c r="DP553" i="12" s="1"/>
  <c r="BG553" i="12"/>
  <c r="BL553" i="12" s="1"/>
  <c r="BW553" i="12"/>
  <c r="CB553" i="12" s="1"/>
  <c r="ER553" i="12"/>
  <c r="V279" i="12" s="1"/>
  <c r="CE553" i="12"/>
  <c r="J57" i="15" s="1"/>
  <c r="DU552" i="12"/>
  <c r="GH552" i="12" s="1"/>
  <c r="DQ552" i="12"/>
  <c r="DH552" i="12"/>
  <c r="GL552" i="12" s="1"/>
  <c r="M57" i="15" l="1"/>
  <c r="P57" i="15" s="1"/>
  <c r="CH553" i="12"/>
  <c r="M57" i="14"/>
  <c r="P57" i="14" s="1"/>
  <c r="BR553" i="12"/>
  <c r="FJ553" i="12"/>
  <c r="FD553" i="12" s="1"/>
  <c r="FL542" i="12"/>
  <c r="FL543" i="12"/>
  <c r="FL545" i="12"/>
  <c r="FL544" i="12"/>
  <c r="FL547" i="12"/>
  <c r="FL548" i="12"/>
  <c r="FL546" i="12"/>
  <c r="FL552" i="12"/>
  <c r="FL550" i="12"/>
  <c r="FL549" i="12"/>
  <c r="FL551" i="12"/>
  <c r="DX552" i="12"/>
  <c r="EA552" i="12" s="1"/>
  <c r="DK552" i="12" s="1"/>
  <c r="DD553" i="12" s="1"/>
  <c r="G57" i="15" l="1"/>
  <c r="G535" i="12"/>
  <c r="BX554" i="12"/>
  <c r="FN550" i="12"/>
  <c r="FQ550" i="12" s="1"/>
  <c r="FJ550" i="12"/>
  <c r="FD550" i="12" s="1"/>
  <c r="FN551" i="12"/>
  <c r="FQ551" i="12" s="1"/>
  <c r="FJ551" i="12"/>
  <c r="FD551" i="12" s="1"/>
  <c r="FN552" i="12"/>
  <c r="FQ552" i="12" s="1"/>
  <c r="FJ552" i="12"/>
  <c r="FD552" i="12" s="1"/>
  <c r="FN549" i="12"/>
  <c r="FQ549" i="12" s="1"/>
  <c r="FJ549" i="12"/>
  <c r="FD549" i="12" s="1"/>
  <c r="F535" i="12"/>
  <c r="BH554" i="12"/>
  <c r="G57" i="14"/>
  <c r="FN544" i="12"/>
  <c r="FQ544" i="12" s="1"/>
  <c r="FJ544" i="12"/>
  <c r="FD544" i="12" s="1"/>
  <c r="FN543" i="12"/>
  <c r="FQ543" i="12" s="1"/>
  <c r="FJ543" i="12"/>
  <c r="FD543" i="12" s="1"/>
  <c r="FN542" i="12"/>
  <c r="FQ542" i="12" s="1"/>
  <c r="FJ542" i="12"/>
  <c r="FD542" i="12" s="1"/>
  <c r="FN546" i="12"/>
  <c r="FQ546" i="12" s="1"/>
  <c r="FJ546" i="12"/>
  <c r="FD546" i="12" s="1"/>
  <c r="FN545" i="12"/>
  <c r="FQ545" i="12" s="1"/>
  <c r="FJ545" i="12"/>
  <c r="FD545" i="12" s="1"/>
  <c r="FN548" i="12"/>
  <c r="FQ548" i="12" s="1"/>
  <c r="FJ548" i="12"/>
  <c r="FD548" i="12" s="1"/>
  <c r="FN547" i="12"/>
  <c r="FQ547" i="12" s="1"/>
  <c r="FJ547" i="12"/>
  <c r="FD547" i="12" s="1"/>
  <c r="DU553" i="12"/>
  <c r="DQ553" i="12"/>
  <c r="DH553" i="12"/>
  <c r="D59" i="15" l="1"/>
  <c r="L532" i="12"/>
  <c r="L279" i="12"/>
  <c r="D59" i="14"/>
  <c r="BD554" i="12"/>
  <c r="BE554" i="12" s="1"/>
  <c r="G279" i="12"/>
  <c r="FT542" i="12"/>
  <c r="K532" i="12"/>
  <c r="DX553" i="12"/>
  <c r="AS45" i="22" s="1"/>
  <c r="GL553" i="12"/>
  <c r="Q279" i="12" s="1"/>
  <c r="AJ45" i="22"/>
  <c r="GH553" i="12"/>
  <c r="O279" i="12" s="1"/>
  <c r="AP45" i="22"/>
  <c r="C59" i="15" l="1"/>
  <c r="CM554" i="12"/>
  <c r="ER554" i="12"/>
  <c r="BO554" i="12"/>
  <c r="CU554" i="12"/>
  <c r="GU554" i="12"/>
  <c r="GV554" i="12" s="1"/>
  <c r="FR554" i="12" s="1"/>
  <c r="BW554" i="12"/>
  <c r="CB554" i="12" s="1"/>
  <c r="CH554" i="12" s="1"/>
  <c r="BX555" i="12" s="1"/>
  <c r="EX554" i="12"/>
  <c r="CE554" i="12"/>
  <c r="BG554" i="12"/>
  <c r="BL554" i="12" s="1"/>
  <c r="EF554" i="12"/>
  <c r="DC554" i="12"/>
  <c r="DP554" i="12" s="1"/>
  <c r="C59" i="14"/>
  <c r="FY542" i="12"/>
  <c r="GQ542" i="12" s="1"/>
  <c r="AV43" i="22"/>
  <c r="EA553" i="12"/>
  <c r="DK553" i="12" s="1"/>
  <c r="DD554" i="12" s="1"/>
  <c r="HM542" i="12" l="1"/>
  <c r="GC542" i="12"/>
  <c r="FT543" i="12" s="1"/>
  <c r="FY543" i="12" s="1"/>
  <c r="GQ543" i="12" s="1"/>
  <c r="HM543" i="12" s="1"/>
  <c r="BR554" i="12"/>
  <c r="BH555" i="12" s="1"/>
  <c r="DU554" i="12"/>
  <c r="AG47" i="22"/>
  <c r="DQ554" i="12"/>
  <c r="DH554" i="12"/>
  <c r="J534" i="12"/>
  <c r="AN43" i="22"/>
  <c r="CC113" i="22"/>
  <c r="CD113" i="22" s="1"/>
  <c r="GC543" i="12" l="1"/>
  <c r="FT544" i="12" s="1"/>
  <c r="FY544" i="12" s="1"/>
  <c r="GQ544" i="12" s="1"/>
  <c r="HM544" i="12" s="1"/>
  <c r="BD555" i="12"/>
  <c r="BE555" i="12" s="1"/>
  <c r="GL554" i="12"/>
  <c r="I539" i="12"/>
  <c r="AF47" i="22"/>
  <c r="CA115" i="22" s="1"/>
  <c r="CB115" i="22"/>
  <c r="DX554" i="12"/>
  <c r="EA554" i="12" s="1"/>
  <c r="DK554" i="12" s="1"/>
  <c r="DD555" i="12" s="1"/>
  <c r="GH554" i="12"/>
  <c r="GC544" i="12" l="1"/>
  <c r="FT545" i="12" s="1"/>
  <c r="FY545" i="12" s="1"/>
  <c r="BG555" i="12"/>
  <c r="BL555" i="12" s="1"/>
  <c r="ER555" i="12"/>
  <c r="DC555" i="12"/>
  <c r="DP555" i="12" s="1"/>
  <c r="EX555" i="12"/>
  <c r="CM555" i="12"/>
  <c r="GU555" i="12"/>
  <c r="GV555" i="12" s="1"/>
  <c r="FR555" i="12" s="1"/>
  <c r="CU555" i="12"/>
  <c r="BW555" i="12"/>
  <c r="CB555" i="12" s="1"/>
  <c r="CH555" i="12" s="1"/>
  <c r="BX556" i="12" s="1"/>
  <c r="BO555" i="12"/>
  <c r="CE555" i="12"/>
  <c r="EF555" i="12"/>
  <c r="DQ555" i="12"/>
  <c r="DU555" i="12"/>
  <c r="DH555" i="12"/>
  <c r="O536" i="12"/>
  <c r="BZ114" i="22"/>
  <c r="BR555" i="12" l="1"/>
  <c r="BH556" i="12" s="1"/>
  <c r="GQ545" i="12"/>
  <c r="HM545" i="12" s="1"/>
  <c r="GC545" i="12"/>
  <c r="FT546" i="12" s="1"/>
  <c r="GH555" i="12"/>
  <c r="GL555" i="12"/>
  <c r="DX555" i="12"/>
  <c r="BD556" i="12" l="1"/>
  <c r="BE556" i="12" s="1"/>
  <c r="FY546" i="12"/>
  <c r="EA555" i="12"/>
  <c r="DK555" i="12" s="1"/>
  <c r="DD556" i="12" s="1"/>
  <c r="BO556" i="12" l="1"/>
  <c r="EX556" i="12"/>
  <c r="CU556" i="12"/>
  <c r="EF556" i="12"/>
  <c r="ER556" i="12"/>
  <c r="GU556" i="12"/>
  <c r="GV556" i="12" s="1"/>
  <c r="FR556" i="12" s="1"/>
  <c r="BW556" i="12"/>
  <c r="CB556" i="12" s="1"/>
  <c r="CH556" i="12" s="1"/>
  <c r="BX557" i="12" s="1"/>
  <c r="CM556" i="12"/>
  <c r="CE556" i="12"/>
  <c r="BG556" i="12"/>
  <c r="BL556" i="12" s="1"/>
  <c r="DC556" i="12"/>
  <c r="DP556" i="12" s="1"/>
  <c r="GQ546" i="12"/>
  <c r="HM546" i="12" s="1"/>
  <c r="GC546" i="12"/>
  <c r="FT547" i="12" s="1"/>
  <c r="DU556" i="12"/>
  <c r="DQ556" i="12"/>
  <c r="DH556" i="12"/>
  <c r="FY547" i="12" l="1"/>
  <c r="BR556" i="12"/>
  <c r="BH557" i="12" s="1"/>
  <c r="GL556" i="12"/>
  <c r="GH556" i="12"/>
  <c r="DX556" i="12"/>
  <c r="EA556" i="12" s="1"/>
  <c r="DK556" i="12" s="1"/>
  <c r="DD557" i="12" s="1"/>
  <c r="BD557" i="12" l="1"/>
  <c r="BE557" i="12" s="1"/>
  <c r="DH557" i="12" s="1"/>
  <c r="GQ547" i="12"/>
  <c r="GC547" i="12"/>
  <c r="FT548" i="12" s="1"/>
  <c r="DU557" i="12"/>
  <c r="DQ557" i="12"/>
  <c r="HM547" i="12" l="1"/>
  <c r="FY548" i="12"/>
  <c r="DC557" i="12"/>
  <c r="DP557" i="12" s="1"/>
  <c r="CE557" i="12"/>
  <c r="BO557" i="12"/>
  <c r="CM557" i="12"/>
  <c r="EX557" i="12"/>
  <c r="EF557" i="12"/>
  <c r="BG557" i="12"/>
  <c r="BL557" i="12" s="1"/>
  <c r="BW557" i="12"/>
  <c r="CB557" i="12" s="1"/>
  <c r="CH557" i="12" s="1"/>
  <c r="BX558" i="12" s="1"/>
  <c r="CU557" i="12"/>
  <c r="ER557" i="12"/>
  <c r="GU557" i="12"/>
  <c r="GV557" i="12" s="1"/>
  <c r="FR557" i="12" s="1"/>
  <c r="DX557" i="12"/>
  <c r="EA557" i="12" s="1"/>
  <c r="DK557" i="12" s="1"/>
  <c r="DD558" i="12" s="1"/>
  <c r="GL557" i="12" l="1"/>
  <c r="BR557" i="12"/>
  <c r="BH558" i="12" s="1"/>
  <c r="GH557" i="12"/>
  <c r="GQ548" i="12"/>
  <c r="GC548" i="12"/>
  <c r="FT549" i="12" s="1"/>
  <c r="DU558" i="12"/>
  <c r="DQ558" i="12"/>
  <c r="HM548" i="12" l="1"/>
  <c r="BD558" i="12"/>
  <c r="BE558" i="12" s="1"/>
  <c r="FY549" i="12"/>
  <c r="DX558" i="12"/>
  <c r="EA558" i="12" s="1"/>
  <c r="DK558" i="12" s="1"/>
  <c r="DD559" i="12" s="1"/>
  <c r="GQ549" i="12" l="1"/>
  <c r="BW558" i="12"/>
  <c r="CB558" i="12" s="1"/>
  <c r="CH558" i="12" s="1"/>
  <c r="BX559" i="12" s="1"/>
  <c r="CE558" i="12"/>
  <c r="GU558" i="12"/>
  <c r="GV558" i="12" s="1"/>
  <c r="FR558" i="12" s="1"/>
  <c r="BG558" i="12"/>
  <c r="BL558" i="12" s="1"/>
  <c r="EX558" i="12"/>
  <c r="CU558" i="12"/>
  <c r="CM558" i="12"/>
  <c r="DC558" i="12"/>
  <c r="DP558" i="12" s="1"/>
  <c r="ER558" i="12"/>
  <c r="EF558" i="12"/>
  <c r="BO558" i="12"/>
  <c r="DH558" i="12"/>
  <c r="GC549" i="12"/>
  <c r="FT550" i="12" s="1"/>
  <c r="DU559" i="12"/>
  <c r="DQ559" i="12"/>
  <c r="HM549" i="12" l="1"/>
  <c r="BR558" i="12"/>
  <c r="BH559" i="12" s="1"/>
  <c r="GH558" i="12"/>
  <c r="FY550" i="12"/>
  <c r="GQ550" i="12" s="1"/>
  <c r="HM550" i="12" s="1"/>
  <c r="GL558" i="12"/>
  <c r="DX559" i="12"/>
  <c r="EA559" i="12" s="1"/>
  <c r="DK559" i="12" s="1"/>
  <c r="DD560" i="12" s="1"/>
  <c r="GC550" i="12" l="1"/>
  <c r="FT551" i="12" s="1"/>
  <c r="BD559" i="12"/>
  <c r="BE559" i="12" s="1"/>
  <c r="DU560" i="12"/>
  <c r="DQ560" i="12"/>
  <c r="EF559" i="12" l="1"/>
  <c r="GU559" i="12"/>
  <c r="GV559" i="12" s="1"/>
  <c r="FR559" i="12" s="1"/>
  <c r="CM559" i="12"/>
  <c r="BG559" i="12"/>
  <c r="BL559" i="12" s="1"/>
  <c r="BO559" i="12"/>
  <c r="DC559" i="12"/>
  <c r="DP559" i="12" s="1"/>
  <c r="CE559" i="12"/>
  <c r="CU559" i="12"/>
  <c r="BW559" i="12"/>
  <c r="CB559" i="12" s="1"/>
  <c r="CH559" i="12" s="1"/>
  <c r="BX560" i="12" s="1"/>
  <c r="ER559" i="12"/>
  <c r="EX559" i="12"/>
  <c r="DH559" i="12"/>
  <c r="FY551" i="12"/>
  <c r="GQ551" i="12" s="1"/>
  <c r="DX560" i="12"/>
  <c r="EA560" i="12" s="1"/>
  <c r="DK560" i="12" s="1"/>
  <c r="DD561" i="12" s="1"/>
  <c r="HM551" i="12" l="1"/>
  <c r="GC551" i="12"/>
  <c r="FT552" i="12" s="1"/>
  <c r="FY552" i="12" s="1"/>
  <c r="GQ552" i="12" s="1"/>
  <c r="HM552" i="12" s="1"/>
  <c r="HM337" i="12" s="1"/>
  <c r="H453" i="12" s="1"/>
  <c r="N453" i="12" s="1"/>
  <c r="GL559" i="12"/>
  <c r="BR559" i="12"/>
  <c r="BH560" i="12" s="1"/>
  <c r="GH559" i="12"/>
  <c r="DU561" i="12"/>
  <c r="DQ561" i="12"/>
  <c r="GC552" i="12" l="1"/>
  <c r="FT553" i="12" s="1"/>
  <c r="FY553" i="12" s="1"/>
  <c r="GQ553" i="12" s="1"/>
  <c r="HN553" i="12" s="1"/>
  <c r="BD560" i="12"/>
  <c r="BE560" i="12" s="1"/>
  <c r="DX561" i="12"/>
  <c r="EA561" i="12" s="1"/>
  <c r="DK561" i="12" s="1"/>
  <c r="DD562" i="12" s="1"/>
  <c r="GC553" i="12" l="1"/>
  <c r="Y279" i="12"/>
  <c r="AA279" i="12" s="1"/>
  <c r="CM560" i="12"/>
  <c r="CE560" i="12"/>
  <c r="BW560" i="12"/>
  <c r="CB560" i="12" s="1"/>
  <c r="CH560" i="12" s="1"/>
  <c r="BX561" i="12" s="1"/>
  <c r="BG560" i="12"/>
  <c r="BL560" i="12" s="1"/>
  <c r="EX560" i="12"/>
  <c r="BO560" i="12"/>
  <c r="EF560" i="12"/>
  <c r="GU560" i="12"/>
  <c r="GV560" i="12" s="1"/>
  <c r="FR560" i="12" s="1"/>
  <c r="CU560" i="12"/>
  <c r="DC560" i="12"/>
  <c r="DP560" i="12" s="1"/>
  <c r="ER560" i="12"/>
  <c r="DH560" i="12"/>
  <c r="DU562" i="12"/>
  <c r="DQ562" i="12"/>
  <c r="G719" i="12" l="1"/>
  <c r="P719" i="12" s="1"/>
  <c r="V653" i="12"/>
  <c r="O653" i="12" s="1"/>
  <c r="GH560" i="12"/>
  <c r="BR560" i="12"/>
  <c r="BH561" i="12" s="1"/>
  <c r="GL560" i="12"/>
  <c r="AP454" i="12"/>
  <c r="AH279" i="12"/>
  <c r="DX562" i="12"/>
  <c r="EA562" i="12" s="1"/>
  <c r="DK562" i="12" s="1"/>
  <c r="DD563" i="12" s="1"/>
  <c r="S719" i="12" l="1"/>
  <c r="K719" i="12"/>
  <c r="AT719" i="12" s="1"/>
  <c r="X719" i="12" s="1"/>
  <c r="AC719" i="12" s="1"/>
  <c r="AJ719" i="12" s="1"/>
  <c r="Y653" i="12"/>
  <c r="BD561" i="12"/>
  <c r="BE561" i="12" s="1"/>
  <c r="F650" i="12"/>
  <c r="AU279" i="12"/>
  <c r="DU563" i="12"/>
  <c r="DQ563" i="12"/>
  <c r="I651" i="12" l="1"/>
  <c r="L652" i="12"/>
  <c r="F130" i="23"/>
  <c r="J129" i="23" s="1"/>
  <c r="BG561" i="12"/>
  <c r="BL561" i="12" s="1"/>
  <c r="BW561" i="12"/>
  <c r="CB561" i="12" s="1"/>
  <c r="CH561" i="12" s="1"/>
  <c r="BX562" i="12" s="1"/>
  <c r="ER561" i="12"/>
  <c r="BO561" i="12"/>
  <c r="EX561" i="12"/>
  <c r="GU561" i="12"/>
  <c r="GV561" i="12" s="1"/>
  <c r="FR561" i="12" s="1"/>
  <c r="CU561" i="12"/>
  <c r="EF561" i="12"/>
  <c r="DC561" i="12"/>
  <c r="DP561" i="12" s="1"/>
  <c r="CM561" i="12"/>
  <c r="CE561" i="12"/>
  <c r="DH561" i="12"/>
  <c r="DX563" i="12"/>
  <c r="EA563" i="12" s="1"/>
  <c r="DK563" i="12" s="1"/>
  <c r="DD564" i="12" s="1"/>
  <c r="GH561" i="12" l="1"/>
  <c r="BR561" i="12"/>
  <c r="BH562" i="12" s="1"/>
  <c r="GL561" i="12"/>
  <c r="DU564" i="12"/>
  <c r="DQ564" i="12"/>
  <c r="BD562" i="12" l="1"/>
  <c r="BE562" i="12" s="1"/>
  <c r="DX564" i="12"/>
  <c r="EA564" i="12" s="1"/>
  <c r="DK564" i="12" s="1"/>
  <c r="DD565" i="12" s="1"/>
  <c r="CM562" i="12" l="1"/>
  <c r="EF562" i="12"/>
  <c r="GU562" i="12"/>
  <c r="GV562" i="12" s="1"/>
  <c r="FR562" i="12" s="1"/>
  <c r="EX562" i="12"/>
  <c r="CE562" i="12"/>
  <c r="CU562" i="12"/>
  <c r="ER562" i="12"/>
  <c r="BO562" i="12"/>
  <c r="BG562" i="12"/>
  <c r="BL562" i="12" s="1"/>
  <c r="DC562" i="12"/>
  <c r="DP562" i="12" s="1"/>
  <c r="BW562" i="12"/>
  <c r="CB562" i="12" s="1"/>
  <c r="CH562" i="12" s="1"/>
  <c r="BX563" i="12" s="1"/>
  <c r="DH562" i="12"/>
  <c r="DU565" i="12"/>
  <c r="DQ565" i="12"/>
  <c r="GL562" i="12" l="1"/>
  <c r="BR562" i="12"/>
  <c r="BH563" i="12" s="1"/>
  <c r="GH562" i="12"/>
  <c r="AP47" i="22"/>
  <c r="DX565" i="12"/>
  <c r="AS47" i="22" s="1"/>
  <c r="BD563" i="12" l="1"/>
  <c r="BE563" i="12" s="1"/>
  <c r="EA565" i="12"/>
  <c r="DK565" i="12" s="1"/>
  <c r="DD566" i="12" s="1"/>
  <c r="AV45" i="22"/>
  <c r="CM563" i="12" l="1"/>
  <c r="BO563" i="12"/>
  <c r="DC563" i="12"/>
  <c r="DP563" i="12" s="1"/>
  <c r="CU563" i="12"/>
  <c r="EX563" i="12"/>
  <c r="EF563" i="12"/>
  <c r="GU563" i="12"/>
  <c r="GV563" i="12" s="1"/>
  <c r="FR563" i="12" s="1"/>
  <c r="CE563" i="12"/>
  <c r="BW563" i="12"/>
  <c r="CB563" i="12" s="1"/>
  <c r="CH563" i="12" s="1"/>
  <c r="BX564" i="12" s="1"/>
  <c r="BG563" i="12"/>
  <c r="BL563" i="12" s="1"/>
  <c r="ER563" i="12"/>
  <c r="DH563" i="12"/>
  <c r="CC114" i="22"/>
  <c r="CD114" i="22" s="1"/>
  <c r="AN45" i="22"/>
  <c r="J537" i="12"/>
  <c r="DQ566" i="12"/>
  <c r="AG49" i="22"/>
  <c r="DU566" i="12"/>
  <c r="GL563" i="12" l="1"/>
  <c r="BR563" i="12"/>
  <c r="BH564" i="12" s="1"/>
  <c r="GH563" i="12"/>
  <c r="DX566" i="12"/>
  <c r="EA566" i="12" s="1"/>
  <c r="DK566" i="12" s="1"/>
  <c r="DD567" i="12" s="1"/>
  <c r="AF49" i="22"/>
  <c r="CA116" i="22" s="1"/>
  <c r="I542" i="12"/>
  <c r="CB116" i="22"/>
  <c r="BD564" i="12" l="1"/>
  <c r="BE564" i="12" s="1"/>
  <c r="BZ115" i="22"/>
  <c r="DU567" i="12"/>
  <c r="DQ567" i="12"/>
  <c r="O539" i="12"/>
  <c r="CM564" i="12" l="1"/>
  <c r="EF564" i="12"/>
  <c r="CU564" i="12"/>
  <c r="GU564" i="12"/>
  <c r="GV564" i="12" s="1"/>
  <c r="FR564" i="12" s="1"/>
  <c r="CE564" i="12"/>
  <c r="BO564" i="12"/>
  <c r="BG564" i="12"/>
  <c r="BL564" i="12" s="1"/>
  <c r="DC564" i="12"/>
  <c r="DP564" i="12" s="1"/>
  <c r="ER564" i="12"/>
  <c r="BW564" i="12"/>
  <c r="CB564" i="12" s="1"/>
  <c r="CH564" i="12" s="1"/>
  <c r="BX565" i="12" s="1"/>
  <c r="EX564" i="12"/>
  <c r="DH564" i="12"/>
  <c r="DX567" i="12"/>
  <c r="BR564" i="12" l="1"/>
  <c r="BH565" i="12" s="1"/>
  <c r="GH564" i="12"/>
  <c r="GL564" i="12"/>
  <c r="EA567" i="12"/>
  <c r="DK567" i="12" s="1"/>
  <c r="DD568" i="12" s="1"/>
  <c r="BD565" i="12" l="1"/>
  <c r="BE565" i="12" s="1"/>
  <c r="DQ568" i="12"/>
  <c r="DU568" i="12"/>
  <c r="CM565" i="12" l="1"/>
  <c r="BO565" i="12"/>
  <c r="GU565" i="12"/>
  <c r="EF565" i="12"/>
  <c r="S281" i="12" s="1"/>
  <c r="EX565" i="12"/>
  <c r="DC565" i="12"/>
  <c r="DP565" i="12" s="1"/>
  <c r="BW565" i="12"/>
  <c r="CB565" i="12" s="1"/>
  <c r="ER565" i="12"/>
  <c r="V281" i="12" s="1"/>
  <c r="CU565" i="12"/>
  <c r="J59" i="16" s="1"/>
  <c r="P59" i="16" s="1"/>
  <c r="BG565" i="12"/>
  <c r="BL565" i="12" s="1"/>
  <c r="CE565" i="12"/>
  <c r="J59" i="15" s="1"/>
  <c r="DH565" i="12"/>
  <c r="AJ47" i="22" s="1"/>
  <c r="DX568" i="12"/>
  <c r="M59" i="15" l="1"/>
  <c r="CH565" i="12"/>
  <c r="P59" i="15"/>
  <c r="FL564" i="12"/>
  <c r="FL554" i="12"/>
  <c r="FL555" i="12"/>
  <c r="FL557" i="12"/>
  <c r="FL556" i="12"/>
  <c r="FL558" i="12"/>
  <c r="FL559" i="12"/>
  <c r="FL560" i="12"/>
  <c r="FL561" i="12"/>
  <c r="FL563" i="12"/>
  <c r="FL562" i="12"/>
  <c r="FL565" i="12"/>
  <c r="FN565" i="12" s="1"/>
  <c r="FQ565" i="12" s="1"/>
  <c r="GV565" i="12"/>
  <c r="M59" i="14"/>
  <c r="GH565" i="12"/>
  <c r="O281" i="12" s="1"/>
  <c r="BR565" i="12"/>
  <c r="J59" i="14"/>
  <c r="GL565" i="12"/>
  <c r="Q281" i="12" s="1"/>
  <c r="EA568" i="12"/>
  <c r="DK568" i="12" s="1"/>
  <c r="DD569" i="12" s="1"/>
  <c r="BX566" i="12" l="1"/>
  <c r="G59" i="15"/>
  <c r="G538" i="12"/>
  <c r="P59" i="14"/>
  <c r="FN558" i="12"/>
  <c r="FQ558" i="12" s="1"/>
  <c r="FJ558" i="12"/>
  <c r="FD558" i="12" s="1"/>
  <c r="FN556" i="12"/>
  <c r="FQ556" i="12" s="1"/>
  <c r="FJ556" i="12"/>
  <c r="FD556" i="12" s="1"/>
  <c r="FN557" i="12"/>
  <c r="FQ557" i="12" s="1"/>
  <c r="FJ557" i="12"/>
  <c r="FD557" i="12" s="1"/>
  <c r="FN562" i="12"/>
  <c r="FQ562" i="12" s="1"/>
  <c r="FJ562" i="12"/>
  <c r="FD562" i="12" s="1"/>
  <c r="FN555" i="12"/>
  <c r="FQ555" i="12" s="1"/>
  <c r="FJ555" i="12"/>
  <c r="FD555" i="12" s="1"/>
  <c r="G59" i="14"/>
  <c r="F538" i="12"/>
  <c r="BH566" i="12"/>
  <c r="FN563" i="12"/>
  <c r="FQ563" i="12" s="1"/>
  <c r="FJ563" i="12"/>
  <c r="FD563" i="12" s="1"/>
  <c r="FN554" i="12"/>
  <c r="FQ554" i="12" s="1"/>
  <c r="FJ554" i="12"/>
  <c r="FD554" i="12" s="1"/>
  <c r="FN561" i="12"/>
  <c r="FQ561" i="12" s="1"/>
  <c r="FJ561" i="12"/>
  <c r="FD561" i="12" s="1"/>
  <c r="FJ565" i="12"/>
  <c r="FD565" i="12" s="1"/>
  <c r="FN560" i="12"/>
  <c r="FQ560" i="12" s="1"/>
  <c r="FJ560" i="12"/>
  <c r="FD560" i="12" s="1"/>
  <c r="FN564" i="12"/>
  <c r="FQ564" i="12" s="1"/>
  <c r="FJ564" i="12"/>
  <c r="FD564" i="12" s="1"/>
  <c r="FN559" i="12"/>
  <c r="FQ559" i="12" s="1"/>
  <c r="FJ559" i="12"/>
  <c r="FD559" i="12" s="1"/>
  <c r="DQ569" i="12"/>
  <c r="DU569" i="12"/>
  <c r="L535" i="12" l="1"/>
  <c r="D61" i="15"/>
  <c r="L281" i="12"/>
  <c r="E61" i="16"/>
  <c r="D61" i="14"/>
  <c r="E61" i="15"/>
  <c r="E61" i="14"/>
  <c r="BD566" i="12"/>
  <c r="BE566" i="12" s="1"/>
  <c r="AH49" i="22"/>
  <c r="K535" i="12"/>
  <c r="G281" i="12"/>
  <c r="FT554" i="12"/>
  <c r="DX569" i="12"/>
  <c r="EA569" i="12" s="1"/>
  <c r="DK569" i="12" s="1"/>
  <c r="DD570" i="12" s="1"/>
  <c r="C61" i="15" l="1"/>
  <c r="C61" i="14"/>
  <c r="GU566" i="12"/>
  <c r="EX566" i="12"/>
  <c r="BG566" i="12"/>
  <c r="BL566" i="12" s="1"/>
  <c r="BO566" i="12"/>
  <c r="CU566" i="12"/>
  <c r="BW566" i="12"/>
  <c r="CB566" i="12" s="1"/>
  <c r="CH566" i="12" s="1"/>
  <c r="BX567" i="12" s="1"/>
  <c r="CM566" i="12"/>
  <c r="ER566" i="12"/>
  <c r="CE566" i="12"/>
  <c r="DC566" i="12"/>
  <c r="DP566" i="12" s="1"/>
  <c r="EF566" i="12"/>
  <c r="DH566" i="12"/>
  <c r="FY554" i="12"/>
  <c r="DU570" i="12"/>
  <c r="DQ570" i="12"/>
  <c r="BR566" i="12" l="1"/>
  <c r="BH567" i="12" s="1"/>
  <c r="GH566" i="12"/>
  <c r="GQ554" i="12"/>
  <c r="HN554" i="12" s="1"/>
  <c r="GC554" i="12"/>
  <c r="FT555" i="12" s="1"/>
  <c r="GL566" i="12"/>
  <c r="GV566" i="12"/>
  <c r="DX570" i="12"/>
  <c r="EA570" i="12" s="1"/>
  <c r="DK570" i="12" s="1"/>
  <c r="DD571" i="12" s="1"/>
  <c r="FY555" i="12" l="1"/>
  <c r="FR566" i="12"/>
  <c r="BD567" i="12"/>
  <c r="BE567" i="12" s="1"/>
  <c r="DU571" i="12"/>
  <c r="DQ571" i="12"/>
  <c r="CE567" i="12" l="1"/>
  <c r="BW567" i="12"/>
  <c r="CB567" i="12" s="1"/>
  <c r="CH567" i="12" s="1"/>
  <c r="BX568" i="12" s="1"/>
  <c r="CU567" i="12"/>
  <c r="CM567" i="12"/>
  <c r="DC567" i="12"/>
  <c r="DP567" i="12" s="1"/>
  <c r="BO567" i="12"/>
  <c r="BG567" i="12"/>
  <c r="BL567" i="12" s="1"/>
  <c r="EF567" i="12"/>
  <c r="GU567" i="12"/>
  <c r="EX567" i="12"/>
  <c r="ER567" i="12"/>
  <c r="DH567" i="12"/>
  <c r="GQ555" i="12"/>
  <c r="HN555" i="12" s="1"/>
  <c r="GC555" i="12"/>
  <c r="FT556" i="12" s="1"/>
  <c r="DX571" i="12"/>
  <c r="EA571" i="12" s="1"/>
  <c r="DK571" i="12" s="1"/>
  <c r="DD572" i="12" s="1"/>
  <c r="BR567" i="12" l="1"/>
  <c r="BH568" i="12" s="1"/>
  <c r="GH567" i="12"/>
  <c r="GL567" i="12"/>
  <c r="GV567" i="12"/>
  <c r="FY556" i="12"/>
  <c r="GC556" i="12" s="1"/>
  <c r="FT557" i="12" s="1"/>
  <c r="DU572" i="12"/>
  <c r="DQ572" i="12"/>
  <c r="FY557" i="12" l="1"/>
  <c r="GQ557" i="12" s="1"/>
  <c r="FR567" i="12"/>
  <c r="GQ556" i="12"/>
  <c r="BD568" i="12"/>
  <c r="BE568" i="12" s="1"/>
  <c r="DX572" i="12"/>
  <c r="EA572" i="12" s="1"/>
  <c r="DK572" i="12" s="1"/>
  <c r="DD573" i="12" s="1"/>
  <c r="HN557" i="12" l="1"/>
  <c r="HN556" i="12"/>
  <c r="ER568" i="12"/>
  <c r="CE568" i="12"/>
  <c r="CM568" i="12"/>
  <c r="DC568" i="12"/>
  <c r="DP568" i="12" s="1"/>
  <c r="BO568" i="12"/>
  <c r="BW568" i="12"/>
  <c r="CB568" i="12" s="1"/>
  <c r="CH568" i="12" s="1"/>
  <c r="BX569" i="12" s="1"/>
  <c r="GU568" i="12"/>
  <c r="EX568" i="12"/>
  <c r="CU568" i="12"/>
  <c r="EF568" i="12"/>
  <c r="BG568" i="12"/>
  <c r="BL568" i="12" s="1"/>
  <c r="DH568" i="12"/>
  <c r="GC557" i="12"/>
  <c r="FT558" i="12" s="1"/>
  <c r="DQ573" i="12"/>
  <c r="DU573" i="12"/>
  <c r="FY558" i="12" l="1"/>
  <c r="GV568" i="12"/>
  <c r="FR568" i="12" s="1"/>
  <c r="GL568" i="12"/>
  <c r="GH568" i="12"/>
  <c r="BR568" i="12"/>
  <c r="BH569" i="12" s="1"/>
  <c r="DX573" i="12"/>
  <c r="EA573" i="12" s="1"/>
  <c r="DK573" i="12" s="1"/>
  <c r="DD574" i="12" s="1"/>
  <c r="BD569" i="12" l="1"/>
  <c r="BE569" i="12" s="1"/>
  <c r="GQ558" i="12"/>
  <c r="GC558" i="12"/>
  <c r="FT559" i="12" s="1"/>
  <c r="DU574" i="12"/>
  <c r="DQ574" i="12"/>
  <c r="HN558" i="12" l="1"/>
  <c r="ER569" i="12"/>
  <c r="GU569" i="12"/>
  <c r="DC569" i="12"/>
  <c r="DP569" i="12" s="1"/>
  <c r="CE569" i="12"/>
  <c r="BW569" i="12"/>
  <c r="CB569" i="12" s="1"/>
  <c r="CH569" i="12" s="1"/>
  <c r="BX570" i="12" s="1"/>
  <c r="BO569" i="12"/>
  <c r="EX569" i="12"/>
  <c r="BG569" i="12"/>
  <c r="BL569" i="12" s="1"/>
  <c r="CM569" i="12"/>
  <c r="CU569" i="12"/>
  <c r="EF569" i="12"/>
  <c r="DH569" i="12"/>
  <c r="FY559" i="12"/>
  <c r="GC559" i="12" s="1"/>
  <c r="FT560" i="12" s="1"/>
  <c r="FY560" i="12" s="1"/>
  <c r="GQ560" i="12" s="1"/>
  <c r="DX574" i="12"/>
  <c r="EA574" i="12" s="1"/>
  <c r="DK574" i="12" s="1"/>
  <c r="DD575" i="12" s="1"/>
  <c r="GL569" i="12" l="1"/>
  <c r="GC560" i="12"/>
  <c r="FT561" i="12" s="1"/>
  <c r="FY561" i="12" s="1"/>
  <c r="GQ561" i="12" s="1"/>
  <c r="GV569" i="12"/>
  <c r="FR569" i="12" s="1"/>
  <c r="GQ559" i="12"/>
  <c r="GH569" i="12"/>
  <c r="BR569" i="12"/>
  <c r="BH570" i="12" s="1"/>
  <c r="DU575" i="12"/>
  <c r="DQ575" i="12"/>
  <c r="HN561" i="12" l="1"/>
  <c r="HN559" i="12"/>
  <c r="HN560" i="12"/>
  <c r="GC561" i="12"/>
  <c r="FT562" i="12" s="1"/>
  <c r="FY562" i="12" s="1"/>
  <c r="GQ562" i="12" s="1"/>
  <c r="HN562" i="12" s="1"/>
  <c r="BD570" i="12"/>
  <c r="BE570" i="12" s="1"/>
  <c r="DX575" i="12"/>
  <c r="EA575" i="12" s="1"/>
  <c r="DK575" i="12" s="1"/>
  <c r="DD576" i="12" s="1"/>
  <c r="BW570" i="12" l="1"/>
  <c r="CB570" i="12" s="1"/>
  <c r="CH570" i="12" s="1"/>
  <c r="BX571" i="12" s="1"/>
  <c r="BG570" i="12"/>
  <c r="BL570" i="12" s="1"/>
  <c r="CU570" i="12"/>
  <c r="EF570" i="12"/>
  <c r="CM570" i="12"/>
  <c r="ER570" i="12"/>
  <c r="CE570" i="12"/>
  <c r="DC570" i="12"/>
  <c r="DP570" i="12" s="1"/>
  <c r="BO570" i="12"/>
  <c r="EX570" i="12"/>
  <c r="GU570" i="12"/>
  <c r="GV570" i="12" s="1"/>
  <c r="FR570" i="12" s="1"/>
  <c r="DH570" i="12"/>
  <c r="GC562" i="12"/>
  <c r="FT563" i="12" s="1"/>
  <c r="DU576" i="12"/>
  <c r="DQ576" i="12"/>
  <c r="BR570" i="12" l="1"/>
  <c r="BH571" i="12" s="1"/>
  <c r="GH570" i="12"/>
  <c r="FY563" i="12"/>
  <c r="GQ563" i="12" s="1"/>
  <c r="HN563" i="12" s="1"/>
  <c r="GL570" i="12"/>
  <c r="DX576" i="12"/>
  <c r="EA576" i="12" s="1"/>
  <c r="DK576" i="12" s="1"/>
  <c r="DD577" i="12" s="1"/>
  <c r="BD571" i="12" l="1"/>
  <c r="BE571" i="12" s="1"/>
  <c r="GC563" i="12"/>
  <c r="FT564" i="12" s="1"/>
  <c r="DQ577" i="12"/>
  <c r="DU577" i="12"/>
  <c r="CM571" i="12" l="1"/>
  <c r="EX571" i="12"/>
  <c r="CU571" i="12"/>
  <c r="GU571" i="12"/>
  <c r="GV571" i="12" s="1"/>
  <c r="FR571" i="12" s="1"/>
  <c r="CE571" i="12"/>
  <c r="BW571" i="12"/>
  <c r="CB571" i="12" s="1"/>
  <c r="CH571" i="12" s="1"/>
  <c r="BX572" i="12" s="1"/>
  <c r="EF571" i="12"/>
  <c r="ER571" i="12"/>
  <c r="BG571" i="12"/>
  <c r="BL571" i="12" s="1"/>
  <c r="BO571" i="12"/>
  <c r="DC571" i="12"/>
  <c r="DP571" i="12" s="1"/>
  <c r="DH571" i="12"/>
  <c r="FY564" i="12"/>
  <c r="GQ564" i="12" s="1"/>
  <c r="HN564" i="12" s="1"/>
  <c r="HN337" i="12" s="1"/>
  <c r="H454" i="12" s="1"/>
  <c r="N454" i="12" s="1"/>
  <c r="DX577" i="12"/>
  <c r="AS49" i="22" s="1"/>
  <c r="AP49" i="22"/>
  <c r="GC564" i="12" l="1"/>
  <c r="FT565" i="12" s="1"/>
  <c r="FY565" i="12" s="1"/>
  <c r="Y281" i="12" s="1"/>
  <c r="GL571" i="12"/>
  <c r="BR571" i="12"/>
  <c r="BH572" i="12" s="1"/>
  <c r="GH571" i="12"/>
  <c r="AV47" i="22"/>
  <c r="EA577" i="12"/>
  <c r="DK577" i="12" s="1"/>
  <c r="DD578" i="12" s="1"/>
  <c r="GQ565" i="12" l="1"/>
  <c r="HO565" i="12" s="1"/>
  <c r="GC565" i="12"/>
  <c r="V658" i="12"/>
  <c r="G720" i="12"/>
  <c r="P720" i="12" s="1"/>
  <c r="AA281" i="12"/>
  <c r="BD572" i="12"/>
  <c r="BE572" i="12" s="1"/>
  <c r="AG51" i="22"/>
  <c r="DQ578" i="12"/>
  <c r="DU578" i="12"/>
  <c r="AN47" i="22"/>
  <c r="J540" i="12"/>
  <c r="CC115" i="22"/>
  <c r="CD115" i="22" s="1"/>
  <c r="K720" i="12" l="1"/>
  <c r="AT720" i="12" s="1"/>
  <c r="X720" i="12" s="1"/>
  <c r="AC720" i="12" s="1"/>
  <c r="AJ720" i="12" s="1"/>
  <c r="S720" i="12"/>
  <c r="GU572" i="12"/>
  <c r="GV572" i="12" s="1"/>
  <c r="FR572" i="12" s="1"/>
  <c r="BW572" i="12"/>
  <c r="CB572" i="12" s="1"/>
  <c r="CH572" i="12" s="1"/>
  <c r="BX573" i="12" s="1"/>
  <c r="DC572" i="12"/>
  <c r="DP572" i="12" s="1"/>
  <c r="ER572" i="12"/>
  <c r="EF572" i="12"/>
  <c r="CE572" i="12"/>
  <c r="BG572" i="12"/>
  <c r="BL572" i="12" s="1"/>
  <c r="CM572" i="12"/>
  <c r="BO572" i="12"/>
  <c r="EX572" i="12"/>
  <c r="CU572" i="12"/>
  <c r="DH572" i="12"/>
  <c r="AP455" i="12"/>
  <c r="AH281" i="12"/>
  <c r="O658" i="12"/>
  <c r="Y658" i="12"/>
  <c r="CB117" i="22"/>
  <c r="AF51" i="22"/>
  <c r="CA117" i="22" s="1"/>
  <c r="I545" i="12"/>
  <c r="DX578" i="12"/>
  <c r="EA578" i="12" s="1"/>
  <c r="DK578" i="12" s="1"/>
  <c r="DD579" i="12" s="1"/>
  <c r="F655" i="12" l="1"/>
  <c r="AU281" i="12"/>
  <c r="GL572" i="12"/>
  <c r="GH572" i="12"/>
  <c r="BR572" i="12"/>
  <c r="BH573" i="12" s="1"/>
  <c r="DQ579" i="12"/>
  <c r="DU579" i="12"/>
  <c r="BZ116" i="22"/>
  <c r="X478" i="12"/>
  <c r="O542" i="12"/>
  <c r="F131" i="23" l="1"/>
  <c r="J130" i="23" s="1"/>
  <c r="L657" i="12"/>
  <c r="I656" i="12"/>
  <c r="BD573" i="12"/>
  <c r="BE573" i="12" s="1"/>
  <c r="S493" i="12"/>
  <c r="DX579" i="12"/>
  <c r="EA579" i="12" s="1"/>
  <c r="DK579" i="12" s="1"/>
  <c r="DD580" i="12" s="1"/>
  <c r="EX573" i="12" l="1"/>
  <c r="ER573" i="12"/>
  <c r="DC573" i="12"/>
  <c r="DP573" i="12" s="1"/>
  <c r="CE573" i="12"/>
  <c r="EF573" i="12"/>
  <c r="BG573" i="12"/>
  <c r="BL573" i="12" s="1"/>
  <c r="CU573" i="12"/>
  <c r="BO573" i="12"/>
  <c r="BW573" i="12"/>
  <c r="CB573" i="12" s="1"/>
  <c r="CH573" i="12" s="1"/>
  <c r="BX574" i="12" s="1"/>
  <c r="GU573" i="12"/>
  <c r="GV573" i="12" s="1"/>
  <c r="FR573" i="12" s="1"/>
  <c r="CM573" i="12"/>
  <c r="DH573" i="12"/>
  <c r="DQ580" i="12"/>
  <c r="DU580" i="12"/>
  <c r="GL573" i="12" l="1"/>
  <c r="BR573" i="12"/>
  <c r="BH574" i="12" s="1"/>
  <c r="GH573" i="12"/>
  <c r="DX580" i="12"/>
  <c r="EA580" i="12" s="1"/>
  <c r="DK580" i="12" s="1"/>
  <c r="DD581" i="12" s="1"/>
  <c r="BD574" i="12" l="1"/>
  <c r="BE574" i="12" s="1"/>
  <c r="DQ581" i="12"/>
  <c r="DU581" i="12"/>
  <c r="CE574" i="12" l="1"/>
  <c r="ER574" i="12"/>
  <c r="CU574" i="12"/>
  <c r="BO574" i="12"/>
  <c r="GU574" i="12"/>
  <c r="GV574" i="12" s="1"/>
  <c r="FR574" i="12" s="1"/>
  <c r="DC574" i="12"/>
  <c r="DP574" i="12" s="1"/>
  <c r="CM574" i="12"/>
  <c r="BW574" i="12"/>
  <c r="CB574" i="12" s="1"/>
  <c r="CH574" i="12" s="1"/>
  <c r="BX575" i="12" s="1"/>
  <c r="EX574" i="12"/>
  <c r="BG574" i="12"/>
  <c r="BL574" i="12" s="1"/>
  <c r="EF574" i="12"/>
  <c r="DH574" i="12"/>
  <c r="DX581" i="12"/>
  <c r="EA581" i="12" s="1"/>
  <c r="DK581" i="12" s="1"/>
  <c r="DD582" i="12" s="1"/>
  <c r="GL574" i="12" l="1"/>
  <c r="BR574" i="12"/>
  <c r="BH575" i="12" s="1"/>
  <c r="GH574" i="12"/>
  <c r="DQ582" i="12"/>
  <c r="DU582" i="12"/>
  <c r="BD575" i="12" l="1"/>
  <c r="BE575" i="12" s="1"/>
  <c r="DX582" i="12"/>
  <c r="EA582" i="12" s="1"/>
  <c r="DK582" i="12" s="1"/>
  <c r="DD583" i="12" s="1"/>
  <c r="ER575" i="12" l="1"/>
  <c r="EX575" i="12"/>
  <c r="EF575" i="12"/>
  <c r="BO575" i="12"/>
  <c r="BG575" i="12"/>
  <c r="BL575" i="12" s="1"/>
  <c r="CE575" i="12"/>
  <c r="CU575" i="12"/>
  <c r="BW575" i="12"/>
  <c r="CB575" i="12" s="1"/>
  <c r="CH575" i="12" s="1"/>
  <c r="BX576" i="12" s="1"/>
  <c r="GU575" i="12"/>
  <c r="GV575" i="12" s="1"/>
  <c r="FR575" i="12" s="1"/>
  <c r="CM575" i="12"/>
  <c r="DC575" i="12"/>
  <c r="DP575" i="12" s="1"/>
  <c r="DH575" i="12"/>
  <c r="DU583" i="12"/>
  <c r="DQ583" i="12"/>
  <c r="GL575" i="12" l="1"/>
  <c r="GH575" i="12"/>
  <c r="BR575" i="12"/>
  <c r="BH576" i="12" s="1"/>
  <c r="DX583" i="12"/>
  <c r="EA583" i="12" s="1"/>
  <c r="DK583" i="12" s="1"/>
  <c r="DD584" i="12" s="1"/>
  <c r="BD576" i="12" l="1"/>
  <c r="BE576" i="12" s="1"/>
  <c r="DU584" i="12"/>
  <c r="DQ584" i="12"/>
  <c r="CU576" i="12" l="1"/>
  <c r="EX576" i="12"/>
  <c r="ER576" i="12"/>
  <c r="GU576" i="12"/>
  <c r="GV576" i="12" s="1"/>
  <c r="FR576" i="12" s="1"/>
  <c r="BW576" i="12"/>
  <c r="CB576" i="12" s="1"/>
  <c r="CH576" i="12" s="1"/>
  <c r="BX577" i="12" s="1"/>
  <c r="BG576" i="12"/>
  <c r="BL576" i="12" s="1"/>
  <c r="EF576" i="12"/>
  <c r="CE576" i="12"/>
  <c r="DC576" i="12"/>
  <c r="DP576" i="12" s="1"/>
  <c r="BO576" i="12"/>
  <c r="CM576" i="12"/>
  <c r="DH576" i="12"/>
  <c r="DX584" i="12"/>
  <c r="EA584" i="12" s="1"/>
  <c r="DK584" i="12" s="1"/>
  <c r="DD585" i="12" s="1"/>
  <c r="GH576" i="12" l="1"/>
  <c r="BR576" i="12"/>
  <c r="BH577" i="12" s="1"/>
  <c r="GL576" i="12"/>
  <c r="DU585" i="12"/>
  <c r="DQ585" i="12"/>
  <c r="BD577" i="12" l="1"/>
  <c r="BE577" i="12" s="1"/>
  <c r="DX585" i="12"/>
  <c r="EA585" i="12" s="1"/>
  <c r="DK585" i="12" s="1"/>
  <c r="DD586" i="12" s="1"/>
  <c r="CE577" i="12" l="1"/>
  <c r="J61" i="15" s="1"/>
  <c r="DC577" i="12"/>
  <c r="DP577" i="12" s="1"/>
  <c r="CM577" i="12"/>
  <c r="EF577" i="12"/>
  <c r="S283" i="12" s="1"/>
  <c r="CU577" i="12"/>
  <c r="J61" i="16" s="1"/>
  <c r="P61" i="16" s="1"/>
  <c r="BW577" i="12"/>
  <c r="CB577" i="12" s="1"/>
  <c r="EX577" i="12"/>
  <c r="FL577" i="12" s="1"/>
  <c r="FN577" i="12" s="1"/>
  <c r="FQ577" i="12" s="1"/>
  <c r="BG577" i="12"/>
  <c r="BL577" i="12" s="1"/>
  <c r="BO577" i="12"/>
  <c r="GU577" i="12"/>
  <c r="GV577" i="12" s="1"/>
  <c r="ER577" i="12"/>
  <c r="V283" i="12" s="1"/>
  <c r="DH577" i="12"/>
  <c r="AJ49" i="22" s="1"/>
  <c r="DU586" i="12"/>
  <c r="DQ586" i="12"/>
  <c r="M61" i="15" l="1"/>
  <c r="P61" i="15" s="1"/>
  <c r="CH577" i="12"/>
  <c r="BR577" i="12"/>
  <c r="M61" i="14"/>
  <c r="GH577" i="12"/>
  <c r="O283" i="12" s="1"/>
  <c r="FJ577" i="12"/>
  <c r="FD577" i="12" s="1"/>
  <c r="FL566" i="12"/>
  <c r="FL569" i="12"/>
  <c r="FL568" i="12"/>
  <c r="FL567" i="12"/>
  <c r="FL570" i="12"/>
  <c r="FL571" i="12"/>
  <c r="FL576" i="12"/>
  <c r="FL575" i="12"/>
  <c r="FL573" i="12"/>
  <c r="FL572" i="12"/>
  <c r="FL574" i="12"/>
  <c r="J61" i="14"/>
  <c r="GL577" i="12"/>
  <c r="Q283" i="12" s="1"/>
  <c r="DX586" i="12"/>
  <c r="EA586" i="12" s="1"/>
  <c r="DK586" i="12" s="1"/>
  <c r="DD587" i="12" s="1"/>
  <c r="G61" i="15" l="1"/>
  <c r="G541" i="12"/>
  <c r="BX578" i="12"/>
  <c r="P61" i="14"/>
  <c r="FN574" i="12"/>
  <c r="FQ574" i="12" s="1"/>
  <c r="FJ574" i="12"/>
  <c r="FD574" i="12" s="1"/>
  <c r="FN566" i="12"/>
  <c r="FQ566" i="12" s="1"/>
  <c r="FJ566" i="12"/>
  <c r="FD566" i="12" s="1"/>
  <c r="FN572" i="12"/>
  <c r="FQ572" i="12" s="1"/>
  <c r="FJ572" i="12"/>
  <c r="FD572" i="12" s="1"/>
  <c r="FN567" i="12"/>
  <c r="FQ567" i="12" s="1"/>
  <c r="FJ567" i="12"/>
  <c r="FD567" i="12" s="1"/>
  <c r="FN569" i="12"/>
  <c r="FQ569" i="12" s="1"/>
  <c r="FJ569" i="12"/>
  <c r="FD569" i="12" s="1"/>
  <c r="FN575" i="12"/>
  <c r="FQ575" i="12" s="1"/>
  <c r="FJ575" i="12"/>
  <c r="FD575" i="12" s="1"/>
  <c r="FN571" i="12"/>
  <c r="FQ571" i="12" s="1"/>
  <c r="FJ571" i="12"/>
  <c r="FD571" i="12" s="1"/>
  <c r="FN568" i="12"/>
  <c r="FQ568" i="12" s="1"/>
  <c r="FJ568" i="12"/>
  <c r="FD568" i="12" s="1"/>
  <c r="FN573" i="12"/>
  <c r="FQ573" i="12" s="1"/>
  <c r="FJ573" i="12"/>
  <c r="FD573" i="12" s="1"/>
  <c r="FN576" i="12"/>
  <c r="FQ576" i="12" s="1"/>
  <c r="FJ576" i="12"/>
  <c r="FD576" i="12" s="1"/>
  <c r="FN570" i="12"/>
  <c r="FQ570" i="12" s="1"/>
  <c r="FJ570" i="12"/>
  <c r="FD570" i="12" s="1"/>
  <c r="BH578" i="12"/>
  <c r="F541" i="12"/>
  <c r="G61" i="14"/>
  <c r="DU587" i="12"/>
  <c r="DQ587" i="12"/>
  <c r="D63" i="15" l="1"/>
  <c r="L538" i="12"/>
  <c r="D63" i="14"/>
  <c r="BD578" i="12"/>
  <c r="BE578" i="12" s="1"/>
  <c r="G283" i="12"/>
  <c r="FT566" i="12"/>
  <c r="L283" i="12"/>
  <c r="K538" i="12"/>
  <c r="DX587" i="12"/>
  <c r="EA587" i="12" s="1"/>
  <c r="DK587" i="12" s="1"/>
  <c r="DD588" i="12" s="1"/>
  <c r="C63" i="15" l="1"/>
  <c r="FY566" i="12"/>
  <c r="GU578" i="12"/>
  <c r="GV578" i="12" s="1"/>
  <c r="CU578" i="12"/>
  <c r="DC578" i="12"/>
  <c r="DP578" i="12" s="1"/>
  <c r="CM578" i="12"/>
  <c r="ER578" i="12"/>
  <c r="BO578" i="12"/>
  <c r="BG578" i="12"/>
  <c r="BL578" i="12" s="1"/>
  <c r="CE578" i="12"/>
  <c r="EF578" i="12"/>
  <c r="EX578" i="12"/>
  <c r="BW578" i="12"/>
  <c r="CB578" i="12" s="1"/>
  <c r="CH578" i="12" s="1"/>
  <c r="BX579" i="12" s="1"/>
  <c r="DH578" i="12"/>
  <c r="C63" i="14"/>
  <c r="DU588" i="12"/>
  <c r="DQ588" i="12"/>
  <c r="FR578" i="12" l="1"/>
  <c r="GQ566" i="12"/>
  <c r="HO566" i="12" s="1"/>
  <c r="GL578" i="12"/>
  <c r="GH578" i="12"/>
  <c r="BR578" i="12"/>
  <c r="BH579" i="12" s="1"/>
  <c r="GC566" i="12"/>
  <c r="FT567" i="12" s="1"/>
  <c r="DX588" i="12"/>
  <c r="EA588" i="12" s="1"/>
  <c r="DK588" i="12" s="1"/>
  <c r="DD589" i="12" s="1"/>
  <c r="BD579" i="12" l="1"/>
  <c r="BE579" i="12" s="1"/>
  <c r="FY567" i="12"/>
  <c r="GC567" i="12" s="1"/>
  <c r="FT568" i="12" s="1"/>
  <c r="DU589" i="12"/>
  <c r="DQ589" i="12"/>
  <c r="FY568" i="12" l="1"/>
  <c r="GQ568" i="12" s="1"/>
  <c r="GQ567" i="12"/>
  <c r="HO567" i="12" s="1"/>
  <c r="BO579" i="12"/>
  <c r="CM579" i="12"/>
  <c r="EX579" i="12"/>
  <c r="CU579" i="12"/>
  <c r="ER579" i="12"/>
  <c r="BW579" i="12"/>
  <c r="CB579" i="12" s="1"/>
  <c r="CH579" i="12" s="1"/>
  <c r="BX580" i="12" s="1"/>
  <c r="DC579" i="12"/>
  <c r="DP579" i="12" s="1"/>
  <c r="BG579" i="12"/>
  <c r="BL579" i="12" s="1"/>
  <c r="CE579" i="12"/>
  <c r="EF579" i="12"/>
  <c r="GU579" i="12"/>
  <c r="GV579" i="12" s="1"/>
  <c r="DH579" i="12"/>
  <c r="AP51" i="22"/>
  <c r="DX589" i="12"/>
  <c r="AS51" i="22" s="1"/>
  <c r="HO568" i="12" l="1"/>
  <c r="FR579" i="12"/>
  <c r="GL579" i="12"/>
  <c r="GH579" i="12"/>
  <c r="BR579" i="12"/>
  <c r="BH580" i="12" s="1"/>
  <c r="GC568" i="12"/>
  <c r="FT569" i="12" s="1"/>
  <c r="EA589" i="12"/>
  <c r="DK589" i="12" s="1"/>
  <c r="DD590" i="12" s="1"/>
  <c r="DQ590" i="12" s="1"/>
  <c r="AV49" i="22"/>
  <c r="FY569" i="12" l="1"/>
  <c r="GC569" i="12" s="1"/>
  <c r="FT570" i="12" s="1"/>
  <c r="BD580" i="12"/>
  <c r="BE580" i="12" s="1"/>
  <c r="DU590" i="12"/>
  <c r="DX590" i="12" s="1"/>
  <c r="EA590" i="12" s="1"/>
  <c r="DK590" i="12" s="1"/>
  <c r="DD591" i="12" s="1"/>
  <c r="AG53" i="22"/>
  <c r="AF53" i="22" s="1"/>
  <c r="CA118" i="22" s="1"/>
  <c r="J543" i="12"/>
  <c r="AN49" i="22"/>
  <c r="CC116" i="22"/>
  <c r="CD116" i="22" s="1"/>
  <c r="CM580" i="12" l="1"/>
  <c r="BG580" i="12"/>
  <c r="BL580" i="12" s="1"/>
  <c r="ER580" i="12"/>
  <c r="EX580" i="12"/>
  <c r="DC580" i="12"/>
  <c r="DP580" i="12" s="1"/>
  <c r="BW580" i="12"/>
  <c r="CB580" i="12" s="1"/>
  <c r="CH580" i="12" s="1"/>
  <c r="BX581" i="12" s="1"/>
  <c r="BO580" i="12"/>
  <c r="CU580" i="12"/>
  <c r="CE580" i="12"/>
  <c r="EF580" i="12"/>
  <c r="GU580" i="12"/>
  <c r="GV580" i="12" s="1"/>
  <c r="FR580" i="12" s="1"/>
  <c r="DH580" i="12"/>
  <c r="FY570" i="12"/>
  <c r="GQ570" i="12" s="1"/>
  <c r="GQ569" i="12"/>
  <c r="CB118" i="22"/>
  <c r="I548" i="12"/>
  <c r="O545" i="12" s="1"/>
  <c r="DU591" i="12"/>
  <c r="DQ591" i="12"/>
  <c r="BZ117" i="22"/>
  <c r="HO570" i="12" l="1"/>
  <c r="HO569" i="12"/>
  <c r="GC570" i="12"/>
  <c r="FT571" i="12" s="1"/>
  <c r="GL580" i="12"/>
  <c r="GH580" i="12"/>
  <c r="BR580" i="12"/>
  <c r="BH581" i="12" s="1"/>
  <c r="DX591" i="12"/>
  <c r="BD581" i="12" l="1"/>
  <c r="BE581" i="12" s="1"/>
  <c r="FY571" i="12"/>
  <c r="GC571" i="12" s="1"/>
  <c r="FT572" i="12" s="1"/>
  <c r="EA591" i="12"/>
  <c r="DK591" i="12" s="1"/>
  <c r="DD592" i="12" s="1"/>
  <c r="FY572" i="12" l="1"/>
  <c r="GQ572" i="12" s="1"/>
  <c r="GQ571" i="12"/>
  <c r="EX581" i="12"/>
  <c r="ER581" i="12"/>
  <c r="BO581" i="12"/>
  <c r="EF581" i="12"/>
  <c r="CM581" i="12"/>
  <c r="CU581" i="12"/>
  <c r="GU581" i="12"/>
  <c r="GV581" i="12" s="1"/>
  <c r="FR581" i="12" s="1"/>
  <c r="DC581" i="12"/>
  <c r="DP581" i="12" s="1"/>
  <c r="BG581" i="12"/>
  <c r="BL581" i="12" s="1"/>
  <c r="CE581" i="12"/>
  <c r="BW581" i="12"/>
  <c r="CB581" i="12" s="1"/>
  <c r="CH581" i="12" s="1"/>
  <c r="BX582" i="12" s="1"/>
  <c r="DH581" i="12"/>
  <c r="DU592" i="12"/>
  <c r="DQ592" i="12"/>
  <c r="HO571" i="12" l="1"/>
  <c r="HO572" i="12"/>
  <c r="GH581" i="12"/>
  <c r="BR581" i="12"/>
  <c r="BH582" i="12" s="1"/>
  <c r="GL581" i="12"/>
  <c r="GC572" i="12"/>
  <c r="FT573" i="12" s="1"/>
  <c r="DX592" i="12"/>
  <c r="FY573" i="12" l="1"/>
  <c r="GQ573" i="12" s="1"/>
  <c r="BD582" i="12"/>
  <c r="BE582" i="12" s="1"/>
  <c r="EA592" i="12"/>
  <c r="DK592" i="12" s="1"/>
  <c r="DD593" i="12" s="1"/>
  <c r="HO573" i="12" l="1"/>
  <c r="CU582" i="12"/>
  <c r="BW582" i="12"/>
  <c r="CB582" i="12" s="1"/>
  <c r="CH582" i="12" s="1"/>
  <c r="BX583" i="12" s="1"/>
  <c r="DC582" i="12"/>
  <c r="DP582" i="12" s="1"/>
  <c r="GU582" i="12"/>
  <c r="GV582" i="12" s="1"/>
  <c r="FR582" i="12" s="1"/>
  <c r="CE582" i="12"/>
  <c r="EX582" i="12"/>
  <c r="CM582" i="12"/>
  <c r="BO582" i="12"/>
  <c r="EF582" i="12"/>
  <c r="ER582" i="12"/>
  <c r="BG582" i="12"/>
  <c r="BL582" i="12" s="1"/>
  <c r="DH582" i="12"/>
  <c r="GC573" i="12"/>
  <c r="FT574" i="12" s="1"/>
  <c r="DU593" i="12"/>
  <c r="DQ593" i="12"/>
  <c r="GL582" i="12" l="1"/>
  <c r="FY574" i="12"/>
  <c r="GQ574" i="12" s="1"/>
  <c r="HO574" i="12" s="1"/>
  <c r="BR582" i="12"/>
  <c r="BH583" i="12" s="1"/>
  <c r="GH582" i="12"/>
  <c r="DX593" i="12"/>
  <c r="EA593" i="12" s="1"/>
  <c r="DK593" i="12" s="1"/>
  <c r="DD594" i="12" s="1"/>
  <c r="BD583" i="12" l="1"/>
  <c r="BE583" i="12" s="1"/>
  <c r="GC574" i="12"/>
  <c r="FT575" i="12" s="1"/>
  <c r="DU594" i="12"/>
  <c r="DQ594" i="12"/>
  <c r="FY575" i="12" l="1"/>
  <c r="GQ575" i="12" s="1"/>
  <c r="HO575" i="12" s="1"/>
  <c r="BO583" i="12"/>
  <c r="EF583" i="12"/>
  <c r="CE583" i="12"/>
  <c r="DC583" i="12"/>
  <c r="DP583" i="12" s="1"/>
  <c r="CM583" i="12"/>
  <c r="GU583" i="12"/>
  <c r="GV583" i="12" s="1"/>
  <c r="FR583" i="12" s="1"/>
  <c r="BG583" i="12"/>
  <c r="BL583" i="12" s="1"/>
  <c r="BW583" i="12"/>
  <c r="CB583" i="12" s="1"/>
  <c r="CH583" i="12" s="1"/>
  <c r="BX584" i="12" s="1"/>
  <c r="CB584" i="12" s="1"/>
  <c r="CH584" i="12" s="1"/>
  <c r="BX585" i="12" s="1"/>
  <c r="CB585" i="12" s="1"/>
  <c r="CH585" i="12" s="1"/>
  <c r="BX586" i="12" s="1"/>
  <c r="CB586" i="12" s="1"/>
  <c r="CH586" i="12" s="1"/>
  <c r="BX587" i="12" s="1"/>
  <c r="CB587" i="12" s="1"/>
  <c r="CH587" i="12" s="1"/>
  <c r="BX588" i="12" s="1"/>
  <c r="CB588" i="12" s="1"/>
  <c r="CH588" i="12" s="1"/>
  <c r="BX589" i="12" s="1"/>
  <c r="ER583" i="12"/>
  <c r="EX583" i="12"/>
  <c r="CU583" i="12"/>
  <c r="DH583" i="12"/>
  <c r="DX594" i="12"/>
  <c r="EA594" i="12" s="1"/>
  <c r="DK594" i="12" s="1"/>
  <c r="DD595" i="12" s="1"/>
  <c r="CB589" i="12" l="1"/>
  <c r="M63" i="15" s="1"/>
  <c r="CH589" i="12"/>
  <c r="GL583" i="12"/>
  <c r="GH583" i="12"/>
  <c r="BR583" i="12"/>
  <c r="BH584" i="12" s="1"/>
  <c r="GC575" i="12"/>
  <c r="FT576" i="12" s="1"/>
  <c r="DU595" i="12"/>
  <c r="DQ595" i="12"/>
  <c r="G63" i="15" l="1"/>
  <c r="BX590" i="12"/>
  <c r="G544" i="12"/>
  <c r="FY576" i="12"/>
  <c r="GQ576" i="12" s="1"/>
  <c r="HO576" i="12" s="1"/>
  <c r="HO337" i="12" s="1"/>
  <c r="H455" i="12" s="1"/>
  <c r="N455" i="12" s="1"/>
  <c r="BD584" i="12"/>
  <c r="BE584" i="12" s="1"/>
  <c r="DX595" i="12"/>
  <c r="EA595" i="12" s="1"/>
  <c r="DK595" i="12" s="1"/>
  <c r="DD596" i="12" s="1"/>
  <c r="L541" i="12" l="1"/>
  <c r="T544" i="12"/>
  <c r="D65" i="15"/>
  <c r="C65" i="15" s="1"/>
  <c r="CB590" i="12"/>
  <c r="CH590" i="12" s="1"/>
  <c r="BX591" i="12" s="1"/>
  <c r="CB591" i="12" s="1"/>
  <c r="CH591" i="12" s="1"/>
  <c r="BX592" i="12" s="1"/>
  <c r="CB592" i="12" s="1"/>
  <c r="CH592" i="12" s="1"/>
  <c r="BX593" i="12" s="1"/>
  <c r="CB593" i="12" s="1"/>
  <c r="CH593" i="12" s="1"/>
  <c r="BX594" i="12" s="1"/>
  <c r="CB594" i="12" s="1"/>
  <c r="CH594" i="12" s="1"/>
  <c r="BX595" i="12" s="1"/>
  <c r="CB595" i="12" s="1"/>
  <c r="CH595" i="12" s="1"/>
  <c r="BX596" i="12" s="1"/>
  <c r="CB596" i="12" s="1"/>
  <c r="CH596" i="12" s="1"/>
  <c r="BX597" i="12" s="1"/>
  <c r="CB597" i="12" s="1"/>
  <c r="CH597" i="12" s="1"/>
  <c r="BX598" i="12" s="1"/>
  <c r="CB598" i="12" s="1"/>
  <c r="CH598" i="12" s="1"/>
  <c r="BX599" i="12" s="1"/>
  <c r="CB599" i="12" s="1"/>
  <c r="CH599" i="12" s="1"/>
  <c r="BX600" i="12" s="1"/>
  <c r="CB600" i="12" s="1"/>
  <c r="CH600" i="12" s="1"/>
  <c r="BX601" i="12" s="1"/>
  <c r="GU584" i="12"/>
  <c r="GV584" i="12" s="1"/>
  <c r="FR584" i="12" s="1"/>
  <c r="CE584" i="12"/>
  <c r="BG584" i="12"/>
  <c r="BL584" i="12" s="1"/>
  <c r="CU584" i="12"/>
  <c r="EX584" i="12"/>
  <c r="BW584" i="12"/>
  <c r="CM584" i="12"/>
  <c r="EF584" i="12"/>
  <c r="DC584" i="12"/>
  <c r="DP584" i="12" s="1"/>
  <c r="ER584" i="12"/>
  <c r="BO584" i="12"/>
  <c r="DH584" i="12"/>
  <c r="GC576" i="12"/>
  <c r="FT577" i="12" s="1"/>
  <c r="DU596" i="12"/>
  <c r="DQ596" i="12"/>
  <c r="CB601" i="12" l="1"/>
  <c r="M65" i="15" s="1"/>
  <c r="GL584" i="12"/>
  <c r="FY577" i="12"/>
  <c r="GC577" i="12" s="1"/>
  <c r="BR584" i="12"/>
  <c r="BH585" i="12" s="1"/>
  <c r="GH584" i="12"/>
  <c r="DX596" i="12"/>
  <c r="EA596" i="12" s="1"/>
  <c r="DK596" i="12" s="1"/>
  <c r="DD597" i="12" s="1"/>
  <c r="CH601" i="12" l="1"/>
  <c r="G547" i="12"/>
  <c r="G65" i="15"/>
  <c r="BX602" i="12"/>
  <c r="GQ577" i="12"/>
  <c r="HP577" i="12" s="1"/>
  <c r="Y283" i="12"/>
  <c r="BD585" i="12"/>
  <c r="BE585" i="12" s="1"/>
  <c r="DU597" i="12"/>
  <c r="DQ597" i="12"/>
  <c r="L544" i="12" l="1"/>
  <c r="T547" i="12"/>
  <c r="D67" i="15"/>
  <c r="C67" i="15" s="1"/>
  <c r="CB602" i="12"/>
  <c r="CH602" i="12" s="1"/>
  <c r="BX603" i="12" s="1"/>
  <c r="CB603" i="12" s="1"/>
  <c r="CH603" i="12" s="1"/>
  <c r="BX604" i="12" s="1"/>
  <c r="CB604" i="12" s="1"/>
  <c r="CH604" i="12" s="1"/>
  <c r="BX605" i="12" s="1"/>
  <c r="CB605" i="12" s="1"/>
  <c r="CH605" i="12" s="1"/>
  <c r="BX606" i="12" s="1"/>
  <c r="CB606" i="12" s="1"/>
  <c r="CH606" i="12" s="1"/>
  <c r="BX607" i="12" s="1"/>
  <c r="CB607" i="12" s="1"/>
  <c r="CH607" i="12" s="1"/>
  <c r="BX608" i="12" s="1"/>
  <c r="CB608" i="12" s="1"/>
  <c r="CH608" i="12" s="1"/>
  <c r="BX609" i="12" s="1"/>
  <c r="CB609" i="12" s="1"/>
  <c r="CH609" i="12" s="1"/>
  <c r="BX610" i="12" s="1"/>
  <c r="CB610" i="12" s="1"/>
  <c r="CH610" i="12" s="1"/>
  <c r="BX611" i="12" s="1"/>
  <c r="CB611" i="12" s="1"/>
  <c r="CH611" i="12" s="1"/>
  <c r="BX612" i="12" s="1"/>
  <c r="CB612" i="12" s="1"/>
  <c r="CH612" i="12" s="1"/>
  <c r="BX613" i="12" s="1"/>
  <c r="GU585" i="12"/>
  <c r="GV585" i="12" s="1"/>
  <c r="FR585" i="12" s="1"/>
  <c r="CE585" i="12"/>
  <c r="DC585" i="12"/>
  <c r="DP585" i="12" s="1"/>
  <c r="BW585" i="12"/>
  <c r="EX585" i="12"/>
  <c r="EF585" i="12"/>
  <c r="ER585" i="12"/>
  <c r="BO585" i="12"/>
  <c r="CM585" i="12"/>
  <c r="BG585" i="12"/>
  <c r="BL585" i="12" s="1"/>
  <c r="CU585" i="12"/>
  <c r="DH585" i="12"/>
  <c r="G721" i="12"/>
  <c r="P721" i="12" s="1"/>
  <c r="V663" i="12"/>
  <c r="AA283" i="12"/>
  <c r="DX597" i="12"/>
  <c r="EA597" i="12" s="1"/>
  <c r="DK597" i="12" s="1"/>
  <c r="DD598" i="12" s="1"/>
  <c r="CB613" i="12" l="1"/>
  <c r="M67" i="15" s="1"/>
  <c r="K721" i="12"/>
  <c r="AT721" i="12" s="1"/>
  <c r="X721" i="12" s="1"/>
  <c r="S721" i="12"/>
  <c r="GL585" i="12"/>
  <c r="GH585" i="12"/>
  <c r="BR585" i="12"/>
  <c r="BH586" i="12" s="1"/>
  <c r="AH283" i="12"/>
  <c r="AP456" i="12"/>
  <c r="O663" i="12"/>
  <c r="Y663" i="12"/>
  <c r="DU598" i="12"/>
  <c r="DQ598" i="12"/>
  <c r="CH613" i="12" l="1"/>
  <c r="AU283" i="12"/>
  <c r="F660" i="12"/>
  <c r="BD586" i="12"/>
  <c r="BE586" i="12" s="1"/>
  <c r="AC721" i="12"/>
  <c r="DX598" i="12"/>
  <c r="EA598" i="12" s="1"/>
  <c r="DK598" i="12" s="1"/>
  <c r="DD599" i="12" s="1"/>
  <c r="G67" i="15" l="1"/>
  <c r="G550" i="12"/>
  <c r="BX614" i="12"/>
  <c r="AJ721" i="12"/>
  <c r="BW586" i="12"/>
  <c r="EX586" i="12"/>
  <c r="BG586" i="12"/>
  <c r="BL586" i="12" s="1"/>
  <c r="ER586" i="12"/>
  <c r="BO586" i="12"/>
  <c r="GU586" i="12"/>
  <c r="GV586" i="12" s="1"/>
  <c r="FR586" i="12" s="1"/>
  <c r="CE586" i="12"/>
  <c r="DC586" i="12"/>
  <c r="DP586" i="12" s="1"/>
  <c r="CU586" i="12"/>
  <c r="EF586" i="12"/>
  <c r="CM586" i="12"/>
  <c r="DH586" i="12"/>
  <c r="L662" i="12"/>
  <c r="F132" i="23"/>
  <c r="I661" i="12"/>
  <c r="DU599" i="12"/>
  <c r="DQ599" i="12"/>
  <c r="L547" i="12" l="1"/>
  <c r="T550" i="12"/>
  <c r="CB614" i="12"/>
  <c r="CH614" i="12" s="1"/>
  <c r="BX615" i="12" s="1"/>
  <c r="CB615" i="12" s="1"/>
  <c r="CH615" i="12" s="1"/>
  <c r="BX616" i="12" s="1"/>
  <c r="CB616" i="12" s="1"/>
  <c r="CH616" i="12" s="1"/>
  <c r="BX617" i="12" s="1"/>
  <c r="CB617" i="12" s="1"/>
  <c r="CH617" i="12" s="1"/>
  <c r="BX618" i="12" s="1"/>
  <c r="CB618" i="12" s="1"/>
  <c r="CH618" i="12" s="1"/>
  <c r="BX619" i="12" s="1"/>
  <c r="CB619" i="12" s="1"/>
  <c r="CH619" i="12" s="1"/>
  <c r="BX620" i="12" s="1"/>
  <c r="CB620" i="12" s="1"/>
  <c r="CH620" i="12" s="1"/>
  <c r="BX621" i="12" s="1"/>
  <c r="CB621" i="12" s="1"/>
  <c r="CH621" i="12" s="1"/>
  <c r="BX622" i="12" s="1"/>
  <c r="CB622" i="12" s="1"/>
  <c r="CH622" i="12" s="1"/>
  <c r="BX623" i="12" s="1"/>
  <c r="CB623" i="12" s="1"/>
  <c r="CH623" i="12" s="1"/>
  <c r="BX624" i="12" s="1"/>
  <c r="CB624" i="12" s="1"/>
  <c r="CH624" i="12" s="1"/>
  <c r="BX625" i="12" s="1"/>
  <c r="CB625" i="12" s="1"/>
  <c r="M69" i="15" s="1"/>
  <c r="D69" i="15"/>
  <c r="C69" i="15" s="1"/>
  <c r="GL586" i="12"/>
  <c r="J131" i="23"/>
  <c r="GH586" i="12"/>
  <c r="BR586" i="12"/>
  <c r="BH587" i="12" s="1"/>
  <c r="DX599" i="12"/>
  <c r="EA599" i="12" s="1"/>
  <c r="DK599" i="12" s="1"/>
  <c r="DD600" i="12" s="1"/>
  <c r="CH625" i="12" l="1"/>
  <c r="G553" i="12"/>
  <c r="T553" i="12" s="1"/>
  <c r="BX626" i="12"/>
  <c r="G69" i="15"/>
  <c r="BD587" i="12"/>
  <c r="BE587" i="12" s="1"/>
  <c r="DU600" i="12"/>
  <c r="DQ600" i="12"/>
  <c r="CB626" i="12" l="1"/>
  <c r="CH626" i="12"/>
  <c r="BX627" i="12" s="1"/>
  <c r="CB627" i="12" s="1"/>
  <c r="CH627" i="12" s="1"/>
  <c r="BX628" i="12" s="1"/>
  <c r="CB628" i="12" s="1"/>
  <c r="CH628" i="12" s="1"/>
  <c r="BX629" i="12" s="1"/>
  <c r="CB629" i="12" s="1"/>
  <c r="CH629" i="12" s="1"/>
  <c r="BX630" i="12" s="1"/>
  <c r="CB630" i="12" s="1"/>
  <c r="CH630" i="12" s="1"/>
  <c r="BX631" i="12" s="1"/>
  <c r="CB631" i="12" s="1"/>
  <c r="CH631" i="12" s="1"/>
  <c r="BX632" i="12" s="1"/>
  <c r="CB632" i="12" s="1"/>
  <c r="CH632" i="12" s="1"/>
  <c r="BX633" i="12" s="1"/>
  <c r="CB633" i="12" s="1"/>
  <c r="CH633" i="12" s="1"/>
  <c r="BX634" i="12" s="1"/>
  <c r="CB634" i="12" s="1"/>
  <c r="CH634" i="12" s="1"/>
  <c r="BX635" i="12" s="1"/>
  <c r="CB635" i="12" s="1"/>
  <c r="CH635" i="12" s="1"/>
  <c r="BX636" i="12" s="1"/>
  <c r="CB636" i="12" s="1"/>
  <c r="CH636" i="12" s="1"/>
  <c r="BX637" i="12" s="1"/>
  <c r="D71" i="15"/>
  <c r="C71" i="15" s="1"/>
  <c r="L550" i="12"/>
  <c r="BO587" i="12"/>
  <c r="CU587" i="12"/>
  <c r="CE587" i="12"/>
  <c r="EX587" i="12"/>
  <c r="BW587" i="12"/>
  <c r="CM587" i="12"/>
  <c r="GU587" i="12"/>
  <c r="GV587" i="12" s="1"/>
  <c r="FR587" i="12" s="1"/>
  <c r="BG587" i="12"/>
  <c r="BL587" i="12" s="1"/>
  <c r="DC587" i="12"/>
  <c r="DP587" i="12" s="1"/>
  <c r="EF587" i="12"/>
  <c r="ER587" i="12"/>
  <c r="DH587" i="12"/>
  <c r="DX600" i="12"/>
  <c r="EA600" i="12" s="1"/>
  <c r="DK600" i="12" s="1"/>
  <c r="DD601" i="12" s="1"/>
  <c r="CB637" i="12" l="1"/>
  <c r="M71" i="15" s="1"/>
  <c r="GH587" i="12"/>
  <c r="BR587" i="12"/>
  <c r="BH588" i="12" s="1"/>
  <c r="GL587" i="12"/>
  <c r="DU601" i="12"/>
  <c r="DQ601" i="12"/>
  <c r="CH637" i="12" l="1"/>
  <c r="G71" i="15"/>
  <c r="BX638" i="12"/>
  <c r="G556" i="12"/>
  <c r="T556" i="12" s="1"/>
  <c r="BD588" i="12"/>
  <c r="BE588" i="12" s="1"/>
  <c r="DX601" i="12"/>
  <c r="AS53" i="22" s="1"/>
  <c r="AP53" i="22"/>
  <c r="L553" i="12" l="1"/>
  <c r="CB638" i="12"/>
  <c r="CH638" i="12" s="1"/>
  <c r="BX639" i="12" s="1"/>
  <c r="CB639" i="12" s="1"/>
  <c r="CH639" i="12" s="1"/>
  <c r="BX640" i="12" s="1"/>
  <c r="D73" i="15"/>
  <c r="C73" i="15" s="1"/>
  <c r="CM588" i="12"/>
  <c r="ER588" i="12"/>
  <c r="GU588" i="12"/>
  <c r="GV588" i="12" s="1"/>
  <c r="FR588" i="12" s="1"/>
  <c r="BW588" i="12"/>
  <c r="BG588" i="12"/>
  <c r="BL588" i="12" s="1"/>
  <c r="GH588" i="12" s="1"/>
  <c r="EX588" i="12"/>
  <c r="CE588" i="12"/>
  <c r="EF588" i="12"/>
  <c r="BO588" i="12"/>
  <c r="DH588" i="12"/>
  <c r="CU588" i="12"/>
  <c r="DC588" i="12"/>
  <c r="DP588" i="12" s="1"/>
  <c r="AV51" i="22"/>
  <c r="EA601" i="12"/>
  <c r="DK601" i="12" s="1"/>
  <c r="DD602" i="12" s="1"/>
  <c r="CB640" i="12" l="1"/>
  <c r="CH640" i="12" s="1"/>
  <c r="BX641" i="12" s="1"/>
  <c r="CB641" i="12" s="1"/>
  <c r="CH641" i="12" s="1"/>
  <c r="BX642" i="12" s="1"/>
  <c r="CB642" i="12" s="1"/>
  <c r="CH642" i="12" s="1"/>
  <c r="BX643" i="12" s="1"/>
  <c r="CB643" i="12" s="1"/>
  <c r="CH643" i="12" s="1"/>
  <c r="BX644" i="12" s="1"/>
  <c r="CB644" i="12" s="1"/>
  <c r="CH644" i="12" s="1"/>
  <c r="BX645" i="12" s="1"/>
  <c r="CB645" i="12" s="1"/>
  <c r="CH645" i="12" s="1"/>
  <c r="BX646" i="12" s="1"/>
  <c r="CB646" i="12" s="1"/>
  <c r="CH646" i="12" s="1"/>
  <c r="BX647" i="12" s="1"/>
  <c r="CB647" i="12" s="1"/>
  <c r="CH647" i="12" s="1"/>
  <c r="BX648" i="12" s="1"/>
  <c r="CB648" i="12" s="1"/>
  <c r="CH648" i="12" s="1"/>
  <c r="BX649" i="12" s="1"/>
  <c r="BR588" i="12"/>
  <c r="BH589" i="12" s="1"/>
  <c r="BL589" i="12" s="1"/>
  <c r="GL588" i="12"/>
  <c r="AN51" i="22"/>
  <c r="CC117" i="22"/>
  <c r="CD117" i="22" s="1"/>
  <c r="J546" i="12"/>
  <c r="AG55" i="22"/>
  <c r="DU602" i="12"/>
  <c r="DQ602" i="12"/>
  <c r="CB649" i="12" l="1"/>
  <c r="M73" i="15" s="1"/>
  <c r="BD589" i="12"/>
  <c r="BE589" i="12" s="1"/>
  <c r="CM589" i="12" s="1"/>
  <c r="BR589" i="12"/>
  <c r="GH589" i="12"/>
  <c r="O285" i="12" s="1"/>
  <c r="M63" i="14"/>
  <c r="DX602" i="12"/>
  <c r="AF55" i="22"/>
  <c r="CA119" i="22" s="1"/>
  <c r="I551" i="12"/>
  <c r="CB119" i="22"/>
  <c r="CH649" i="12" l="1"/>
  <c r="DH589" i="12"/>
  <c r="AJ51" i="22" s="1"/>
  <c r="BO589" i="12"/>
  <c r="J63" i="14" s="1"/>
  <c r="P63" i="14" s="1"/>
  <c r="EX589" i="12"/>
  <c r="FL579" i="12" s="1"/>
  <c r="CU589" i="12"/>
  <c r="J63" i="16" s="1"/>
  <c r="P63" i="16" s="1"/>
  <c r="GU589" i="12"/>
  <c r="GV589" i="12" s="1"/>
  <c r="CE589" i="12"/>
  <c r="J63" i="15" s="1"/>
  <c r="P63" i="15" s="1"/>
  <c r="BG589" i="12"/>
  <c r="DC589" i="12"/>
  <c r="DP589" i="12" s="1"/>
  <c r="EF589" i="12"/>
  <c r="S285" i="12" s="1"/>
  <c r="BW589" i="12"/>
  <c r="ER589" i="12"/>
  <c r="V285" i="12" s="1"/>
  <c r="F544" i="12"/>
  <c r="G63" i="14"/>
  <c r="BH590" i="12"/>
  <c r="BZ118" i="22"/>
  <c r="O548" i="12"/>
  <c r="EA602" i="12"/>
  <c r="DK602" i="12" s="1"/>
  <c r="DD603" i="12" s="1"/>
  <c r="G73" i="15" l="1"/>
  <c r="G559" i="12"/>
  <c r="FL588" i="12"/>
  <c r="FJ588" i="12" s="1"/>
  <c r="FD588" i="12" s="1"/>
  <c r="FL578" i="12"/>
  <c r="FN578" i="12" s="1"/>
  <c r="FQ578" i="12" s="1"/>
  <c r="FL589" i="12"/>
  <c r="FN589" i="12" s="1"/>
  <c r="FQ589" i="12" s="1"/>
  <c r="FL581" i="12"/>
  <c r="FN581" i="12" s="1"/>
  <c r="FQ581" i="12" s="1"/>
  <c r="FL586" i="12"/>
  <c r="FJ586" i="12" s="1"/>
  <c r="FD586" i="12" s="1"/>
  <c r="FL587" i="12"/>
  <c r="FN587" i="12" s="1"/>
  <c r="FQ587" i="12" s="1"/>
  <c r="FL585" i="12"/>
  <c r="FJ585" i="12" s="1"/>
  <c r="FD585" i="12" s="1"/>
  <c r="FL584" i="12"/>
  <c r="FJ584" i="12" s="1"/>
  <c r="FD584" i="12" s="1"/>
  <c r="FL580" i="12"/>
  <c r="FN580" i="12" s="1"/>
  <c r="FQ580" i="12" s="1"/>
  <c r="FL583" i="12"/>
  <c r="FN583" i="12" s="1"/>
  <c r="FQ583" i="12" s="1"/>
  <c r="FL582" i="12"/>
  <c r="FJ582" i="12" s="1"/>
  <c r="FD582" i="12" s="1"/>
  <c r="GL589" i="12"/>
  <c r="Q285" i="12" s="1"/>
  <c r="Q544" i="12"/>
  <c r="K541" i="12"/>
  <c r="BL590" i="12"/>
  <c r="GH590" i="12" s="1"/>
  <c r="BD590" i="12"/>
  <c r="BE590" i="12" s="1"/>
  <c r="D65" i="14"/>
  <c r="C65" i="14" s="1"/>
  <c r="FN579" i="12"/>
  <c r="FQ579" i="12" s="1"/>
  <c r="FJ579" i="12"/>
  <c r="FD579" i="12" s="1"/>
  <c r="DQ603" i="12"/>
  <c r="DU603" i="12"/>
  <c r="L559" i="12" l="1"/>
  <c r="T559" i="12"/>
  <c r="T561" i="12" s="1"/>
  <c r="X476" i="12" s="1"/>
  <c r="S491" i="12" s="1"/>
  <c r="L556" i="12"/>
  <c r="FN588" i="12"/>
  <c r="FQ588" i="12" s="1"/>
  <c r="FJ589" i="12"/>
  <c r="FD589" i="12" s="1"/>
  <c r="FJ578" i="12"/>
  <c r="FD578" i="12" s="1"/>
  <c r="FT578" i="12" s="1"/>
  <c r="FY578" i="12" s="1"/>
  <c r="GQ578" i="12" s="1"/>
  <c r="HP578" i="12" s="1"/>
  <c r="FJ581" i="12"/>
  <c r="FD581" i="12" s="1"/>
  <c r="FJ587" i="12"/>
  <c r="FD587" i="12" s="1"/>
  <c r="FN585" i="12"/>
  <c r="FQ585" i="12" s="1"/>
  <c r="FN586" i="12"/>
  <c r="FQ586" i="12" s="1"/>
  <c r="FN582" i="12"/>
  <c r="FQ582" i="12" s="1"/>
  <c r="FJ580" i="12"/>
  <c r="FD580" i="12" s="1"/>
  <c r="FN584" i="12"/>
  <c r="FQ584" i="12" s="1"/>
  <c r="FJ583" i="12"/>
  <c r="FD583" i="12" s="1"/>
  <c r="BR590" i="12"/>
  <c r="BH591" i="12" s="1"/>
  <c r="BD591" i="12" s="1"/>
  <c r="BE591" i="12" s="1"/>
  <c r="EF590" i="12"/>
  <c r="BG590" i="12"/>
  <c r="GU590" i="12"/>
  <c r="GV590" i="12" s="1"/>
  <c r="CM590" i="12"/>
  <c r="BO590" i="12"/>
  <c r="DH590" i="12"/>
  <c r="CU590" i="12"/>
  <c r="CE590" i="12"/>
  <c r="EX590" i="12"/>
  <c r="ER590" i="12"/>
  <c r="BW590" i="12"/>
  <c r="DC590" i="12"/>
  <c r="DP590" i="12" s="1"/>
  <c r="DX603" i="12"/>
  <c r="L481" i="12" l="1"/>
  <c r="S517" i="12" s="1"/>
  <c r="R510" i="12" s="1"/>
  <c r="Q509" i="12" s="1"/>
  <c r="G400" i="12" s="1"/>
  <c r="G285" i="12"/>
  <c r="L285" i="12"/>
  <c r="BL591" i="12"/>
  <c r="GH591" i="12" s="1"/>
  <c r="GC578" i="12"/>
  <c r="FT579" i="12" s="1"/>
  <c r="FY579" i="12" s="1"/>
  <c r="GC579" i="12" s="1"/>
  <c r="FT580" i="12" s="1"/>
  <c r="GL590" i="12"/>
  <c r="FR590" i="12"/>
  <c r="CE591" i="12"/>
  <c r="GU591" i="12"/>
  <c r="GV591" i="12" s="1"/>
  <c r="BG591" i="12"/>
  <c r="DH591" i="12"/>
  <c r="DC591" i="12"/>
  <c r="DP591" i="12" s="1"/>
  <c r="BW591" i="12"/>
  <c r="EF591" i="12"/>
  <c r="CU591" i="12"/>
  <c r="CM591" i="12"/>
  <c r="ER591" i="12"/>
  <c r="BO591" i="12"/>
  <c r="EX591" i="12"/>
  <c r="EA603" i="12"/>
  <c r="DK603" i="12" s="1"/>
  <c r="DD604" i="12" s="1"/>
  <c r="BR591" i="12" l="1"/>
  <c r="BH592" i="12" s="1"/>
  <c r="FR591" i="12"/>
  <c r="GL591" i="12"/>
  <c r="FY580" i="12"/>
  <c r="GQ580" i="12" s="1"/>
  <c r="GQ579" i="12"/>
  <c r="HP579" i="12" s="1"/>
  <c r="DQ604" i="12"/>
  <c r="DU604" i="12"/>
  <c r="HP580" i="12" l="1"/>
  <c r="BD592" i="12"/>
  <c r="BE592" i="12" s="1"/>
  <c r="BL592" i="12"/>
  <c r="GC580" i="12"/>
  <c r="FT581" i="12" s="1"/>
  <c r="DX604" i="12"/>
  <c r="BR592" i="12" l="1"/>
  <c r="BH593" i="12" s="1"/>
  <c r="GH592" i="12"/>
  <c r="BG592" i="12"/>
  <c r="CM592" i="12"/>
  <c r="DC592" i="12"/>
  <c r="DP592" i="12" s="1"/>
  <c r="CU592" i="12"/>
  <c r="DH592" i="12"/>
  <c r="EX592" i="12"/>
  <c r="CE592" i="12"/>
  <c r="BO592" i="12"/>
  <c r="ER592" i="12"/>
  <c r="EF592" i="12"/>
  <c r="BW592" i="12"/>
  <c r="GU592" i="12"/>
  <c r="GV592" i="12" s="1"/>
  <c r="FR592" i="12" s="1"/>
  <c r="FY581" i="12"/>
  <c r="EA604" i="12"/>
  <c r="DK604" i="12" s="1"/>
  <c r="DD605" i="12" s="1"/>
  <c r="GL592" i="12" l="1"/>
  <c r="BL593" i="12"/>
  <c r="GH593" i="12" s="1"/>
  <c r="BD593" i="12"/>
  <c r="BE593" i="12" s="1"/>
  <c r="GQ581" i="12"/>
  <c r="GC581" i="12"/>
  <c r="FT582" i="12" s="1"/>
  <c r="DQ605" i="12"/>
  <c r="DU605" i="12"/>
  <c r="BR593" i="12" l="1"/>
  <c r="BH594" i="12" s="1"/>
  <c r="BD594" i="12" s="1"/>
  <c r="BE594" i="12" s="1"/>
  <c r="CM593" i="12"/>
  <c r="CU593" i="12"/>
  <c r="BO593" i="12"/>
  <c r="BG593" i="12"/>
  <c r="CE593" i="12"/>
  <c r="EF593" i="12"/>
  <c r="BW593" i="12"/>
  <c r="EX593" i="12"/>
  <c r="ER593" i="12"/>
  <c r="DC593" i="12"/>
  <c r="DP593" i="12" s="1"/>
  <c r="GU593" i="12"/>
  <c r="GV593" i="12" s="1"/>
  <c r="FR593" i="12" s="1"/>
  <c r="DH593" i="12"/>
  <c r="HP581" i="12"/>
  <c r="FY582" i="12"/>
  <c r="DX605" i="12"/>
  <c r="EA605" i="12" s="1"/>
  <c r="DK605" i="12" s="1"/>
  <c r="DD606" i="12" s="1"/>
  <c r="BL594" i="12" l="1"/>
  <c r="BR594" i="12" s="1"/>
  <c r="BH595" i="12" s="1"/>
  <c r="GL593" i="12"/>
  <c r="ER594" i="12"/>
  <c r="BO594" i="12"/>
  <c r="DC594" i="12"/>
  <c r="DP594" i="12" s="1"/>
  <c r="DH594" i="12"/>
  <c r="EF594" i="12"/>
  <c r="CE594" i="12"/>
  <c r="GU594" i="12"/>
  <c r="GV594" i="12" s="1"/>
  <c r="CM594" i="12"/>
  <c r="EX594" i="12"/>
  <c r="BW594" i="12"/>
  <c r="CU594" i="12"/>
  <c r="BG594" i="12"/>
  <c r="GQ582" i="12"/>
  <c r="GC582" i="12"/>
  <c r="FT583" i="12" s="1"/>
  <c r="DQ606" i="12"/>
  <c r="DU606" i="12"/>
  <c r="GH594" i="12" l="1"/>
  <c r="FR594" i="12"/>
  <c r="BD595" i="12"/>
  <c r="BE595" i="12" s="1"/>
  <c r="BL595" i="12"/>
  <c r="GH595" i="12" s="1"/>
  <c r="GL594" i="12"/>
  <c r="HP582" i="12"/>
  <c r="FY583" i="12"/>
  <c r="GC583" i="12" s="1"/>
  <c r="FT584" i="12" s="1"/>
  <c r="DX606" i="12"/>
  <c r="EA606" i="12" s="1"/>
  <c r="DK606" i="12" s="1"/>
  <c r="DD607" i="12" s="1"/>
  <c r="BR595" i="12" l="1"/>
  <c r="BH596" i="12" s="1"/>
  <c r="BD596" i="12" s="1"/>
  <c r="BE596" i="12" s="1"/>
  <c r="BG595" i="12"/>
  <c r="DH595" i="12"/>
  <c r="EF595" i="12"/>
  <c r="BW595" i="12"/>
  <c r="EX595" i="12"/>
  <c r="CE595" i="12"/>
  <c r="ER595" i="12"/>
  <c r="CU595" i="12"/>
  <c r="GU595" i="12"/>
  <c r="GV595" i="12" s="1"/>
  <c r="FR595" i="12" s="1"/>
  <c r="CM595" i="12"/>
  <c r="BO595" i="12"/>
  <c r="DC595" i="12"/>
  <c r="DP595" i="12" s="1"/>
  <c r="GQ583" i="12"/>
  <c r="FY584" i="12"/>
  <c r="GQ584" i="12" s="1"/>
  <c r="DQ607" i="12"/>
  <c r="DU607" i="12"/>
  <c r="BL596" i="12" l="1"/>
  <c r="GH596" i="12" s="1"/>
  <c r="GL595" i="12"/>
  <c r="BG596" i="12"/>
  <c r="DC596" i="12"/>
  <c r="DP596" i="12" s="1"/>
  <c r="BW596" i="12"/>
  <c r="GU596" i="12"/>
  <c r="GV596" i="12" s="1"/>
  <c r="FR596" i="12" s="1"/>
  <c r="EX596" i="12"/>
  <c r="EF596" i="12"/>
  <c r="DH596" i="12"/>
  <c r="ER596" i="12"/>
  <c r="CE596" i="12"/>
  <c r="CM596" i="12"/>
  <c r="BO596" i="12"/>
  <c r="CU596" i="12"/>
  <c r="HP583" i="12"/>
  <c r="HP584" i="12"/>
  <c r="GC584" i="12"/>
  <c r="FT585" i="12" s="1"/>
  <c r="DX607" i="12"/>
  <c r="EA607" i="12" s="1"/>
  <c r="DK607" i="12" s="1"/>
  <c r="DD608" i="12" s="1"/>
  <c r="BR596" i="12" l="1"/>
  <c r="BH597" i="12" s="1"/>
  <c r="BL597" i="12" s="1"/>
  <c r="GH597" i="12" s="1"/>
  <c r="GL596" i="12"/>
  <c r="FY585" i="12"/>
  <c r="GQ585" i="12" s="1"/>
  <c r="DU608" i="12"/>
  <c r="DQ608" i="12"/>
  <c r="BR597" i="12" l="1"/>
  <c r="BH598" i="12" s="1"/>
  <c r="BL598" i="12" s="1"/>
  <c r="GH598" i="12" s="1"/>
  <c r="BD597" i="12"/>
  <c r="BE597" i="12" s="1"/>
  <c r="DH597" i="12" s="1"/>
  <c r="HP585" i="12"/>
  <c r="GC585" i="12"/>
  <c r="FT586" i="12" s="1"/>
  <c r="DX608" i="12"/>
  <c r="EA608" i="12" s="1"/>
  <c r="DK608" i="12" s="1"/>
  <c r="DD609" i="12" s="1"/>
  <c r="EX597" i="12" l="1"/>
  <c r="EF597" i="12"/>
  <c r="CE597" i="12"/>
  <c r="BD598" i="12"/>
  <c r="BE598" i="12" s="1"/>
  <c r="BG598" i="12" s="1"/>
  <c r="CM597" i="12"/>
  <c r="GU597" i="12"/>
  <c r="GV597" i="12" s="1"/>
  <c r="FR597" i="12" s="1"/>
  <c r="CU597" i="12"/>
  <c r="BG597" i="12"/>
  <c r="BO597" i="12"/>
  <c r="BW597" i="12"/>
  <c r="ER597" i="12"/>
  <c r="DC597" i="12"/>
  <c r="DP597" i="12" s="1"/>
  <c r="BR598" i="12"/>
  <c r="BH599" i="12" s="1"/>
  <c r="BL599" i="12" s="1"/>
  <c r="GH599" i="12" s="1"/>
  <c r="FY586" i="12"/>
  <c r="GQ586" i="12" s="1"/>
  <c r="DU609" i="12"/>
  <c r="DQ609" i="12"/>
  <c r="GU598" i="12" l="1"/>
  <c r="GV598" i="12" s="1"/>
  <c r="FR598" i="12" s="1"/>
  <c r="BO598" i="12"/>
  <c r="ER598" i="12"/>
  <c r="CE598" i="12"/>
  <c r="EF598" i="12"/>
  <c r="GL597" i="12"/>
  <c r="EX598" i="12"/>
  <c r="DC598" i="12"/>
  <c r="DP598" i="12" s="1"/>
  <c r="DH598" i="12"/>
  <c r="BW598" i="12"/>
  <c r="CM598" i="12"/>
  <c r="CU598" i="12"/>
  <c r="BR599" i="12"/>
  <c r="BH600" i="12" s="1"/>
  <c r="BL600" i="12" s="1"/>
  <c r="BR600" i="12" s="1"/>
  <c r="BH601" i="12" s="1"/>
  <c r="BD599" i="12"/>
  <c r="BE599" i="12" s="1"/>
  <c r="CU599" i="12" s="1"/>
  <c r="HP586" i="12"/>
  <c r="GC586" i="12"/>
  <c r="FT587" i="12" s="1"/>
  <c r="DX609" i="12"/>
  <c r="EA609" i="12" s="1"/>
  <c r="DK609" i="12" s="1"/>
  <c r="DD610" i="12" s="1"/>
  <c r="GL598" i="12" l="1"/>
  <c r="GH600" i="12"/>
  <c r="BD600" i="12"/>
  <c r="BE600" i="12" s="1"/>
  <c r="CU600" i="12" s="1"/>
  <c r="BG599" i="12"/>
  <c r="CM599" i="12"/>
  <c r="CE599" i="12"/>
  <c r="EX599" i="12"/>
  <c r="DH599" i="12"/>
  <c r="EF599" i="12"/>
  <c r="GU599" i="12"/>
  <c r="GV599" i="12" s="1"/>
  <c r="FR599" i="12" s="1"/>
  <c r="ER599" i="12"/>
  <c r="BO599" i="12"/>
  <c r="BW599" i="12"/>
  <c r="DC599" i="12"/>
  <c r="DP599" i="12" s="1"/>
  <c r="FY587" i="12"/>
  <c r="GQ587" i="12" s="1"/>
  <c r="BL601" i="12"/>
  <c r="BD601" i="12"/>
  <c r="BE601" i="12" s="1"/>
  <c r="DQ610" i="12"/>
  <c r="DU610" i="12"/>
  <c r="ER600" i="12" l="1"/>
  <c r="GU600" i="12"/>
  <c r="GV600" i="12" s="1"/>
  <c r="FR600" i="12" s="1"/>
  <c r="BO600" i="12"/>
  <c r="BG600" i="12"/>
  <c r="DC600" i="12"/>
  <c r="DP600" i="12" s="1"/>
  <c r="BW600" i="12"/>
  <c r="DH600" i="12"/>
  <c r="EF600" i="12"/>
  <c r="CM600" i="12"/>
  <c r="CE600" i="12"/>
  <c r="EX600" i="12"/>
  <c r="GL599" i="12"/>
  <c r="HP587" i="12"/>
  <c r="EX601" i="12"/>
  <c r="GU601" i="12"/>
  <c r="GV601" i="12" s="1"/>
  <c r="EF601" i="12"/>
  <c r="DC601" i="12"/>
  <c r="DP601" i="12" s="1"/>
  <c r="BO601" i="12"/>
  <c r="CE601" i="12"/>
  <c r="BG601" i="12"/>
  <c r="ER601" i="12"/>
  <c r="BW601" i="12"/>
  <c r="CM601" i="12"/>
  <c r="CU601" i="12"/>
  <c r="J65" i="16" s="1"/>
  <c r="P65" i="16" s="1"/>
  <c r="DH601" i="12"/>
  <c r="BR601" i="12"/>
  <c r="GH601" i="12"/>
  <c r="O287" i="12" s="1"/>
  <c r="M65" i="14"/>
  <c r="GC587" i="12"/>
  <c r="FT588" i="12" s="1"/>
  <c r="DX610" i="12"/>
  <c r="EA610" i="12" s="1"/>
  <c r="DK610" i="12" s="1"/>
  <c r="DD611" i="12" s="1"/>
  <c r="S287" i="12" l="1"/>
  <c r="V287" i="12"/>
  <c r="FL601" i="12"/>
  <c r="FN601" i="12" s="1"/>
  <c r="FQ601" i="12" s="1"/>
  <c r="J65" i="15"/>
  <c r="P65" i="15" s="1"/>
  <c r="GL600" i="12"/>
  <c r="AJ53" i="22"/>
  <c r="GL601" i="12"/>
  <c r="Q287" i="12" s="1"/>
  <c r="J65" i="14"/>
  <c r="P65" i="14" s="1"/>
  <c r="G65" i="14"/>
  <c r="BH602" i="12"/>
  <c r="F547" i="12"/>
  <c r="FY588" i="12"/>
  <c r="GQ588" i="12" s="1"/>
  <c r="FL600" i="12"/>
  <c r="FL591" i="12"/>
  <c r="FL590" i="12"/>
  <c r="FL592" i="12"/>
  <c r="FL593" i="12"/>
  <c r="FL595" i="12"/>
  <c r="FL594" i="12"/>
  <c r="FL596" i="12"/>
  <c r="FL598" i="12"/>
  <c r="FL597" i="12"/>
  <c r="FL599" i="12"/>
  <c r="DU611" i="12"/>
  <c r="DQ611" i="12"/>
  <c r="FJ601" i="12" l="1"/>
  <c r="FD601" i="12" s="1"/>
  <c r="HP588" i="12"/>
  <c r="HP337" i="12" s="1"/>
  <c r="H456" i="12" s="1"/>
  <c r="N456" i="12" s="1"/>
  <c r="GC588" i="12"/>
  <c r="FT589" i="12" s="1"/>
  <c r="FN592" i="12"/>
  <c r="FQ592" i="12" s="1"/>
  <c r="FJ592" i="12"/>
  <c r="FD592" i="12" s="1"/>
  <c r="Q547" i="12"/>
  <c r="K544" i="12"/>
  <c r="FN590" i="12"/>
  <c r="FQ590" i="12" s="1"/>
  <c r="FJ590" i="12"/>
  <c r="FD590" i="12" s="1"/>
  <c r="D67" i="14"/>
  <c r="C67" i="14" s="1"/>
  <c r="BD602" i="12"/>
  <c r="BE602" i="12" s="1"/>
  <c r="BL602" i="12"/>
  <c r="FN595" i="12"/>
  <c r="FQ595" i="12" s="1"/>
  <c r="FJ595" i="12"/>
  <c r="FD595" i="12" s="1"/>
  <c r="FN594" i="12"/>
  <c r="FQ594" i="12" s="1"/>
  <c r="FJ594" i="12"/>
  <c r="FD594" i="12" s="1"/>
  <c r="FN593" i="12"/>
  <c r="FQ593" i="12" s="1"/>
  <c r="FJ593" i="12"/>
  <c r="FD593" i="12" s="1"/>
  <c r="FN591" i="12"/>
  <c r="FQ591" i="12" s="1"/>
  <c r="FJ591" i="12"/>
  <c r="FD591" i="12" s="1"/>
  <c r="FN599" i="12"/>
  <c r="FQ599" i="12" s="1"/>
  <c r="FJ599" i="12"/>
  <c r="FD599" i="12" s="1"/>
  <c r="FN597" i="12"/>
  <c r="FQ597" i="12" s="1"/>
  <c r="FJ597" i="12"/>
  <c r="FD597" i="12" s="1"/>
  <c r="FJ598" i="12"/>
  <c r="FD598" i="12" s="1"/>
  <c r="FN598" i="12"/>
  <c r="FQ598" i="12" s="1"/>
  <c r="FN596" i="12"/>
  <c r="FQ596" i="12" s="1"/>
  <c r="FJ596" i="12"/>
  <c r="FD596" i="12" s="1"/>
  <c r="FN600" i="12"/>
  <c r="FQ600" i="12" s="1"/>
  <c r="FJ600" i="12"/>
  <c r="FD600" i="12" s="1"/>
  <c r="DX611" i="12"/>
  <c r="EA611" i="12" s="1"/>
  <c r="DK611" i="12" s="1"/>
  <c r="DD612" i="12" s="1"/>
  <c r="L287" i="12" l="1"/>
  <c r="G287" i="12"/>
  <c r="BR602" i="12"/>
  <c r="BH603" i="12" s="1"/>
  <c r="GH602" i="12"/>
  <c r="BW602" i="12"/>
  <c r="ER602" i="12"/>
  <c r="BO602" i="12"/>
  <c r="EX602" i="12"/>
  <c r="GU602" i="12"/>
  <c r="GV602" i="12" s="1"/>
  <c r="CU602" i="12"/>
  <c r="DC602" i="12"/>
  <c r="DP602" i="12" s="1"/>
  <c r="EF602" i="12"/>
  <c r="BG602" i="12"/>
  <c r="CE602" i="12"/>
  <c r="CM602" i="12"/>
  <c r="DH602" i="12"/>
  <c r="FY589" i="12"/>
  <c r="DQ612" i="12"/>
  <c r="DU612" i="12"/>
  <c r="FR602" i="12" l="1"/>
  <c r="GL602" i="12"/>
  <c r="GQ589" i="12"/>
  <c r="Y285" i="12"/>
  <c r="GC589" i="12"/>
  <c r="FT590" i="12" s="1"/>
  <c r="BD603" i="12"/>
  <c r="BE603" i="12" s="1"/>
  <c r="BL603" i="12"/>
  <c r="BR603" i="12" s="1"/>
  <c r="BH604" i="12" s="1"/>
  <c r="DX612" i="12"/>
  <c r="EA612" i="12" s="1"/>
  <c r="DK612" i="12" s="1"/>
  <c r="DD613" i="12" s="1"/>
  <c r="HQ589" i="12" l="1"/>
  <c r="BO603" i="12"/>
  <c r="CM603" i="12"/>
  <c r="BG603" i="12"/>
  <c r="EF603" i="12"/>
  <c r="CU603" i="12"/>
  <c r="BW603" i="12"/>
  <c r="DC603" i="12"/>
  <c r="DP603" i="12" s="1"/>
  <c r="GU603" i="12"/>
  <c r="GV603" i="12" s="1"/>
  <c r="ER603" i="12"/>
  <c r="CE603" i="12"/>
  <c r="EX603" i="12"/>
  <c r="DH603" i="12"/>
  <c r="BL604" i="12"/>
  <c r="GH604" i="12" s="1"/>
  <c r="BD604" i="12"/>
  <c r="BE604" i="12" s="1"/>
  <c r="GH603" i="12"/>
  <c r="FY590" i="12"/>
  <c r="AA285" i="12"/>
  <c r="G722" i="12"/>
  <c r="P722" i="12" s="1"/>
  <c r="V668" i="12"/>
  <c r="DU613" i="12"/>
  <c r="DQ613" i="12"/>
  <c r="K722" i="12" l="1"/>
  <c r="AT722" i="12" s="1"/>
  <c r="X722" i="12" s="1"/>
  <c r="S722" i="12"/>
  <c r="GC590" i="12"/>
  <c r="FT591" i="12" s="1"/>
  <c r="FY591" i="12" s="1"/>
  <c r="GQ590" i="12"/>
  <c r="HQ590" i="12" s="1"/>
  <c r="DC604" i="12"/>
  <c r="DP604" i="12" s="1"/>
  <c r="ER604" i="12"/>
  <c r="EX604" i="12"/>
  <c r="EF604" i="12"/>
  <c r="BG604" i="12"/>
  <c r="CU604" i="12"/>
  <c r="CM604" i="12"/>
  <c r="BO604" i="12"/>
  <c r="BW604" i="12"/>
  <c r="CE604" i="12"/>
  <c r="GU604" i="12"/>
  <c r="GV604" i="12" s="1"/>
  <c r="DH604" i="12"/>
  <c r="FR603" i="12"/>
  <c r="AP457" i="12"/>
  <c r="AH285" i="12"/>
  <c r="O668" i="12"/>
  <c r="Y668" i="12"/>
  <c r="BR604" i="12"/>
  <c r="BH605" i="12" s="1"/>
  <c r="GL603" i="12"/>
  <c r="DX613" i="12"/>
  <c r="AS55" i="22" s="1"/>
  <c r="AP55" i="22"/>
  <c r="GL604" i="12" l="1"/>
  <c r="GC591" i="12"/>
  <c r="FT592" i="12" s="1"/>
  <c r="FY592" i="12" s="1"/>
  <c r="GQ591" i="12"/>
  <c r="HQ591" i="12" s="1"/>
  <c r="AC722" i="12"/>
  <c r="FR604" i="12"/>
  <c r="BL605" i="12"/>
  <c r="BR605" i="12" s="1"/>
  <c r="BH606" i="12" s="1"/>
  <c r="BD605" i="12"/>
  <c r="BE605" i="12" s="1"/>
  <c r="AU285" i="12"/>
  <c r="F665" i="12"/>
  <c r="EA613" i="12"/>
  <c r="DK613" i="12" s="1"/>
  <c r="DD614" i="12" s="1"/>
  <c r="DQ614" i="12" s="1"/>
  <c r="AV53" i="22"/>
  <c r="AJ722" i="12" l="1"/>
  <c r="GC592" i="12"/>
  <c r="FT593" i="12" s="1"/>
  <c r="FY593" i="12" s="1"/>
  <c r="GQ592" i="12"/>
  <c r="AX722" i="12"/>
  <c r="BL606" i="12"/>
  <c r="BD606" i="12"/>
  <c r="BE606" i="12" s="1"/>
  <c r="I666" i="12"/>
  <c r="L667" i="12"/>
  <c r="F133" i="23"/>
  <c r="GU605" i="12"/>
  <c r="GV605" i="12" s="1"/>
  <c r="CU605" i="12"/>
  <c r="BG605" i="12"/>
  <c r="CE605" i="12"/>
  <c r="CM605" i="12"/>
  <c r="EF605" i="12"/>
  <c r="DC605" i="12"/>
  <c r="DP605" i="12" s="1"/>
  <c r="BW605" i="12"/>
  <c r="ER605" i="12"/>
  <c r="EX605" i="12"/>
  <c r="BO605" i="12"/>
  <c r="DH605" i="12"/>
  <c r="GH605" i="12"/>
  <c r="DU614" i="12"/>
  <c r="DX614" i="12" s="1"/>
  <c r="EA614" i="12" s="1"/>
  <c r="DK614" i="12" s="1"/>
  <c r="DD615" i="12" s="1"/>
  <c r="AG57" i="22"/>
  <c r="AF57" i="22" s="1"/>
  <c r="CA120" i="22" s="1"/>
  <c r="J549" i="12"/>
  <c r="CC118" i="22"/>
  <c r="CD118" i="22" s="1"/>
  <c r="AN53" i="22"/>
  <c r="HQ592" i="12" l="1"/>
  <c r="GC593" i="12"/>
  <c r="FT594" i="12" s="1"/>
  <c r="FY594" i="12" s="1"/>
  <c r="GQ594" i="12" s="1"/>
  <c r="GQ593" i="12"/>
  <c r="HQ593" i="12" s="1"/>
  <c r="FR605" i="12"/>
  <c r="J132" i="23"/>
  <c r="BO606" i="12"/>
  <c r="BG606" i="12"/>
  <c r="CU606" i="12"/>
  <c r="EX606" i="12"/>
  <c r="BW606" i="12"/>
  <c r="CE606" i="12"/>
  <c r="EF606" i="12"/>
  <c r="DC606" i="12"/>
  <c r="DP606" i="12" s="1"/>
  <c r="ER606" i="12"/>
  <c r="GU606" i="12"/>
  <c r="GV606" i="12" s="1"/>
  <c r="CM606" i="12"/>
  <c r="DH606" i="12"/>
  <c r="GL605" i="12"/>
  <c r="BR606" i="12"/>
  <c r="BH607" i="12" s="1"/>
  <c r="GH606" i="12"/>
  <c r="I554" i="12"/>
  <c r="O551" i="12" s="1"/>
  <c r="CB120" i="22"/>
  <c r="BZ119" i="22"/>
  <c r="DU615" i="12"/>
  <c r="DQ615" i="12"/>
  <c r="HQ594" i="12" l="1"/>
  <c r="GC594" i="12"/>
  <c r="FT595" i="12" s="1"/>
  <c r="FY595" i="12" s="1"/>
  <c r="GL606" i="12"/>
  <c r="BL607" i="12"/>
  <c r="BR607" i="12" s="1"/>
  <c r="BH608" i="12" s="1"/>
  <c r="BD607" i="12"/>
  <c r="BE607" i="12" s="1"/>
  <c r="FR606" i="12"/>
  <c r="DX615" i="12"/>
  <c r="EA615" i="12" s="1"/>
  <c r="DK615" i="12" s="1"/>
  <c r="DD616" i="12" s="1"/>
  <c r="GC595" i="12" l="1"/>
  <c r="FT596" i="12" s="1"/>
  <c r="FY596" i="12" s="1"/>
  <c r="GQ595" i="12"/>
  <c r="BD608" i="12"/>
  <c r="BE608" i="12" s="1"/>
  <c r="BL608" i="12"/>
  <c r="DC607" i="12"/>
  <c r="DP607" i="12" s="1"/>
  <c r="ER607" i="12"/>
  <c r="EX607" i="12"/>
  <c r="GU607" i="12"/>
  <c r="GV607" i="12" s="1"/>
  <c r="CU607" i="12"/>
  <c r="EF607" i="12"/>
  <c r="BG607" i="12"/>
  <c r="CE607" i="12"/>
  <c r="BW607" i="12"/>
  <c r="BO607" i="12"/>
  <c r="CM607" i="12"/>
  <c r="DH607" i="12"/>
  <c r="GH607" i="12"/>
  <c r="DU616" i="12"/>
  <c r="DQ616" i="12"/>
  <c r="HQ595" i="12" l="1"/>
  <c r="GC596" i="12"/>
  <c r="FT597" i="12" s="1"/>
  <c r="FY597" i="12" s="1"/>
  <c r="GQ596" i="12"/>
  <c r="HQ596" i="12" s="1"/>
  <c r="BR608" i="12"/>
  <c r="BH609" i="12" s="1"/>
  <c r="GH608" i="12"/>
  <c r="FR607" i="12"/>
  <c r="GL607" i="12"/>
  <c r="CM608" i="12"/>
  <c r="BO608" i="12"/>
  <c r="CU608" i="12"/>
  <c r="CE608" i="12"/>
  <c r="GU608" i="12"/>
  <c r="GV608" i="12" s="1"/>
  <c r="EF608" i="12"/>
  <c r="BW608" i="12"/>
  <c r="EX608" i="12"/>
  <c r="BG608" i="12"/>
  <c r="DC608" i="12"/>
  <c r="DP608" i="12" s="1"/>
  <c r="ER608" i="12"/>
  <c r="DH608" i="12"/>
  <c r="DX616" i="12"/>
  <c r="EA616" i="12" s="1"/>
  <c r="DK616" i="12" s="1"/>
  <c r="DD617" i="12" s="1"/>
  <c r="GC597" i="12" l="1"/>
  <c r="FT598" i="12" s="1"/>
  <c r="FY598" i="12" s="1"/>
  <c r="GQ598" i="12" s="1"/>
  <c r="GQ597" i="12"/>
  <c r="HQ597" i="12" s="1"/>
  <c r="FR608" i="12"/>
  <c r="GL608" i="12"/>
  <c r="BD609" i="12"/>
  <c r="BE609" i="12" s="1"/>
  <c r="BL609" i="12"/>
  <c r="GH609" i="12" s="1"/>
  <c r="DU617" i="12"/>
  <c r="DQ617" i="12"/>
  <c r="HQ598" i="12" l="1"/>
  <c r="BR609" i="12"/>
  <c r="BH610" i="12" s="1"/>
  <c r="BD610" i="12" s="1"/>
  <c r="BE610" i="12" s="1"/>
  <c r="GC598" i="12"/>
  <c r="FT599" i="12" s="1"/>
  <c r="FY599" i="12" s="1"/>
  <c r="GQ599" i="12" s="1"/>
  <c r="DC609" i="12"/>
  <c r="DP609" i="12" s="1"/>
  <c r="GU609" i="12"/>
  <c r="GV609" i="12" s="1"/>
  <c r="BG609" i="12"/>
  <c r="EF609" i="12"/>
  <c r="CE609" i="12"/>
  <c r="BW609" i="12"/>
  <c r="EX609" i="12"/>
  <c r="CM609" i="12"/>
  <c r="BO609" i="12"/>
  <c r="CU609" i="12"/>
  <c r="ER609" i="12"/>
  <c r="DH609" i="12"/>
  <c r="DX617" i="12"/>
  <c r="EA617" i="12" s="1"/>
  <c r="DK617" i="12" s="1"/>
  <c r="DD618" i="12" s="1"/>
  <c r="BL610" i="12" l="1"/>
  <c r="GH610" i="12" s="1"/>
  <c r="HQ599" i="12"/>
  <c r="GC599" i="12"/>
  <c r="FT600" i="12" s="1"/>
  <c r="FY600" i="12" s="1"/>
  <c r="FR609" i="12"/>
  <c r="BG610" i="12"/>
  <c r="DC610" i="12"/>
  <c r="DP610" i="12" s="1"/>
  <c r="CM610" i="12"/>
  <c r="EF610" i="12"/>
  <c r="GU610" i="12"/>
  <c r="GV610" i="12" s="1"/>
  <c r="BO610" i="12"/>
  <c r="BW610" i="12"/>
  <c r="EX610" i="12"/>
  <c r="CE610" i="12"/>
  <c r="CU610" i="12"/>
  <c r="ER610" i="12"/>
  <c r="DH610" i="12"/>
  <c r="GL609" i="12"/>
  <c r="DU618" i="12"/>
  <c r="DQ618" i="12"/>
  <c r="BR610" i="12" l="1"/>
  <c r="BH611" i="12" s="1"/>
  <c r="GC600" i="12"/>
  <c r="FT601" i="12" s="1"/>
  <c r="FY601" i="12" s="1"/>
  <c r="GC601" i="12" s="1"/>
  <c r="GQ600" i="12"/>
  <c r="FR610" i="12"/>
  <c r="GL610" i="12"/>
  <c r="DX618" i="12"/>
  <c r="EA618" i="12" s="1"/>
  <c r="DK618" i="12" s="1"/>
  <c r="DD619" i="12" s="1"/>
  <c r="BD611" i="12" l="1"/>
  <c r="BE611" i="12" s="1"/>
  <c r="BL611" i="12"/>
  <c r="HQ600" i="12"/>
  <c r="HQ337" i="12" s="1"/>
  <c r="H457" i="12" s="1"/>
  <c r="N457" i="12" s="1"/>
  <c r="GQ601" i="12"/>
  <c r="Y287" i="12"/>
  <c r="DU619" i="12"/>
  <c r="DQ619" i="12"/>
  <c r="GH611" i="12" l="1"/>
  <c r="BR611" i="12"/>
  <c r="BH612" i="12" s="1"/>
  <c r="BG611" i="12"/>
  <c r="BO611" i="12"/>
  <c r="ER611" i="12"/>
  <c r="EF611" i="12"/>
  <c r="DC611" i="12"/>
  <c r="DP611" i="12" s="1"/>
  <c r="CU611" i="12"/>
  <c r="DH611" i="12"/>
  <c r="EX611" i="12"/>
  <c r="CE611" i="12"/>
  <c r="BW611" i="12"/>
  <c r="GU611" i="12"/>
  <c r="GV611" i="12" s="1"/>
  <c r="FR611" i="12" s="1"/>
  <c r="CM611" i="12"/>
  <c r="HR601" i="12"/>
  <c r="AA287" i="12"/>
  <c r="G723" i="12"/>
  <c r="P723" i="12" s="1"/>
  <c r="V673" i="12"/>
  <c r="DX619" i="12"/>
  <c r="EA619" i="12" s="1"/>
  <c r="DK619" i="12" s="1"/>
  <c r="DD620" i="12" s="1"/>
  <c r="K723" i="12" l="1"/>
  <c r="AT723" i="12" s="1"/>
  <c r="X723" i="12" s="1"/>
  <c r="AC723" i="12" s="1"/>
  <c r="S723" i="12"/>
  <c r="GL611" i="12"/>
  <c r="BD612" i="12"/>
  <c r="BE612" i="12" s="1"/>
  <c r="BL612" i="12"/>
  <c r="GH612" i="12" s="1"/>
  <c r="O673" i="12"/>
  <c r="Y673" i="12"/>
  <c r="AP458" i="12"/>
  <c r="AH287" i="12"/>
  <c r="DU620" i="12"/>
  <c r="DQ620" i="12"/>
  <c r="BR612" i="12" l="1"/>
  <c r="BH613" i="12" s="1"/>
  <c r="BL613" i="12" s="1"/>
  <c r="DC612" i="12"/>
  <c r="DP612" i="12" s="1"/>
  <c r="CM612" i="12"/>
  <c r="EX612" i="12"/>
  <c r="BW612" i="12"/>
  <c r="ER612" i="12"/>
  <c r="GU612" i="12"/>
  <c r="GV612" i="12" s="1"/>
  <c r="FR612" i="12" s="1"/>
  <c r="BG612" i="12"/>
  <c r="DH612" i="12"/>
  <c r="CE612" i="12"/>
  <c r="EF612" i="12"/>
  <c r="CU612" i="12"/>
  <c r="BO612" i="12"/>
  <c r="AJ723" i="12"/>
  <c r="AU287" i="12"/>
  <c r="F670" i="12"/>
  <c r="AX723" i="12"/>
  <c r="DX620" i="12"/>
  <c r="EA620" i="12" s="1"/>
  <c r="DK620" i="12" s="1"/>
  <c r="DD621" i="12" s="1"/>
  <c r="GL612" i="12" l="1"/>
  <c r="BR613" i="12"/>
  <c r="BD613" i="12"/>
  <c r="BE613" i="12" s="1"/>
  <c r="DC613" i="12" s="1"/>
  <c r="DP613" i="12" s="1"/>
  <c r="GH613" i="12"/>
  <c r="O289" i="12" s="1"/>
  <c r="M67" i="14"/>
  <c r="L672" i="12"/>
  <c r="F134" i="23"/>
  <c r="I671" i="12"/>
  <c r="DU621" i="12"/>
  <c r="DQ621" i="12"/>
  <c r="CM613" i="12" l="1"/>
  <c r="BO613" i="12"/>
  <c r="J67" i="14" s="1"/>
  <c r="P67" i="14" s="1"/>
  <c r="BW613" i="12"/>
  <c r="CE613" i="12"/>
  <c r="J67" i="15" s="1"/>
  <c r="P67" i="15" s="1"/>
  <c r="GU613" i="12"/>
  <c r="GV613" i="12" s="1"/>
  <c r="DH613" i="12"/>
  <c r="AJ55" i="22" s="1"/>
  <c r="EF613" i="12"/>
  <c r="S289" i="12" s="1"/>
  <c r="EX613" i="12"/>
  <c r="FL606" i="12" s="1"/>
  <c r="CU613" i="12"/>
  <c r="J67" i="16" s="1"/>
  <c r="P67" i="16" s="1"/>
  <c r="BG613" i="12"/>
  <c r="ER613" i="12"/>
  <c r="V289" i="12" s="1"/>
  <c r="BH614" i="12"/>
  <c r="F550" i="12"/>
  <c r="G67" i="14"/>
  <c r="J133" i="23"/>
  <c r="DX621" i="12"/>
  <c r="EA621" i="12" s="1"/>
  <c r="DK621" i="12" s="1"/>
  <c r="DD622" i="12" s="1"/>
  <c r="K547" i="12" l="1"/>
  <c r="Q550" i="12"/>
  <c r="FL605" i="12"/>
  <c r="FJ605" i="12" s="1"/>
  <c r="FD605" i="12" s="1"/>
  <c r="FL607" i="12"/>
  <c r="FJ607" i="12" s="1"/>
  <c r="FD607" i="12" s="1"/>
  <c r="FL611" i="12"/>
  <c r="FN611" i="12" s="1"/>
  <c r="FQ611" i="12" s="1"/>
  <c r="FL613" i="12"/>
  <c r="FN613" i="12" s="1"/>
  <c r="FQ613" i="12" s="1"/>
  <c r="FL603" i="12"/>
  <c r="FJ603" i="12" s="1"/>
  <c r="FD603" i="12" s="1"/>
  <c r="FL602" i="12"/>
  <c r="FN602" i="12" s="1"/>
  <c r="FQ602" i="12" s="1"/>
  <c r="FL610" i="12"/>
  <c r="FJ610" i="12" s="1"/>
  <c r="FD610" i="12" s="1"/>
  <c r="GL613" i="12"/>
  <c r="Q289" i="12" s="1"/>
  <c r="FL609" i="12"/>
  <c r="FJ609" i="12" s="1"/>
  <c r="FD609" i="12" s="1"/>
  <c r="FL608" i="12"/>
  <c r="FJ608" i="12" s="1"/>
  <c r="FD608" i="12" s="1"/>
  <c r="FL612" i="12"/>
  <c r="FJ612" i="12" s="1"/>
  <c r="FD612" i="12" s="1"/>
  <c r="FL604" i="12"/>
  <c r="FN604" i="12" s="1"/>
  <c r="FQ604" i="12" s="1"/>
  <c r="D69" i="14"/>
  <c r="C69" i="14" s="1"/>
  <c r="BL614" i="12"/>
  <c r="BD614" i="12"/>
  <c r="BE614" i="12" s="1"/>
  <c r="FJ606" i="12"/>
  <c r="FD606" i="12" s="1"/>
  <c r="FN606" i="12"/>
  <c r="FQ606" i="12" s="1"/>
  <c r="DU622" i="12"/>
  <c r="DQ622" i="12"/>
  <c r="FN603" i="12" l="1"/>
  <c r="FQ603" i="12" s="1"/>
  <c r="FN605" i="12"/>
  <c r="FQ605" i="12" s="1"/>
  <c r="FN607" i="12"/>
  <c r="FQ607" i="12" s="1"/>
  <c r="FJ611" i="12"/>
  <c r="FD611" i="12" s="1"/>
  <c r="FJ613" i="12"/>
  <c r="FD613" i="12" s="1"/>
  <c r="FN610" i="12"/>
  <c r="FQ610" i="12" s="1"/>
  <c r="FJ602" i="12"/>
  <c r="FD602" i="12" s="1"/>
  <c r="FT602" i="12" s="1"/>
  <c r="FN609" i="12"/>
  <c r="FQ609" i="12" s="1"/>
  <c r="FJ604" i="12"/>
  <c r="FD604" i="12" s="1"/>
  <c r="FN612" i="12"/>
  <c r="FQ612" i="12" s="1"/>
  <c r="FN608" i="12"/>
  <c r="FQ608" i="12" s="1"/>
  <c r="EX614" i="12"/>
  <c r="ER614" i="12"/>
  <c r="GU614" i="12"/>
  <c r="GV614" i="12" s="1"/>
  <c r="FR614" i="12" s="1"/>
  <c r="CM614" i="12"/>
  <c r="CE614" i="12"/>
  <c r="BW614" i="12"/>
  <c r="DC614" i="12"/>
  <c r="DP614" i="12" s="1"/>
  <c r="BO614" i="12"/>
  <c r="BG614" i="12"/>
  <c r="CU614" i="12"/>
  <c r="EF614" i="12"/>
  <c r="DH614" i="12"/>
  <c r="BR614" i="12"/>
  <c r="BH615" i="12" s="1"/>
  <c r="GH614" i="12"/>
  <c r="DX622" i="12"/>
  <c r="EA622" i="12" s="1"/>
  <c r="DK622" i="12" s="1"/>
  <c r="DD623" i="12" s="1"/>
  <c r="L289" i="12" l="1"/>
  <c r="G289" i="12"/>
  <c r="GL614" i="12"/>
  <c r="BL615" i="12"/>
  <c r="GH615" i="12" s="1"/>
  <c r="BD615" i="12"/>
  <c r="BE615" i="12" s="1"/>
  <c r="FY602" i="12"/>
  <c r="GQ602" i="12" s="1"/>
  <c r="HR602" i="12" s="1"/>
  <c r="DU623" i="12"/>
  <c r="DQ623" i="12"/>
  <c r="BR615" i="12" l="1"/>
  <c r="BH616" i="12" s="1"/>
  <c r="GU615" i="12"/>
  <c r="GV615" i="12" s="1"/>
  <c r="FR615" i="12" s="1"/>
  <c r="BW615" i="12"/>
  <c r="DC615" i="12"/>
  <c r="DP615" i="12" s="1"/>
  <c r="CE615" i="12"/>
  <c r="ER615" i="12"/>
  <c r="DH615" i="12"/>
  <c r="CM615" i="12"/>
  <c r="BG615" i="12"/>
  <c r="EX615" i="12"/>
  <c r="CU615" i="12"/>
  <c r="BO615" i="12"/>
  <c r="EF615" i="12"/>
  <c r="GC602" i="12"/>
  <c r="FT603" i="12" s="1"/>
  <c r="FY603" i="12" s="1"/>
  <c r="GQ603" i="12" s="1"/>
  <c r="HR603" i="12" s="1"/>
  <c r="DX623" i="12"/>
  <c r="EA623" i="12" s="1"/>
  <c r="DK623" i="12" s="1"/>
  <c r="DD624" i="12" s="1"/>
  <c r="BD616" i="12" l="1"/>
  <c r="BE616" i="12" s="1"/>
  <c r="BL616" i="12"/>
  <c r="GH616" i="12" s="1"/>
  <c r="GL615" i="12"/>
  <c r="GC603" i="12"/>
  <c r="FT604" i="12" s="1"/>
  <c r="FY604" i="12" s="1"/>
  <c r="DU624" i="12"/>
  <c r="DQ624" i="12"/>
  <c r="BR616" i="12" l="1"/>
  <c r="BH617" i="12" s="1"/>
  <c r="EX616" i="12"/>
  <c r="DH616" i="12"/>
  <c r="BW616" i="12"/>
  <c r="DC616" i="12"/>
  <c r="DP616" i="12" s="1"/>
  <c r="CE616" i="12"/>
  <c r="BO616" i="12"/>
  <c r="BG616" i="12"/>
  <c r="CU616" i="12"/>
  <c r="ER616" i="12"/>
  <c r="CM616" i="12"/>
  <c r="GU616" i="12"/>
  <c r="GV616" i="12" s="1"/>
  <c r="FR616" i="12" s="1"/>
  <c r="EF616" i="12"/>
  <c r="GQ604" i="12"/>
  <c r="GC604" i="12"/>
  <c r="FT605" i="12" s="1"/>
  <c r="FY605" i="12" s="1"/>
  <c r="GQ605" i="12" s="1"/>
  <c r="HR605" i="12" s="1"/>
  <c r="HR604" i="12"/>
  <c r="DX624" i="12"/>
  <c r="EA624" i="12" s="1"/>
  <c r="DK624" i="12" s="1"/>
  <c r="DD625" i="12" s="1"/>
  <c r="GL616" i="12" l="1"/>
  <c r="BL617" i="12"/>
  <c r="GH617" i="12" s="1"/>
  <c r="BD617" i="12"/>
  <c r="BE617" i="12" s="1"/>
  <c r="GC605" i="12"/>
  <c r="FT606" i="12" s="1"/>
  <c r="FY606" i="12" s="1"/>
  <c r="GQ606" i="12" s="1"/>
  <c r="HR606" i="12" s="1"/>
  <c r="DQ625" i="12"/>
  <c r="DU625" i="12"/>
  <c r="BR617" i="12" l="1"/>
  <c r="BH618" i="12" s="1"/>
  <c r="CE617" i="12"/>
  <c r="BW617" i="12"/>
  <c r="CU617" i="12"/>
  <c r="EX617" i="12"/>
  <c r="DC617" i="12"/>
  <c r="DP617" i="12" s="1"/>
  <c r="BO617" i="12"/>
  <c r="CM617" i="12"/>
  <c r="ER617" i="12"/>
  <c r="GU617" i="12"/>
  <c r="GV617" i="12" s="1"/>
  <c r="FR617" i="12" s="1"/>
  <c r="EF617" i="12"/>
  <c r="DH617" i="12"/>
  <c r="BG617" i="12"/>
  <c r="GC606" i="12"/>
  <c r="FT607" i="12" s="1"/>
  <c r="FY607" i="12" s="1"/>
  <c r="GQ607" i="12" s="1"/>
  <c r="HR607" i="12" s="1"/>
  <c r="AP57" i="22"/>
  <c r="DX625" i="12"/>
  <c r="AS57" i="22" s="1"/>
  <c r="GL617" i="12" l="1"/>
  <c r="BL618" i="12"/>
  <c r="GH618" i="12" s="1"/>
  <c r="BD618" i="12"/>
  <c r="BE618" i="12" s="1"/>
  <c r="GC607" i="12"/>
  <c r="FT608" i="12" s="1"/>
  <c r="EA625" i="12"/>
  <c r="DK625" i="12" s="1"/>
  <c r="DD626" i="12" s="1"/>
  <c r="AV55" i="22"/>
  <c r="BR618" i="12" l="1"/>
  <c r="BH619" i="12" s="1"/>
  <c r="BD619" i="12" s="1"/>
  <c r="BE619" i="12" s="1"/>
  <c r="CE618" i="12"/>
  <c r="EX618" i="12"/>
  <c r="EF618" i="12"/>
  <c r="BO618" i="12"/>
  <c r="BW618" i="12"/>
  <c r="DH618" i="12"/>
  <c r="ER618" i="12"/>
  <c r="BG618" i="12"/>
  <c r="DC618" i="12"/>
  <c r="DP618" i="12" s="1"/>
  <c r="CM618" i="12"/>
  <c r="CU618" i="12"/>
  <c r="GU618" i="12"/>
  <c r="GV618" i="12" s="1"/>
  <c r="FR618" i="12" s="1"/>
  <c r="FY608" i="12"/>
  <c r="GQ608" i="12" s="1"/>
  <c r="CC119" i="22"/>
  <c r="CD119" i="22" s="1"/>
  <c r="AN55" i="22"/>
  <c r="J552" i="12"/>
  <c r="DU626" i="12"/>
  <c r="DQ626" i="12"/>
  <c r="AG59" i="22"/>
  <c r="BL619" i="12" l="1"/>
  <c r="GH619" i="12" s="1"/>
  <c r="CE619" i="12"/>
  <c r="CU619" i="12"/>
  <c r="BG619" i="12"/>
  <c r="CM619" i="12"/>
  <c r="BO619" i="12"/>
  <c r="EX619" i="12"/>
  <c r="BW619" i="12"/>
  <c r="DC619" i="12"/>
  <c r="DP619" i="12" s="1"/>
  <c r="GU619" i="12"/>
  <c r="GV619" i="12" s="1"/>
  <c r="FR619" i="12" s="1"/>
  <c r="EF619" i="12"/>
  <c r="DH619" i="12"/>
  <c r="ER619" i="12"/>
  <c r="GL618" i="12"/>
  <c r="GC608" i="12"/>
  <c r="FT609" i="12" s="1"/>
  <c r="FY609" i="12" s="1"/>
  <c r="GQ609" i="12" s="1"/>
  <c r="HR609" i="12" s="1"/>
  <c r="HR608" i="12"/>
  <c r="I557" i="12"/>
  <c r="AF59" i="22"/>
  <c r="CA121" i="22" s="1"/>
  <c r="CB121" i="22"/>
  <c r="DX626" i="12"/>
  <c r="BR619" i="12" l="1"/>
  <c r="BH620" i="12" s="1"/>
  <c r="BL620" i="12" s="1"/>
  <c r="GH620" i="12" s="1"/>
  <c r="GL619" i="12"/>
  <c r="GC609" i="12"/>
  <c r="FT610" i="12" s="1"/>
  <c r="FY610" i="12" s="1"/>
  <c r="GQ610" i="12" s="1"/>
  <c r="BZ120" i="22"/>
  <c r="EA626" i="12"/>
  <c r="DK626" i="12" s="1"/>
  <c r="DD627" i="12" s="1"/>
  <c r="O554" i="12"/>
  <c r="BR620" i="12" l="1"/>
  <c r="BH621" i="12" s="1"/>
  <c r="BD621" i="12" s="1"/>
  <c r="BE621" i="12" s="1"/>
  <c r="GU621" i="12" s="1"/>
  <c r="BD620" i="12"/>
  <c r="BE620" i="12" s="1"/>
  <c r="GU620" i="12" s="1"/>
  <c r="GC610" i="12"/>
  <c r="FT611" i="12" s="1"/>
  <c r="FY611" i="12" s="1"/>
  <c r="GC611" i="12" s="1"/>
  <c r="FT612" i="12" s="1"/>
  <c r="HR610" i="12"/>
  <c r="DU627" i="12"/>
  <c r="DQ627" i="12"/>
  <c r="EX621" i="12" l="1"/>
  <c r="EF621" i="12"/>
  <c r="CM621" i="12"/>
  <c r="DH621" i="12"/>
  <c r="ER621" i="12"/>
  <c r="CE621" i="12"/>
  <c r="BL621" i="12"/>
  <c r="GH621" i="12" s="1"/>
  <c r="BO621" i="12"/>
  <c r="BW621" i="12"/>
  <c r="EF620" i="12"/>
  <c r="CU621" i="12"/>
  <c r="DH620" i="12"/>
  <c r="EX620" i="12"/>
  <c r="CU620" i="12"/>
  <c r="ER620" i="12"/>
  <c r="DC621" i="12"/>
  <c r="DP621" i="12" s="1"/>
  <c r="BG621" i="12"/>
  <c r="GV620" i="12"/>
  <c r="FR620" i="12" s="1"/>
  <c r="GV621" i="12"/>
  <c r="FR621" i="12" s="1"/>
  <c r="BO620" i="12"/>
  <c r="BW620" i="12"/>
  <c r="CM620" i="12"/>
  <c r="DC620" i="12"/>
  <c r="DP620" i="12" s="1"/>
  <c r="BG620" i="12"/>
  <c r="CE620" i="12"/>
  <c r="FY612" i="12"/>
  <c r="GQ612" i="12" s="1"/>
  <c r="GQ611" i="12"/>
  <c r="DX627" i="12"/>
  <c r="BR621" i="12" l="1"/>
  <c r="BH622" i="12" s="1"/>
  <c r="BD622" i="12" s="1"/>
  <c r="BE622" i="12" s="1"/>
  <c r="CM622" i="12" s="1"/>
  <c r="GL621" i="12"/>
  <c r="HR612" i="12"/>
  <c r="GL620" i="12"/>
  <c r="HR611" i="12"/>
  <c r="HR337" i="12" s="1"/>
  <c r="H458" i="12" s="1"/>
  <c r="N458" i="12" s="1"/>
  <c r="GC612" i="12"/>
  <c r="FT613" i="12" s="1"/>
  <c r="EA627" i="12"/>
  <c r="DK627" i="12" s="1"/>
  <c r="DD628" i="12" s="1"/>
  <c r="EF622" i="12" l="1"/>
  <c r="BG622" i="12"/>
  <c r="EX622" i="12"/>
  <c r="ER622" i="12"/>
  <c r="BL622" i="12"/>
  <c r="GH622" i="12" s="1"/>
  <c r="DC622" i="12"/>
  <c r="DP622" i="12" s="1"/>
  <c r="CE622" i="12"/>
  <c r="CU622" i="12"/>
  <c r="BO622" i="12"/>
  <c r="DH622" i="12"/>
  <c r="GU622" i="12"/>
  <c r="GV622" i="12" s="1"/>
  <c r="FR622" i="12" s="1"/>
  <c r="BW622" i="12"/>
  <c r="FY613" i="12"/>
  <c r="GC613" i="12" s="1"/>
  <c r="DQ628" i="12"/>
  <c r="DU628" i="12"/>
  <c r="GL622" i="12" l="1"/>
  <c r="BR622" i="12"/>
  <c r="BH623" i="12" s="1"/>
  <c r="BD623" i="12" s="1"/>
  <c r="BE623" i="12" s="1"/>
  <c r="CU623" i="12" s="1"/>
  <c r="GQ613" i="12"/>
  <c r="HS613" i="12" s="1"/>
  <c r="Y289" i="12"/>
  <c r="DX628" i="12"/>
  <c r="GU623" i="12" l="1"/>
  <c r="GV623" i="12" s="1"/>
  <c r="FR623" i="12" s="1"/>
  <c r="EX623" i="12"/>
  <c r="BW623" i="12"/>
  <c r="BO623" i="12"/>
  <c r="DH623" i="12"/>
  <c r="BL623" i="12"/>
  <c r="GH623" i="12" s="1"/>
  <c r="CE623" i="12"/>
  <c r="GL623" i="12" s="1"/>
  <c r="BG623" i="12"/>
  <c r="ER623" i="12"/>
  <c r="CM623" i="12"/>
  <c r="DC623" i="12"/>
  <c r="DP623" i="12" s="1"/>
  <c r="EF623" i="12"/>
  <c r="AA289" i="12"/>
  <c r="G724" i="12"/>
  <c r="P724" i="12" s="1"/>
  <c r="V678" i="12"/>
  <c r="EA628" i="12"/>
  <c r="DK628" i="12" s="1"/>
  <c r="DD629" i="12" s="1"/>
  <c r="BR623" i="12" l="1"/>
  <c r="BH624" i="12" s="1"/>
  <c r="BL624" i="12" s="1"/>
  <c r="GH624" i="12" s="1"/>
  <c r="K724" i="12"/>
  <c r="AT724" i="12" s="1"/>
  <c r="X724" i="12" s="1"/>
  <c r="S724" i="12"/>
  <c r="Y678" i="12"/>
  <c r="O678" i="12"/>
  <c r="AP459" i="12"/>
  <c r="AH289" i="12"/>
  <c r="DU629" i="12"/>
  <c r="DQ629" i="12"/>
  <c r="BD624" i="12" l="1"/>
  <c r="BE624" i="12" s="1"/>
  <c r="CU624" i="12" s="1"/>
  <c r="BR624" i="12"/>
  <c r="BH625" i="12" s="1"/>
  <c r="AC724" i="12"/>
  <c r="AX724" i="12" s="1"/>
  <c r="AU289" i="12"/>
  <c r="F675" i="12"/>
  <c r="DX629" i="12"/>
  <c r="EA629" i="12" s="1"/>
  <c r="DK629" i="12" s="1"/>
  <c r="DD630" i="12" s="1"/>
  <c r="ER624" i="12" l="1"/>
  <c r="GU624" i="12"/>
  <c r="GV624" i="12" s="1"/>
  <c r="FR624" i="12" s="1"/>
  <c r="CM624" i="12"/>
  <c r="BO624" i="12"/>
  <c r="DH624" i="12"/>
  <c r="DC624" i="12"/>
  <c r="DP624" i="12" s="1"/>
  <c r="BG624" i="12"/>
  <c r="CE624" i="12"/>
  <c r="EF624" i="12"/>
  <c r="BW624" i="12"/>
  <c r="EX624" i="12"/>
  <c r="BD625" i="12"/>
  <c r="BE625" i="12" s="1"/>
  <c r="BL625" i="12"/>
  <c r="AJ724" i="12"/>
  <c r="I676" i="12"/>
  <c r="F135" i="23"/>
  <c r="J134" i="23" s="1"/>
  <c r="L677" i="12"/>
  <c r="DU630" i="12"/>
  <c r="DQ630" i="12"/>
  <c r="GL624" i="12" l="1"/>
  <c r="BR625" i="12"/>
  <c r="M69" i="14"/>
  <c r="GH625" i="12"/>
  <c r="O291" i="12" s="1"/>
  <c r="CM625" i="12"/>
  <c r="BG625" i="12"/>
  <c r="BO625" i="12"/>
  <c r="EX625" i="12"/>
  <c r="CU625" i="12"/>
  <c r="J69" i="16" s="1"/>
  <c r="P69" i="16" s="1"/>
  <c r="DC625" i="12"/>
  <c r="DP625" i="12" s="1"/>
  <c r="ER625" i="12"/>
  <c r="V291" i="12" s="1"/>
  <c r="DH625" i="12"/>
  <c r="AJ57" i="22" s="1"/>
  <c r="CE625" i="12"/>
  <c r="J69" i="15" s="1"/>
  <c r="P69" i="15" s="1"/>
  <c r="EF625" i="12"/>
  <c r="S291" i="12" s="1"/>
  <c r="GU625" i="12"/>
  <c r="GV625" i="12" s="1"/>
  <c r="BW625" i="12"/>
  <c r="DX630" i="12"/>
  <c r="EA630" i="12" s="1"/>
  <c r="DK630" i="12" s="1"/>
  <c r="DD631" i="12" s="1"/>
  <c r="GL625" i="12" l="1"/>
  <c r="Q291" i="12" s="1"/>
  <c r="J69" i="14"/>
  <c r="P69" i="14" s="1"/>
  <c r="FL614" i="12"/>
  <c r="FL616" i="12"/>
  <c r="FL624" i="12"/>
  <c r="FL620" i="12"/>
  <c r="FL623" i="12"/>
  <c r="FL618" i="12"/>
  <c r="FL625" i="12"/>
  <c r="FN625" i="12" s="1"/>
  <c r="FQ625" i="12" s="1"/>
  <c r="FL615" i="12"/>
  <c r="FL619" i="12"/>
  <c r="FL621" i="12"/>
  <c r="FL622" i="12"/>
  <c r="FL617" i="12"/>
  <c r="G69" i="14"/>
  <c r="BH626" i="12"/>
  <c r="F553" i="12"/>
  <c r="DQ631" i="12"/>
  <c r="DU631" i="12"/>
  <c r="K550" i="12" l="1"/>
  <c r="Q553" i="12"/>
  <c r="FJ625" i="12"/>
  <c r="FD625" i="12" s="1"/>
  <c r="FJ620" i="12"/>
  <c r="FD620" i="12" s="1"/>
  <c r="FN620" i="12"/>
  <c r="FQ620" i="12" s="1"/>
  <c r="FN618" i="12"/>
  <c r="FQ618" i="12" s="1"/>
  <c r="FJ618" i="12"/>
  <c r="FD618" i="12" s="1"/>
  <c r="FN624" i="12"/>
  <c r="FQ624" i="12" s="1"/>
  <c r="FJ624" i="12"/>
  <c r="FD624" i="12" s="1"/>
  <c r="FN617" i="12"/>
  <c r="FQ617" i="12" s="1"/>
  <c r="FJ617" i="12"/>
  <c r="FD617" i="12" s="1"/>
  <c r="FJ616" i="12"/>
  <c r="FD616" i="12" s="1"/>
  <c r="FN616" i="12"/>
  <c r="FQ616" i="12" s="1"/>
  <c r="FN623" i="12"/>
  <c r="FQ623" i="12" s="1"/>
  <c r="FJ623" i="12"/>
  <c r="FD623" i="12" s="1"/>
  <c r="FJ614" i="12"/>
  <c r="FD614" i="12" s="1"/>
  <c r="FN614" i="12"/>
  <c r="FQ614" i="12" s="1"/>
  <c r="FJ621" i="12"/>
  <c r="FD621" i="12" s="1"/>
  <c r="FN621" i="12"/>
  <c r="FQ621" i="12" s="1"/>
  <c r="FJ615" i="12"/>
  <c r="FD615" i="12" s="1"/>
  <c r="FN615" i="12"/>
  <c r="FQ615" i="12" s="1"/>
  <c r="FN622" i="12"/>
  <c r="FQ622" i="12" s="1"/>
  <c r="FJ622" i="12"/>
  <c r="FD622" i="12" s="1"/>
  <c r="FN619" i="12"/>
  <c r="FQ619" i="12" s="1"/>
  <c r="FJ619" i="12"/>
  <c r="FD619" i="12" s="1"/>
  <c r="BL626" i="12"/>
  <c r="D71" i="14"/>
  <c r="C71" i="14" s="1"/>
  <c r="BD626" i="12"/>
  <c r="BE626" i="12" s="1"/>
  <c r="DX631" i="12"/>
  <c r="EA631" i="12" s="1"/>
  <c r="DK631" i="12" s="1"/>
  <c r="DD632" i="12" s="1"/>
  <c r="G291" i="12" l="1"/>
  <c r="L291" i="12"/>
  <c r="FT614" i="12"/>
  <c r="FY614" i="12" s="1"/>
  <c r="GQ614" i="12" s="1"/>
  <c r="HS614" i="12" s="1"/>
  <c r="GH626" i="12"/>
  <c r="BR626" i="12"/>
  <c r="BH627" i="12" s="1"/>
  <c r="CE626" i="12"/>
  <c r="DC626" i="12"/>
  <c r="DP626" i="12" s="1"/>
  <c r="ER626" i="12"/>
  <c r="GU626" i="12"/>
  <c r="GV626" i="12" s="1"/>
  <c r="FR626" i="12" s="1"/>
  <c r="EF626" i="12"/>
  <c r="BW626" i="12"/>
  <c r="BO626" i="12"/>
  <c r="DH626" i="12"/>
  <c r="CU626" i="12"/>
  <c r="BG626" i="12"/>
  <c r="EX626" i="12"/>
  <c r="CM626" i="12"/>
  <c r="DQ632" i="12"/>
  <c r="DU632" i="12"/>
  <c r="GC614" i="12" l="1"/>
  <c r="FT615" i="12" s="1"/>
  <c r="FY615" i="12" s="1"/>
  <c r="GQ615" i="12" s="1"/>
  <c r="HS615" i="12" s="1"/>
  <c r="BD627" i="12"/>
  <c r="BE627" i="12" s="1"/>
  <c r="BL627" i="12"/>
  <c r="GH627" i="12" s="1"/>
  <c r="GL626" i="12"/>
  <c r="DX632" i="12"/>
  <c r="EA632" i="12" s="1"/>
  <c r="DK632" i="12" s="1"/>
  <c r="DD633" i="12" s="1"/>
  <c r="GC615" i="12" l="1"/>
  <c r="FT616" i="12" s="1"/>
  <c r="FY616" i="12" s="1"/>
  <c r="GQ616" i="12" s="1"/>
  <c r="HS616" i="12" s="1"/>
  <c r="BR627" i="12"/>
  <c r="BH628" i="12" s="1"/>
  <c r="BL628" i="12" s="1"/>
  <c r="CM627" i="12"/>
  <c r="DC627" i="12"/>
  <c r="DP627" i="12" s="1"/>
  <c r="ER627" i="12"/>
  <c r="GU627" i="12"/>
  <c r="GV627" i="12" s="1"/>
  <c r="FR627" i="12" s="1"/>
  <c r="BO627" i="12"/>
  <c r="CU627" i="12"/>
  <c r="EX627" i="12"/>
  <c r="DH627" i="12"/>
  <c r="CE627" i="12"/>
  <c r="BG627" i="12"/>
  <c r="EF627" i="12"/>
  <c r="BW627" i="12"/>
  <c r="DU633" i="12"/>
  <c r="DQ633" i="12"/>
  <c r="BD628" i="12" l="1"/>
  <c r="BE628" i="12" s="1"/>
  <c r="DH628" i="12" s="1"/>
  <c r="GL627" i="12"/>
  <c r="GH628" i="12"/>
  <c r="BR628" i="12"/>
  <c r="BH629" i="12" s="1"/>
  <c r="GC616" i="12"/>
  <c r="FT617" i="12" s="1"/>
  <c r="DX633" i="12"/>
  <c r="EA633" i="12" s="1"/>
  <c r="DK633" i="12" s="1"/>
  <c r="DD634" i="12" s="1"/>
  <c r="GU628" i="12" l="1"/>
  <c r="GV628" i="12" s="1"/>
  <c r="FR628" i="12" s="1"/>
  <c r="EX628" i="12"/>
  <c r="BG628" i="12"/>
  <c r="BW628" i="12"/>
  <c r="BO628" i="12"/>
  <c r="CM628" i="12"/>
  <c r="DC628" i="12"/>
  <c r="DP628" i="12" s="1"/>
  <c r="ER628" i="12"/>
  <c r="CU628" i="12"/>
  <c r="CE628" i="12"/>
  <c r="EF628" i="12"/>
  <c r="BL629" i="12"/>
  <c r="GH629" i="12" s="1"/>
  <c r="BD629" i="12"/>
  <c r="BE629" i="12" s="1"/>
  <c r="FY617" i="12"/>
  <c r="DU634" i="12"/>
  <c r="DQ634" i="12"/>
  <c r="GL628" i="12" l="1"/>
  <c r="BR629" i="12"/>
  <c r="BH630" i="12" s="1"/>
  <c r="BL630" i="12" s="1"/>
  <c r="GH630" i="12" s="1"/>
  <c r="EF629" i="12"/>
  <c r="CM629" i="12"/>
  <c r="BG629" i="12"/>
  <c r="CU629" i="12"/>
  <c r="GU629" i="12"/>
  <c r="GV629" i="12" s="1"/>
  <c r="FR629" i="12" s="1"/>
  <c r="DC629" i="12"/>
  <c r="DP629" i="12" s="1"/>
  <c r="CE629" i="12"/>
  <c r="EX629" i="12"/>
  <c r="BW629" i="12"/>
  <c r="BO629" i="12"/>
  <c r="DH629" i="12"/>
  <c r="ER629" i="12"/>
  <c r="GC617" i="12"/>
  <c r="FT618" i="12" s="1"/>
  <c r="GQ617" i="12"/>
  <c r="HS617" i="12" s="1"/>
  <c r="DX634" i="12"/>
  <c r="EA634" i="12" s="1"/>
  <c r="DK634" i="12" s="1"/>
  <c r="DD635" i="12" s="1"/>
  <c r="BD630" i="12" l="1"/>
  <c r="BE630" i="12" s="1"/>
  <c r="CU630" i="12" s="1"/>
  <c r="BR630" i="12"/>
  <c r="BH631" i="12" s="1"/>
  <c r="BL631" i="12" s="1"/>
  <c r="GL629" i="12"/>
  <c r="FY618" i="12"/>
  <c r="GQ618" i="12" s="1"/>
  <c r="HS618" i="12" s="1"/>
  <c r="DU635" i="12"/>
  <c r="DQ635" i="12"/>
  <c r="BD631" i="12" l="1"/>
  <c r="BE631" i="12" s="1"/>
  <c r="CE630" i="12"/>
  <c r="EX630" i="12"/>
  <c r="CM630" i="12"/>
  <c r="BW630" i="12"/>
  <c r="BO630" i="12"/>
  <c r="BG630" i="12"/>
  <c r="DC630" i="12"/>
  <c r="DP630" i="12" s="1"/>
  <c r="EF630" i="12"/>
  <c r="GU630" i="12"/>
  <c r="GV630" i="12" s="1"/>
  <c r="FR630" i="12" s="1"/>
  <c r="DH630" i="12"/>
  <c r="ER630" i="12"/>
  <c r="GH631" i="12"/>
  <c r="BR631" i="12"/>
  <c r="BH632" i="12" s="1"/>
  <c r="BO631" i="12"/>
  <c r="CM631" i="12"/>
  <c r="ER631" i="12"/>
  <c r="DC631" i="12"/>
  <c r="DP631" i="12" s="1"/>
  <c r="GU631" i="12"/>
  <c r="GV631" i="12" s="1"/>
  <c r="FR631" i="12" s="1"/>
  <c r="BW631" i="12"/>
  <c r="DH631" i="12"/>
  <c r="BG631" i="12"/>
  <c r="CE631" i="12"/>
  <c r="EF631" i="12"/>
  <c r="CU631" i="12"/>
  <c r="EX631" i="12"/>
  <c r="GC618" i="12"/>
  <c r="FT619" i="12" s="1"/>
  <c r="DX635" i="12"/>
  <c r="EA635" i="12" s="1"/>
  <c r="DK635" i="12" s="1"/>
  <c r="DD636" i="12" s="1"/>
  <c r="GL630" i="12" l="1"/>
  <c r="BL632" i="12"/>
  <c r="BD632" i="12"/>
  <c r="BE632" i="12" s="1"/>
  <c r="GL631" i="12"/>
  <c r="FY619" i="12"/>
  <c r="GQ619" i="12" s="1"/>
  <c r="HS619" i="12" s="1"/>
  <c r="DQ636" i="12"/>
  <c r="DU636" i="12"/>
  <c r="BG632" i="12" l="1"/>
  <c r="ER632" i="12"/>
  <c r="BO632" i="12"/>
  <c r="CM632" i="12"/>
  <c r="GU632" i="12"/>
  <c r="GV632" i="12" s="1"/>
  <c r="FR632" i="12" s="1"/>
  <c r="BW632" i="12"/>
  <c r="CU632" i="12"/>
  <c r="DC632" i="12"/>
  <c r="DP632" i="12" s="1"/>
  <c r="EF632" i="12"/>
  <c r="EX632" i="12"/>
  <c r="DH632" i="12"/>
  <c r="CE632" i="12"/>
  <c r="GH632" i="12"/>
  <c r="BR632" i="12"/>
  <c r="BH633" i="12" s="1"/>
  <c r="GC619" i="12"/>
  <c r="FT620" i="12" s="1"/>
  <c r="DX636" i="12"/>
  <c r="EA636" i="12" s="1"/>
  <c r="DK636" i="12" s="1"/>
  <c r="DD637" i="12" s="1"/>
  <c r="BD633" i="12" l="1"/>
  <c r="BE633" i="12" s="1"/>
  <c r="BL633" i="12"/>
  <c r="GL632" i="12"/>
  <c r="FY620" i="12"/>
  <c r="GQ620" i="12" s="1"/>
  <c r="DQ637" i="12"/>
  <c r="DU637" i="12"/>
  <c r="GH633" i="12" l="1"/>
  <c r="BR633" i="12"/>
  <c r="BH634" i="12" s="1"/>
  <c r="EX633" i="12"/>
  <c r="BW633" i="12"/>
  <c r="BO633" i="12"/>
  <c r="CE633" i="12"/>
  <c r="CM633" i="12"/>
  <c r="DC633" i="12"/>
  <c r="DP633" i="12" s="1"/>
  <c r="BG633" i="12"/>
  <c r="ER633" i="12"/>
  <c r="GU633" i="12"/>
  <c r="GV633" i="12" s="1"/>
  <c r="FR633" i="12" s="1"/>
  <c r="DH633" i="12"/>
  <c r="EF633" i="12"/>
  <c r="CU633" i="12"/>
  <c r="HS620" i="12"/>
  <c r="GC620" i="12"/>
  <c r="FT621" i="12" s="1"/>
  <c r="FY621" i="12" s="1"/>
  <c r="GQ621" i="12" s="1"/>
  <c r="HS621" i="12" s="1"/>
  <c r="AP59" i="22"/>
  <c r="DX637" i="12"/>
  <c r="AS59" i="22" s="1"/>
  <c r="GL633" i="12" l="1"/>
  <c r="BL634" i="12"/>
  <c r="BD634" i="12"/>
  <c r="BE634" i="12" s="1"/>
  <c r="GC621" i="12"/>
  <c r="FT622" i="12" s="1"/>
  <c r="EA637" i="12"/>
  <c r="DK637" i="12" s="1"/>
  <c r="DD638" i="12" s="1"/>
  <c r="AV57" i="22"/>
  <c r="GH634" i="12" l="1"/>
  <c r="BR634" i="12"/>
  <c r="BH635" i="12" s="1"/>
  <c r="ER634" i="12"/>
  <c r="DH634" i="12"/>
  <c r="BO634" i="12"/>
  <c r="CU634" i="12"/>
  <c r="CE634" i="12"/>
  <c r="BG634" i="12"/>
  <c r="EX634" i="12"/>
  <c r="CM634" i="12"/>
  <c r="DC634" i="12"/>
  <c r="DP634" i="12" s="1"/>
  <c r="EF634" i="12"/>
  <c r="GU634" i="12"/>
  <c r="GV634" i="12" s="1"/>
  <c r="FR634" i="12" s="1"/>
  <c r="BW634" i="12"/>
  <c r="FY622" i="12"/>
  <c r="GQ622" i="12" s="1"/>
  <c r="HS622" i="12" s="1"/>
  <c r="J555" i="12"/>
  <c r="CC120" i="22"/>
  <c r="CD120" i="22" s="1"/>
  <c r="AN57" i="22"/>
  <c r="AG61" i="22"/>
  <c r="DQ638" i="12"/>
  <c r="DU638" i="12"/>
  <c r="GL634" i="12" l="1"/>
  <c r="BL635" i="12"/>
  <c r="GH635" i="12" s="1"/>
  <c r="BD635" i="12"/>
  <c r="BE635" i="12" s="1"/>
  <c r="GC622" i="12"/>
  <c r="FT623" i="12" s="1"/>
  <c r="FY623" i="12" s="1"/>
  <c r="GQ623" i="12" s="1"/>
  <c r="HS623" i="12" s="1"/>
  <c r="I560" i="12"/>
  <c r="AF61" i="22"/>
  <c r="CA122" i="22" s="1"/>
  <c r="CB122" i="22"/>
  <c r="DX638" i="12"/>
  <c r="EA638" i="12" s="1"/>
  <c r="DK638" i="12" s="1"/>
  <c r="DD639" i="12" s="1"/>
  <c r="BR635" i="12" l="1"/>
  <c r="BH636" i="12" s="1"/>
  <c r="BD636" i="12" s="1"/>
  <c r="BE636" i="12" s="1"/>
  <c r="CM635" i="12"/>
  <c r="BG635" i="12"/>
  <c r="DC635" i="12"/>
  <c r="DP635" i="12" s="1"/>
  <c r="EF635" i="12"/>
  <c r="BW635" i="12"/>
  <c r="DH635" i="12"/>
  <c r="GU635" i="12"/>
  <c r="GV635" i="12" s="1"/>
  <c r="FR635" i="12" s="1"/>
  <c r="BO635" i="12"/>
  <c r="CU635" i="12"/>
  <c r="EX635" i="12"/>
  <c r="CE635" i="12"/>
  <c r="ER635" i="12"/>
  <c r="GC623" i="12"/>
  <c r="FT624" i="12" s="1"/>
  <c r="FY624" i="12" s="1"/>
  <c r="GQ624" i="12" s="1"/>
  <c r="HS624" i="12" s="1"/>
  <c r="HS337" i="12" s="1"/>
  <c r="H459" i="12" s="1"/>
  <c r="N459" i="12" s="1"/>
  <c r="DQ639" i="12"/>
  <c r="DU639" i="12"/>
  <c r="BZ122" i="22"/>
  <c r="BZ121" i="22"/>
  <c r="O560" i="12"/>
  <c r="O557" i="12"/>
  <c r="BL636" i="12" l="1"/>
  <c r="GH636" i="12" s="1"/>
  <c r="GL635" i="12"/>
  <c r="CE636" i="12"/>
  <c r="DC636" i="12"/>
  <c r="DP636" i="12" s="1"/>
  <c r="CU636" i="12"/>
  <c r="ER636" i="12"/>
  <c r="DH636" i="12"/>
  <c r="EF636" i="12"/>
  <c r="BO636" i="12"/>
  <c r="EX636" i="12"/>
  <c r="BW636" i="12"/>
  <c r="BG636" i="12"/>
  <c r="GU636" i="12"/>
  <c r="GV636" i="12" s="1"/>
  <c r="FR636" i="12" s="1"/>
  <c r="CM636" i="12"/>
  <c r="GC624" i="12"/>
  <c r="FT625" i="12" s="1"/>
  <c r="FY625" i="12" s="1"/>
  <c r="GC625" i="12" s="1"/>
  <c r="BZ123" i="22"/>
  <c r="N477" i="12" s="1"/>
  <c r="S538" i="12" s="1"/>
  <c r="R535" i="12" s="1"/>
  <c r="DX639" i="12"/>
  <c r="EA639" i="12" s="1"/>
  <c r="DK639" i="12" s="1"/>
  <c r="DD640" i="12" s="1"/>
  <c r="BR636" i="12" l="1"/>
  <c r="BH637" i="12" s="1"/>
  <c r="BD637" i="12" s="1"/>
  <c r="BE637" i="12" s="1"/>
  <c r="DC637" i="12" s="1"/>
  <c r="DP637" i="12" s="1"/>
  <c r="GL636" i="12"/>
  <c r="GQ625" i="12"/>
  <c r="HT625" i="12" s="1"/>
  <c r="Y291" i="12"/>
  <c r="F109" i="12"/>
  <c r="DQ640" i="12"/>
  <c r="DU640" i="12"/>
  <c r="GU637" i="12" l="1"/>
  <c r="GV637" i="12" s="1"/>
  <c r="ER637" i="12"/>
  <c r="V293" i="12" s="1"/>
  <c r="BG637" i="12"/>
  <c r="CM637" i="12"/>
  <c r="DH637" i="12"/>
  <c r="AJ59" i="22" s="1"/>
  <c r="BO637" i="12"/>
  <c r="J71" i="14" s="1"/>
  <c r="EF637" i="12"/>
  <c r="S293" i="12" s="1"/>
  <c r="BL637" i="12"/>
  <c r="BR637" i="12" s="1"/>
  <c r="BW637" i="12"/>
  <c r="CE637" i="12"/>
  <c r="J71" i="15" s="1"/>
  <c r="P71" i="15" s="1"/>
  <c r="EX637" i="12"/>
  <c r="FL633" i="12" s="1"/>
  <c r="FN633" i="12" s="1"/>
  <c r="FQ633" i="12" s="1"/>
  <c r="CU637" i="12"/>
  <c r="J71" i="16" s="1"/>
  <c r="P71" i="16" s="1"/>
  <c r="V683" i="12"/>
  <c r="G725" i="12"/>
  <c r="AA291" i="12"/>
  <c r="DX640" i="12"/>
  <c r="GL637" i="12" l="1"/>
  <c r="Q293" i="12" s="1"/>
  <c r="M71" i="14"/>
  <c r="P71" i="14" s="1"/>
  <c r="GH637" i="12"/>
  <c r="O293" i="12" s="1"/>
  <c r="FL631" i="12"/>
  <c r="FJ631" i="12" s="1"/>
  <c r="FD631" i="12" s="1"/>
  <c r="FL629" i="12"/>
  <c r="FN629" i="12" s="1"/>
  <c r="FQ629" i="12" s="1"/>
  <c r="FL634" i="12"/>
  <c r="FN634" i="12" s="1"/>
  <c r="FQ634" i="12" s="1"/>
  <c r="FL630" i="12"/>
  <c r="FN630" i="12" s="1"/>
  <c r="FQ630" i="12" s="1"/>
  <c r="FL635" i="12"/>
  <c r="FN635" i="12" s="1"/>
  <c r="FQ635" i="12" s="1"/>
  <c r="FL626" i="12"/>
  <c r="FJ626" i="12" s="1"/>
  <c r="FD626" i="12" s="1"/>
  <c r="FL632" i="12"/>
  <c r="FJ632" i="12" s="1"/>
  <c r="FD632" i="12" s="1"/>
  <c r="FJ633" i="12"/>
  <c r="FD633" i="12" s="1"/>
  <c r="FL636" i="12"/>
  <c r="FN636" i="12" s="1"/>
  <c r="FQ636" i="12" s="1"/>
  <c r="FL637" i="12"/>
  <c r="FN637" i="12" s="1"/>
  <c r="FQ637" i="12" s="1"/>
  <c r="FL628" i="12"/>
  <c r="FN628" i="12" s="1"/>
  <c r="FQ628" i="12" s="1"/>
  <c r="FL627" i="12"/>
  <c r="FJ627" i="12" s="1"/>
  <c r="FD627" i="12" s="1"/>
  <c r="FJ636" i="12"/>
  <c r="FD636" i="12" s="1"/>
  <c r="G71" i="14"/>
  <c r="BH638" i="12"/>
  <c r="F556" i="12"/>
  <c r="K725" i="12"/>
  <c r="AT725" i="12" s="1"/>
  <c r="X725" i="12" s="1"/>
  <c r="S725" i="12"/>
  <c r="P725" i="12"/>
  <c r="AP460" i="12"/>
  <c r="AH291" i="12"/>
  <c r="O683" i="12"/>
  <c r="Y683" i="12"/>
  <c r="EA640" i="12"/>
  <c r="DK640" i="12" s="1"/>
  <c r="DD641" i="12" s="1"/>
  <c r="K553" i="12" l="1"/>
  <c r="Q556" i="12"/>
  <c r="FJ630" i="12"/>
  <c r="FD630" i="12" s="1"/>
  <c r="FN631" i="12"/>
  <c r="FQ631" i="12" s="1"/>
  <c r="FJ637" i="12"/>
  <c r="FD637" i="12" s="1"/>
  <c r="FJ629" i="12"/>
  <c r="FD629" i="12" s="1"/>
  <c r="FN627" i="12"/>
  <c r="FQ627" i="12" s="1"/>
  <c r="FJ635" i="12"/>
  <c r="FD635" i="12" s="1"/>
  <c r="FJ628" i="12"/>
  <c r="FD628" i="12" s="1"/>
  <c r="FJ634" i="12"/>
  <c r="FD634" i="12" s="1"/>
  <c r="FN632" i="12"/>
  <c r="FQ632" i="12" s="1"/>
  <c r="FN626" i="12"/>
  <c r="FQ626" i="12" s="1"/>
  <c r="BD638" i="12"/>
  <c r="BE638" i="12" s="1"/>
  <c r="BL638" i="12"/>
  <c r="GH638" i="12" s="1"/>
  <c r="D73" i="14"/>
  <c r="C73" i="14" s="1"/>
  <c r="AC725" i="12"/>
  <c r="F680" i="12"/>
  <c r="AU291" i="12"/>
  <c r="DU641" i="12"/>
  <c r="DQ641" i="12"/>
  <c r="G293" i="12" l="1"/>
  <c r="FT626" i="12"/>
  <c r="FY626" i="12" s="1"/>
  <c r="GC626" i="12" s="1"/>
  <c r="FT627" i="12" s="1"/>
  <c r="FY627" i="12" s="1"/>
  <c r="GQ627" i="12" s="1"/>
  <c r="HT627" i="12" s="1"/>
  <c r="L293" i="12"/>
  <c r="BR638" i="12"/>
  <c r="BH639" i="12" s="1"/>
  <c r="BD639" i="12" s="1"/>
  <c r="BE639" i="12" s="1"/>
  <c r="BG638" i="12"/>
  <c r="GU638" i="12"/>
  <c r="GV638" i="12" s="1"/>
  <c r="FR638" i="12" s="1"/>
  <c r="DH638" i="12"/>
  <c r="CE638" i="12"/>
  <c r="CU638" i="12"/>
  <c r="BO638" i="12"/>
  <c r="ER638" i="12"/>
  <c r="BW638" i="12"/>
  <c r="EX638" i="12"/>
  <c r="CM638" i="12"/>
  <c r="EF638" i="12"/>
  <c r="DC638" i="12"/>
  <c r="DP638" i="12" s="1"/>
  <c r="AJ725" i="12"/>
  <c r="F136" i="23"/>
  <c r="I681" i="12"/>
  <c r="L682" i="12"/>
  <c r="DX641" i="12"/>
  <c r="EA641" i="12" s="1"/>
  <c r="DK641" i="12" s="1"/>
  <c r="DD642" i="12" s="1"/>
  <c r="GQ626" i="12" l="1"/>
  <c r="HT626" i="12" s="1"/>
  <c r="BL639" i="12"/>
  <c r="BR639" i="12" s="1"/>
  <c r="BH640" i="12" s="1"/>
  <c r="GC627" i="12"/>
  <c r="FT628" i="12" s="1"/>
  <c r="FY628" i="12" s="1"/>
  <c r="GQ628" i="12" s="1"/>
  <c r="GL638" i="12"/>
  <c r="GU639" i="12"/>
  <c r="GV639" i="12" s="1"/>
  <c r="FR639" i="12" s="1"/>
  <c r="BO639" i="12"/>
  <c r="CM639" i="12"/>
  <c r="EF639" i="12"/>
  <c r="EX639" i="12"/>
  <c r="ER639" i="12"/>
  <c r="DH639" i="12"/>
  <c r="CU639" i="12"/>
  <c r="CE639" i="12"/>
  <c r="BW639" i="12"/>
  <c r="BG639" i="12"/>
  <c r="DC639" i="12"/>
  <c r="DP639" i="12" s="1"/>
  <c r="J135" i="23"/>
  <c r="DQ642" i="12"/>
  <c r="DU642" i="12"/>
  <c r="GH639" i="12" l="1"/>
  <c r="GL639" i="12"/>
  <c r="BL640" i="12"/>
  <c r="GH640" i="12" s="1"/>
  <c r="BD640" i="12"/>
  <c r="BE640" i="12" s="1"/>
  <c r="HT628" i="12"/>
  <c r="GC628" i="12"/>
  <c r="FT629" i="12" s="1"/>
  <c r="DX642" i="12"/>
  <c r="EA642" i="12" s="1"/>
  <c r="DK642" i="12" s="1"/>
  <c r="DD643" i="12" s="1"/>
  <c r="BR640" i="12" l="1"/>
  <c r="BH641" i="12" s="1"/>
  <c r="CE640" i="12"/>
  <c r="EF640" i="12"/>
  <c r="CM640" i="12"/>
  <c r="BO640" i="12"/>
  <c r="BG640" i="12"/>
  <c r="DC640" i="12"/>
  <c r="DP640" i="12" s="1"/>
  <c r="CU640" i="12"/>
  <c r="BW640" i="12"/>
  <c r="ER640" i="12"/>
  <c r="EX640" i="12"/>
  <c r="DH640" i="12"/>
  <c r="GU640" i="12"/>
  <c r="GV640" i="12" s="1"/>
  <c r="FR640" i="12" s="1"/>
  <c r="BL641" i="12"/>
  <c r="GH641" i="12" s="1"/>
  <c r="BD641" i="12"/>
  <c r="BE641" i="12" s="1"/>
  <c r="FY629" i="12"/>
  <c r="GQ629" i="12" s="1"/>
  <c r="HT629" i="12" s="1"/>
  <c r="DQ643" i="12"/>
  <c r="DU643" i="12"/>
  <c r="BR641" i="12" l="1"/>
  <c r="BH642" i="12" s="1"/>
  <c r="BL642" i="12" s="1"/>
  <c r="GH642" i="12" s="1"/>
  <c r="BW641" i="12"/>
  <c r="ER641" i="12"/>
  <c r="DC641" i="12"/>
  <c r="DP641" i="12" s="1"/>
  <c r="BO641" i="12"/>
  <c r="CU641" i="12"/>
  <c r="EF641" i="12"/>
  <c r="CE641" i="12"/>
  <c r="CM641" i="12"/>
  <c r="GU641" i="12"/>
  <c r="GV641" i="12" s="1"/>
  <c r="FR641" i="12" s="1"/>
  <c r="EX641" i="12"/>
  <c r="BG641" i="12"/>
  <c r="DH641" i="12"/>
  <c r="GL640" i="12"/>
  <c r="GC629" i="12"/>
  <c r="FT630" i="12" s="1"/>
  <c r="FY630" i="12" s="1"/>
  <c r="GQ630" i="12" s="1"/>
  <c r="HT630" i="12" s="1"/>
  <c r="DX643" i="12"/>
  <c r="EA643" i="12" s="1"/>
  <c r="DK643" i="12" s="1"/>
  <c r="DD644" i="12" s="1"/>
  <c r="BR642" i="12" l="1"/>
  <c r="BH643" i="12" s="1"/>
  <c r="BD643" i="12" s="1"/>
  <c r="BE643" i="12" s="1"/>
  <c r="BD642" i="12"/>
  <c r="BE642" i="12" s="1"/>
  <c r="BG642" i="12" s="1"/>
  <c r="GL641" i="12"/>
  <c r="GC630" i="12"/>
  <c r="FT631" i="12" s="1"/>
  <c r="FY631" i="12" s="1"/>
  <c r="GQ631" i="12" s="1"/>
  <c r="HT631" i="12" s="1"/>
  <c r="DU644" i="12"/>
  <c r="DQ644" i="12"/>
  <c r="BL643" i="12" l="1"/>
  <c r="BR643" i="12" s="1"/>
  <c r="BH644" i="12" s="1"/>
  <c r="CE642" i="12"/>
  <c r="ER642" i="12"/>
  <c r="DC642" i="12"/>
  <c r="DP642" i="12" s="1"/>
  <c r="BW642" i="12"/>
  <c r="BO642" i="12"/>
  <c r="EX642" i="12"/>
  <c r="GU642" i="12"/>
  <c r="GV642" i="12" s="1"/>
  <c r="FR642" i="12" s="1"/>
  <c r="CU642" i="12"/>
  <c r="EF642" i="12"/>
  <c r="DH642" i="12"/>
  <c r="CM642" i="12"/>
  <c r="GC631" i="12"/>
  <c r="FT632" i="12" s="1"/>
  <c r="FY632" i="12" s="1"/>
  <c r="GQ632" i="12" s="1"/>
  <c r="HT632" i="12" s="1"/>
  <c r="EX643" i="12"/>
  <c r="BG643" i="12"/>
  <c r="CE643" i="12"/>
  <c r="BW643" i="12"/>
  <c r="CM643" i="12"/>
  <c r="ER643" i="12"/>
  <c r="CU643" i="12"/>
  <c r="BO643" i="12"/>
  <c r="GU643" i="12"/>
  <c r="DC643" i="12"/>
  <c r="DP643" i="12" s="1"/>
  <c r="EF643" i="12"/>
  <c r="DH643" i="12"/>
  <c r="DX644" i="12"/>
  <c r="EA644" i="12" s="1"/>
  <c r="DK644" i="12" s="1"/>
  <c r="DD645" i="12" s="1"/>
  <c r="GH643" i="12" l="1"/>
  <c r="GL642" i="12"/>
  <c r="GL643" i="12"/>
  <c r="GC632" i="12"/>
  <c r="FT633" i="12" s="1"/>
  <c r="FY633" i="12" s="1"/>
  <c r="GQ633" i="12" s="1"/>
  <c r="HT633" i="12" s="1"/>
  <c r="BD644" i="12"/>
  <c r="BE644" i="12" s="1"/>
  <c r="BL644" i="12"/>
  <c r="GH644" i="12" s="1"/>
  <c r="GV643" i="12"/>
  <c r="FR643" i="12" s="1"/>
  <c r="DU645" i="12"/>
  <c r="DQ645" i="12"/>
  <c r="BR644" i="12" l="1"/>
  <c r="BH645" i="12" s="1"/>
  <c r="BD645" i="12" s="1"/>
  <c r="BE645" i="12" s="1"/>
  <c r="GC633" i="12"/>
  <c r="FT634" i="12" s="1"/>
  <c r="FY634" i="12" s="1"/>
  <c r="GQ634" i="12" s="1"/>
  <c r="HT634" i="12" s="1"/>
  <c r="EX644" i="12"/>
  <c r="ER644" i="12"/>
  <c r="BO644" i="12"/>
  <c r="CM644" i="12"/>
  <c r="GU644" i="12"/>
  <c r="EF644" i="12"/>
  <c r="BG644" i="12"/>
  <c r="DC644" i="12"/>
  <c r="DP644" i="12" s="1"/>
  <c r="BW644" i="12"/>
  <c r="CU644" i="12"/>
  <c r="CE644" i="12"/>
  <c r="DH644" i="12"/>
  <c r="DX645" i="12"/>
  <c r="EA645" i="12" s="1"/>
  <c r="DK645" i="12" s="1"/>
  <c r="DD646" i="12" s="1"/>
  <c r="BL645" i="12" l="1"/>
  <c r="BR645" i="12" s="1"/>
  <c r="BH646" i="12" s="1"/>
  <c r="BL646" i="12" s="1"/>
  <c r="BR646" i="12" s="1"/>
  <c r="BH647" i="12" s="1"/>
  <c r="GL644" i="12"/>
  <c r="GC634" i="12"/>
  <c r="FT635" i="12" s="1"/>
  <c r="FY635" i="12" s="1"/>
  <c r="GQ635" i="12" s="1"/>
  <c r="HT635" i="12" s="1"/>
  <c r="GV644" i="12"/>
  <c r="FR644" i="12" s="1"/>
  <c r="CM645" i="12"/>
  <c r="DC645" i="12"/>
  <c r="DP645" i="12" s="1"/>
  <c r="BW645" i="12"/>
  <c r="BG645" i="12"/>
  <c r="ER645" i="12"/>
  <c r="BO645" i="12"/>
  <c r="GU645" i="12"/>
  <c r="GV645" i="12" s="1"/>
  <c r="FR645" i="12" s="1"/>
  <c r="CE645" i="12"/>
  <c r="EF645" i="12"/>
  <c r="EX645" i="12"/>
  <c r="CU645" i="12"/>
  <c r="DH645" i="12"/>
  <c r="DU646" i="12"/>
  <c r="DQ646" i="12"/>
  <c r="BD646" i="12" l="1"/>
  <c r="BE646" i="12" s="1"/>
  <c r="DH646" i="12" s="1"/>
  <c r="GH645" i="12"/>
  <c r="GH646" i="12"/>
  <c r="GC635" i="12"/>
  <c r="FT636" i="12" s="1"/>
  <c r="FY636" i="12" s="1"/>
  <c r="GQ636" i="12" s="1"/>
  <c r="HT636" i="12" s="1"/>
  <c r="HT337" i="12" s="1"/>
  <c r="H460" i="12" s="1"/>
  <c r="N460" i="12" s="1"/>
  <c r="GL645" i="12"/>
  <c r="BD647" i="12"/>
  <c r="BE647" i="12" s="1"/>
  <c r="BL647" i="12"/>
  <c r="BR647" i="12" s="1"/>
  <c r="BH648" i="12" s="1"/>
  <c r="DX646" i="12"/>
  <c r="EA646" i="12" s="1"/>
  <c r="DK646" i="12" s="1"/>
  <c r="DD647" i="12" s="1"/>
  <c r="CE646" i="12" l="1"/>
  <c r="BG646" i="12"/>
  <c r="EF646" i="12"/>
  <c r="ER646" i="12"/>
  <c r="BO646" i="12"/>
  <c r="CU646" i="12"/>
  <c r="DC646" i="12"/>
  <c r="DP646" i="12" s="1"/>
  <c r="GU646" i="12"/>
  <c r="GV646" i="12" s="1"/>
  <c r="FR646" i="12" s="1"/>
  <c r="BW646" i="12"/>
  <c r="CM646" i="12"/>
  <c r="EX646" i="12"/>
  <c r="GC636" i="12"/>
  <c r="FT637" i="12" s="1"/>
  <c r="FY637" i="12" s="1"/>
  <c r="GQ637" i="12" s="1"/>
  <c r="HU637" i="12" s="1"/>
  <c r="BD648" i="12"/>
  <c r="BE648" i="12" s="1"/>
  <c r="BL648" i="12"/>
  <c r="BR648" i="12" s="1"/>
  <c r="BH649" i="12" s="1"/>
  <c r="CE647" i="12"/>
  <c r="CU647" i="12"/>
  <c r="CM647" i="12"/>
  <c r="BW647" i="12"/>
  <c r="EX647" i="12"/>
  <c r="ER647" i="12"/>
  <c r="EF647" i="12"/>
  <c r="BO647" i="12"/>
  <c r="BG647" i="12"/>
  <c r="DC647" i="12"/>
  <c r="DP647" i="12" s="1"/>
  <c r="GU647" i="12"/>
  <c r="DQ647" i="12"/>
  <c r="DU647" i="12"/>
  <c r="GH647" i="12" s="1"/>
  <c r="DH647" i="12"/>
  <c r="GV647" i="12" l="1"/>
  <c r="FR647" i="12" s="1"/>
  <c r="GL646" i="12"/>
  <c r="GC637" i="12"/>
  <c r="Y293" i="12"/>
  <c r="AA293" i="12" s="1"/>
  <c r="BL649" i="12"/>
  <c r="M73" i="14" s="1"/>
  <c r="BD649" i="12"/>
  <c r="BE649" i="12" s="1"/>
  <c r="GL647" i="12"/>
  <c r="GV648" i="12"/>
  <c r="FR648" i="12" s="1"/>
  <c r="GU648" i="12"/>
  <c r="EX648" i="12"/>
  <c r="BG648" i="12"/>
  <c r="CU648" i="12"/>
  <c r="EF648" i="12"/>
  <c r="DC648" i="12"/>
  <c r="DP648" i="12" s="1"/>
  <c r="BO648" i="12"/>
  <c r="CM648" i="12"/>
  <c r="BW648" i="12"/>
  <c r="ER648" i="12"/>
  <c r="CE648" i="12"/>
  <c r="DX647" i="12"/>
  <c r="EA647" i="12" s="1"/>
  <c r="DK647" i="12" s="1"/>
  <c r="DD648" i="12" s="1"/>
  <c r="V688" i="12" l="1"/>
  <c r="Y688" i="12" s="1"/>
  <c r="G726" i="12"/>
  <c r="P726" i="12" s="1"/>
  <c r="CE649" i="12"/>
  <c r="J73" i="15" s="1"/>
  <c r="P73" i="15" s="1"/>
  <c r="CM649" i="12"/>
  <c r="BW649" i="12"/>
  <c r="GU649" i="12"/>
  <c r="DC649" i="12"/>
  <c r="DP649" i="12" s="1"/>
  <c r="ER649" i="12"/>
  <c r="V295" i="12" s="1"/>
  <c r="V297" i="12" s="1"/>
  <c r="EF649" i="12"/>
  <c r="S295" i="12" s="1"/>
  <c r="S297" i="12" s="1"/>
  <c r="CU649" i="12"/>
  <c r="J73" i="16" s="1"/>
  <c r="P73" i="16" s="1"/>
  <c r="BO649" i="12"/>
  <c r="J73" i="14" s="1"/>
  <c r="P73" i="14" s="1"/>
  <c r="EX649" i="12"/>
  <c r="BG649" i="12"/>
  <c r="BR649" i="12"/>
  <c r="AP461" i="12"/>
  <c r="AH293" i="12"/>
  <c r="DU648" i="12"/>
  <c r="GH648" i="12" s="1"/>
  <c r="DQ648" i="12"/>
  <c r="DH648" i="12"/>
  <c r="GL648" i="12" s="1"/>
  <c r="S726" i="12" l="1"/>
  <c r="O688" i="12"/>
  <c r="K726" i="12"/>
  <c r="AT726" i="12" s="1"/>
  <c r="X726" i="12" s="1"/>
  <c r="AC726" i="12" s="1"/>
  <c r="AJ726" i="12" s="1"/>
  <c r="GV649" i="12"/>
  <c r="GV655" i="12"/>
  <c r="GV656" i="12"/>
  <c r="GV657" i="12"/>
  <c r="GV652" i="12"/>
  <c r="GV650" i="12"/>
  <c r="GV654" i="12"/>
  <c r="GV660" i="12"/>
  <c r="GV653" i="12"/>
  <c r="GV651" i="12"/>
  <c r="GV658" i="12"/>
  <c r="GV659" i="12"/>
  <c r="FL649" i="12"/>
  <c r="FN649" i="12" s="1"/>
  <c r="FQ649" i="12" s="1"/>
  <c r="FL645" i="12"/>
  <c r="FL644" i="12"/>
  <c r="FL643" i="12"/>
  <c r="FL638" i="12"/>
  <c r="FL641" i="12"/>
  <c r="FL639" i="12"/>
  <c r="FL640" i="12"/>
  <c r="FL642" i="12"/>
  <c r="FL648" i="12"/>
  <c r="FL647" i="12"/>
  <c r="G73" i="14"/>
  <c r="F559" i="12"/>
  <c r="AU293" i="12"/>
  <c r="F685" i="12"/>
  <c r="FL646" i="12"/>
  <c r="DX648" i="12"/>
  <c r="EA648" i="12" s="1"/>
  <c r="DK648" i="12" s="1"/>
  <c r="DD649" i="12" s="1"/>
  <c r="AX726" i="12" l="1"/>
  <c r="FN647" i="12"/>
  <c r="FQ647" i="12" s="1"/>
  <c r="FJ647" i="12"/>
  <c r="FD647" i="12" s="1"/>
  <c r="FJ649" i="12"/>
  <c r="FD649" i="12" s="1"/>
  <c r="FN644" i="12"/>
  <c r="FQ644" i="12" s="1"/>
  <c r="FJ644" i="12"/>
  <c r="FD644" i="12" s="1"/>
  <c r="FJ648" i="12"/>
  <c r="FD648" i="12" s="1"/>
  <c r="FN648" i="12"/>
  <c r="FQ648" i="12" s="1"/>
  <c r="FJ642" i="12"/>
  <c r="FD642" i="12" s="1"/>
  <c r="FN642" i="12"/>
  <c r="FQ642" i="12" s="1"/>
  <c r="FN645" i="12"/>
  <c r="FQ645" i="12" s="1"/>
  <c r="FJ645" i="12"/>
  <c r="FD645" i="12" s="1"/>
  <c r="L687" i="12"/>
  <c r="I686" i="12"/>
  <c r="F137" i="23"/>
  <c r="J136" i="23" s="1"/>
  <c r="FN639" i="12"/>
  <c r="FQ639" i="12" s="1"/>
  <c r="FJ639" i="12"/>
  <c r="FD639" i="12" s="1"/>
  <c r="FN646" i="12"/>
  <c r="FQ646" i="12" s="1"/>
  <c r="FJ646" i="12"/>
  <c r="FD646" i="12" s="1"/>
  <c r="FJ640" i="12"/>
  <c r="FD640" i="12" s="1"/>
  <c r="FN640" i="12"/>
  <c r="FQ640" i="12" s="1"/>
  <c r="FJ641" i="12"/>
  <c r="FD641" i="12" s="1"/>
  <c r="FN641" i="12"/>
  <c r="FQ641" i="12" s="1"/>
  <c r="Q559" i="12"/>
  <c r="Q561" i="12" s="1"/>
  <c r="X475" i="12" s="1"/>
  <c r="K556" i="12"/>
  <c r="K559" i="12"/>
  <c r="FN638" i="12"/>
  <c r="FQ638" i="12" s="1"/>
  <c r="FJ638" i="12"/>
  <c r="FD638" i="12" s="1"/>
  <c r="FN643" i="12"/>
  <c r="FQ643" i="12" s="1"/>
  <c r="FJ643" i="12"/>
  <c r="FD643" i="12" s="1"/>
  <c r="DQ649" i="12"/>
  <c r="DU649" i="12"/>
  <c r="DH649" i="12"/>
  <c r="FT638" i="12" l="1"/>
  <c r="FY638" i="12" s="1"/>
  <c r="GQ638" i="12" s="1"/>
  <c r="HU638" i="12" s="1"/>
  <c r="G295" i="12"/>
  <c r="G297" i="12" s="1"/>
  <c r="L295" i="12"/>
  <c r="L297" i="12" s="1"/>
  <c r="S490" i="12"/>
  <c r="X479" i="12"/>
  <c r="Q482" i="12" s="1"/>
  <c r="H372" i="12" s="1"/>
  <c r="K481" i="12"/>
  <c r="S507" i="12" s="1"/>
  <c r="R500" i="12" s="1"/>
  <c r="Q499" i="12" s="1"/>
  <c r="G399" i="12" s="1"/>
  <c r="GL649" i="12"/>
  <c r="Q295" i="12" s="1"/>
  <c r="AJ61" i="22"/>
  <c r="DX649" i="12"/>
  <c r="AS61" i="22" s="1"/>
  <c r="GH649" i="12"/>
  <c r="O295" i="12" s="1"/>
  <c r="AP61" i="22"/>
  <c r="GC638" i="12" l="1"/>
  <c r="FT639" i="12" s="1"/>
  <c r="FY639" i="12" s="1"/>
  <c r="GQ639" i="12" s="1"/>
  <c r="HU639" i="12" s="1"/>
  <c r="R489" i="12"/>
  <c r="O297" i="12"/>
  <c r="Q297" i="12"/>
  <c r="AV59" i="22"/>
  <c r="EA649" i="12"/>
  <c r="DK649" i="12" s="1"/>
  <c r="GC639" i="12" l="1"/>
  <c r="FT640" i="12" s="1"/>
  <c r="FY640" i="12" s="1"/>
  <c r="GQ640" i="12" s="1"/>
  <c r="HU640" i="12" s="1"/>
  <c r="AV61" i="22"/>
  <c r="CC121" i="22"/>
  <c r="CD121" i="22" s="1"/>
  <c r="J558" i="12"/>
  <c r="AN59" i="22"/>
  <c r="GC640" i="12" l="1"/>
  <c r="FT641" i="12" s="1"/>
  <c r="FY641" i="12" s="1"/>
  <c r="GQ641" i="12" s="1"/>
  <c r="HU641" i="12" s="1"/>
  <c r="CC122" i="22"/>
  <c r="CD122" i="22" s="1"/>
  <c r="AN61" i="22"/>
  <c r="J561" i="12"/>
  <c r="GC641" i="12" l="1"/>
  <c r="FT642" i="12" s="1"/>
  <c r="FY642" i="12" s="1"/>
  <c r="GQ642" i="12" s="1"/>
  <c r="HU642" i="12" s="1"/>
  <c r="GC642" i="12" l="1"/>
  <c r="FT643" i="12" s="1"/>
  <c r="FY643" i="12" s="1"/>
  <c r="GQ643" i="12" s="1"/>
  <c r="HU643" i="12" s="1"/>
  <c r="GC643" i="12" l="1"/>
  <c r="FT644" i="12" s="1"/>
  <c r="FY644" i="12" s="1"/>
  <c r="GQ644" i="12" s="1"/>
  <c r="HU644" i="12" l="1"/>
  <c r="GC644" i="12"/>
  <c r="FT645" i="12" s="1"/>
  <c r="FY645" i="12" l="1"/>
  <c r="GQ645" i="12" s="1"/>
  <c r="HU645" i="12" l="1"/>
  <c r="GC645" i="12"/>
  <c r="FT646" i="12" s="1"/>
  <c r="FY646" i="12" l="1"/>
  <c r="GQ646" i="12" s="1"/>
  <c r="HU646" i="12" s="1"/>
  <c r="GC646" i="12" l="1"/>
  <c r="FT647" i="12" s="1"/>
  <c r="FY647" i="12" l="1"/>
  <c r="GQ647" i="12" s="1"/>
  <c r="HU647" i="12" l="1"/>
  <c r="GC647" i="12"/>
  <c r="FT648" i="12" s="1"/>
  <c r="FY648" i="12" l="1"/>
  <c r="GQ648" i="12" l="1"/>
  <c r="GC648" i="12"/>
  <c r="FT649" i="12" s="1"/>
  <c r="FY649" i="12" s="1"/>
  <c r="HU648" i="12" l="1"/>
  <c r="HU337" i="12" s="1"/>
  <c r="H461" i="12" s="1"/>
  <c r="N461" i="12" s="1"/>
  <c r="GC649" i="12"/>
  <c r="GQ649" i="12"/>
  <c r="HV660" i="12" s="1"/>
  <c r="Y295" i="12"/>
  <c r="HV659" i="12" l="1"/>
  <c r="HV658" i="12"/>
  <c r="HV655" i="12"/>
  <c r="HV653" i="12"/>
  <c r="HV652" i="12"/>
  <c r="HV656" i="12"/>
  <c r="HV654" i="12"/>
  <c r="HV651" i="12"/>
  <c r="HV650" i="12"/>
  <c r="HV649" i="12"/>
  <c r="HV657" i="12"/>
  <c r="Y297" i="12"/>
  <c r="V693" i="12"/>
  <c r="AA295" i="12"/>
  <c r="G727" i="12"/>
  <c r="HV337" i="12" l="1"/>
  <c r="H462" i="12" s="1"/>
  <c r="N462" i="12" s="1"/>
  <c r="N463" i="12" s="1"/>
  <c r="W226" i="12" s="1"/>
  <c r="K727" i="12"/>
  <c r="AT727" i="12" s="1"/>
  <c r="X727" i="12" s="1"/>
  <c r="S727" i="12"/>
  <c r="S701" i="12" s="1"/>
  <c r="P727" i="12"/>
  <c r="P701" i="12" s="1"/>
  <c r="AH295" i="12"/>
  <c r="AP462" i="12"/>
  <c r="Y693" i="12"/>
  <c r="Y695" i="12" s="1"/>
  <c r="H375" i="12" s="1"/>
  <c r="O693" i="12"/>
  <c r="AC727" i="12" l="1"/>
  <c r="AJ727" i="12" s="1"/>
  <c r="AI226" i="12"/>
  <c r="F230" i="12" s="1"/>
  <c r="AU295" i="12"/>
  <c r="AU297" i="12" s="1"/>
  <c r="H374" i="12" s="1"/>
  <c r="F690" i="12"/>
  <c r="AX727" i="12" l="1"/>
  <c r="AX728" i="12" s="1"/>
  <c r="I691" i="12"/>
  <c r="F138" i="23"/>
  <c r="L692" i="12"/>
  <c r="M303" i="12" l="1"/>
  <c r="M302" i="12"/>
  <c r="J138" i="23"/>
  <c r="J137" i="23"/>
  <c r="J110" i="23" l="1"/>
  <c r="Y17" i="23" s="1"/>
  <c r="Y23" i="23" s="1"/>
  <c r="AC23" i="23" s="1"/>
  <c r="J106" i="23" l="1"/>
  <c r="J108" i="23" s="1"/>
  <c r="AC17" i="23"/>
  <c r="J107" i="23" l="1"/>
  <c r="AJ112" i="23"/>
  <c r="AI113" i="23" s="1"/>
  <c r="AJ113" i="23" s="1"/>
  <c r="AI114" i="23" s="1"/>
  <c r="AJ114" i="23" s="1"/>
  <c r="AI115" i="23" s="1"/>
  <c r="AJ115" i="23" s="1"/>
  <c r="AI116" i="23" s="1"/>
  <c r="AJ116" i="23" s="1"/>
  <c r="AI117" i="23" s="1"/>
  <c r="AJ117" i="23" s="1"/>
  <c r="AI118" i="23" s="1"/>
  <c r="AJ118" i="23" s="1"/>
  <c r="AI119" i="23" s="1"/>
  <c r="AJ119" i="23" s="1"/>
  <c r="AI120" i="23" s="1"/>
  <c r="AJ120" i="23" s="1"/>
  <c r="AI121" i="23" s="1"/>
  <c r="AJ121" i="23" s="1"/>
  <c r="AI122" i="23" s="1"/>
  <c r="AJ122" i="23" s="1"/>
  <c r="AI123" i="23" s="1"/>
  <c r="AJ123" i="23" s="1"/>
  <c r="AI124" i="23" s="1"/>
  <c r="AJ124" i="23" s="1"/>
  <c r="AI125" i="23" s="1"/>
  <c r="AJ125" i="23" s="1"/>
  <c r="AI126" i="23" s="1"/>
  <c r="AJ126" i="23" s="1"/>
  <c r="AI127" i="23" s="1"/>
  <c r="AJ127" i="23" s="1"/>
  <c r="AI128" i="23" s="1"/>
  <c r="AJ128" i="23" s="1"/>
  <c r="AI129" i="23" s="1"/>
  <c r="AJ129" i="23" s="1"/>
  <c r="AI130" i="23" s="1"/>
  <c r="AJ130" i="23" s="1"/>
  <c r="AI131" i="23" s="1"/>
  <c r="AJ131" i="23" s="1"/>
  <c r="AI132" i="23" s="1"/>
  <c r="AJ132" i="23" s="1"/>
  <c r="AI133" i="23" s="1"/>
  <c r="AJ133" i="23" s="1"/>
  <c r="AI134" i="23" s="1"/>
  <c r="AJ134" i="23" s="1"/>
  <c r="AI135" i="23" s="1"/>
  <c r="AJ135" i="23" s="1"/>
  <c r="AI136" i="23" s="1"/>
  <c r="AJ136" i="23" s="1"/>
  <c r="AI137" i="23" s="1"/>
  <c r="AJ137" i="23" s="1"/>
  <c r="AI138" i="23" s="1"/>
  <c r="AJ138" i="23" s="1"/>
  <c r="AI139" i="23" s="1"/>
  <c r="AJ139" i="23" s="1"/>
  <c r="R108" i="23"/>
  <c r="Y27" i="23" s="1"/>
  <c r="C29" i="23" s="1"/>
</calcChain>
</file>

<file path=xl/comments1.xml><?xml version="1.0" encoding="utf-8"?>
<comments xmlns="http://schemas.openxmlformats.org/spreadsheetml/2006/main">
  <authors>
    <author>Schmid, Werner (LEL-SG)</author>
  </authors>
  <commentList>
    <comment ref="AS139" authorId="0" shapeId="0">
      <text>
        <r>
          <rPr>
            <b/>
            <sz val="9"/>
            <color indexed="81"/>
            <rFont val="Segoe UI"/>
            <family val="2"/>
          </rPr>
          <t>Übergangsfrist:
EEG 2021 ; § 100 Abs. 9</t>
        </r>
      </text>
    </comment>
    <comment ref="AT139" authorId="0" shapeId="0">
      <text>
        <r>
          <rPr>
            <b/>
            <sz val="9"/>
            <color indexed="81"/>
            <rFont val="Segoe UI"/>
            <family val="2"/>
          </rPr>
          <t>Übergangsfrist:
EEG 2021 ; § 100 Abs. 9</t>
        </r>
      </text>
    </comment>
    <comment ref="AS140" authorId="0" shapeId="0">
      <text>
        <r>
          <rPr>
            <b/>
            <sz val="9"/>
            <color indexed="81"/>
            <rFont val="Segoe UI"/>
            <family val="2"/>
          </rPr>
          <t>Übergangsfrist:
EEG 2021 ; § 100 Abs. 9</t>
        </r>
      </text>
    </comment>
    <comment ref="AT140" authorId="0" shapeId="0">
      <text>
        <r>
          <rPr>
            <b/>
            <sz val="9"/>
            <color indexed="81"/>
            <rFont val="Segoe UI"/>
            <family val="2"/>
          </rPr>
          <t>Übergangsfrist:
EEG 2021 ; § 100 Abs. 9</t>
        </r>
      </text>
    </comment>
    <comment ref="AS141" authorId="0" shapeId="0">
      <text>
        <r>
          <rPr>
            <b/>
            <sz val="9"/>
            <color indexed="81"/>
            <rFont val="Segoe UI"/>
            <family val="2"/>
          </rPr>
          <t>Übergangsfrist:
EEG 2021 ; § 100 Abs. 9</t>
        </r>
      </text>
    </comment>
    <comment ref="AT141" authorId="0" shapeId="0">
      <text>
        <r>
          <rPr>
            <b/>
            <sz val="9"/>
            <color indexed="81"/>
            <rFont val="Segoe UI"/>
            <family val="2"/>
          </rPr>
          <t>Übergangsfrist:
EEG 2021 ; § 100 Abs. 9</t>
        </r>
      </text>
    </comment>
  </commentList>
</comments>
</file>

<file path=xl/sharedStrings.xml><?xml version="1.0" encoding="utf-8"?>
<sst xmlns="http://schemas.openxmlformats.org/spreadsheetml/2006/main" count="2149" uniqueCount="1589">
  <si>
    <t>Umsatzsteuer wird Regelbesteuerung unterstellt, der Anlagenbetreiber erklärt diese gegenüber dem Finanzamt.</t>
  </si>
  <si>
    <t xml:space="preserve">  gebot ausgewiesen. Werden Anlagenkomponenten oder Leistungen von unterschiedlichen Lieferanten</t>
  </si>
  <si>
    <t xml:space="preserve">  angeboten oder erbracht, können diese im Bereich "Kostenaufstellung" einzeln erfasst werden.</t>
  </si>
  <si>
    <t xml:space="preserve">  Die Angebote werden zu einem Gesamtbetrag summiert.</t>
  </si>
  <si>
    <r>
      <t xml:space="preserve"> -</t>
    </r>
    <r>
      <rPr>
        <b/>
        <i/>
        <sz val="10"/>
        <color indexed="57"/>
        <rFont val="Arial"/>
        <family val="2"/>
      </rPr>
      <t>Herstellungskosten gesamt in €uro:</t>
    </r>
    <r>
      <rPr>
        <sz val="10"/>
        <rFont val="Arial"/>
        <family val="2"/>
      </rPr>
      <t xml:space="preserve"> Hier werden die Herstellungskosten </t>
    </r>
    <r>
      <rPr>
        <b/>
        <sz val="10"/>
        <color indexed="10"/>
        <rFont val="Arial"/>
        <family val="2"/>
      </rPr>
      <t>ohne Mwst.</t>
    </r>
    <r>
      <rPr>
        <sz val="10"/>
        <rFont val="Arial"/>
        <family val="2"/>
      </rPr>
      <t xml:space="preserve"> laut An-</t>
    </r>
  </si>
  <si>
    <t xml:space="preserve">  (Die wichtigsten Anlagenkomponenten sind: Solarmodule, Befestigungssystem, ggf. System </t>
  </si>
  <si>
    <t xml:space="preserve">  Investitionen wie im Falle der Photovoltaikanlagen finanziert, bei welchen der Ertrag laufend, schon</t>
  </si>
  <si>
    <r>
      <t xml:space="preserve"> -</t>
    </r>
    <r>
      <rPr>
        <b/>
        <i/>
        <sz val="10"/>
        <color indexed="57"/>
        <rFont val="Arial"/>
        <family val="2"/>
      </rPr>
      <t xml:space="preserve">Vergütung des Strom-Eigenverbrauchs </t>
    </r>
  </si>
  <si>
    <t xml:space="preserve">Prüfen Sie daher jeden Ansatz gewissenhaft um eine möglichst realitätsnahe Vorausschätzung </t>
  </si>
  <si>
    <t>der Wirtschaftlichkeit zu erzielen.</t>
  </si>
  <si>
    <t xml:space="preserve">      welche den höchsten (internen) Zinssatz bietet (sofern die Risiken vergleichbar hoch sind).</t>
  </si>
  <si>
    <t>Einnahmen / Einzahlungen</t>
  </si>
  <si>
    <t>Ausgaben  / Auszahlungen</t>
  </si>
  <si>
    <t>bis März 2012</t>
  </si>
  <si>
    <t>0 bis 10 kWp</t>
  </si>
  <si>
    <t>max. 10 MW</t>
  </si>
  <si>
    <t>2012 (Jan. - März)</t>
  </si>
  <si>
    <t>Hilfstabelle</t>
  </si>
  <si>
    <t>1 MW bis 10 MW</t>
  </si>
  <si>
    <t xml:space="preserve">   davon Stromverkauf</t>
  </si>
  <si>
    <t>maximaler Vergütungsanteil:</t>
  </si>
  <si>
    <t>max. EEG-Vergütung</t>
  </si>
  <si>
    <t>0 - 10 kWp</t>
  </si>
  <si>
    <t>gültig:</t>
  </si>
  <si>
    <t>Erzeugung kWh</t>
  </si>
  <si>
    <t>Stromverkauf kWh</t>
  </si>
  <si>
    <t>Eigenstrom kWh</t>
  </si>
  <si>
    <t>Vergütung in €</t>
  </si>
  <si>
    <t>beobachtungen relativ unbedeutend). Solarzellen verwerten nicht nur das direkte Sonnenlicht, sondern auch</t>
  </si>
  <si>
    <t>Wesentlich kritischer sind Verschattung/Teilverschattung durch Bäume, Gebäude etc. zu beurteilen, da das jeweils schwächste</t>
  </si>
  <si>
    <t>Modul die Gesamtleistung des Strangs bestimmt. Verschattung, auch nur geringfügige, sollte unbedingt vermieden werden.</t>
  </si>
  <si>
    <t xml:space="preserve">  zinssatz "  und die Größe  "durchschnittlich gebundenes Kapital" berücksichtigt.</t>
  </si>
  <si>
    <t>Photovoltaik
Kalkulation</t>
  </si>
  <si>
    <r>
      <t xml:space="preserve"> -</t>
    </r>
    <r>
      <rPr>
        <b/>
        <i/>
        <sz val="10"/>
        <color indexed="57"/>
        <rFont val="Arial"/>
        <family val="2"/>
      </rPr>
      <t>Eigenmittel:</t>
    </r>
    <r>
      <rPr>
        <sz val="10"/>
        <rFont val="Arial"/>
        <family val="2"/>
      </rPr>
      <t xml:space="preserve"> Die Höhe der eingesetzten Eigenmittel errechnet das Programm aus der</t>
    </r>
  </si>
  <si>
    <t>(Voreinstellung: 0,5% Alterung jährlich)</t>
  </si>
  <si>
    <t>(Voreinstellung: Standort = Stuttgart)</t>
  </si>
  <si>
    <t>(Voreinstellung: R = Ratendarlehen)</t>
  </si>
  <si>
    <t xml:space="preserve">  </t>
  </si>
  <si>
    <t xml:space="preserve">  zur Aufständerung, Gleichstrom-Anschlußleitungen zum Wechselrichter, Wechselrichter, </t>
  </si>
  <si>
    <t>(Hinweis: gelb hinterlegte Felder sind Eingabefelder)</t>
  </si>
  <si>
    <t>Berechnungsbasis ist das Angebot:</t>
  </si>
  <si>
    <t>Datum:</t>
  </si>
  <si>
    <t xml:space="preserve">Hinweis: </t>
  </si>
  <si>
    <t>Als Finanzierungsvariante wird in der Praxis häufig das folgende Modell empfohlen:</t>
  </si>
  <si>
    <t>100% Fremdfinanzierung; Auflaufen den Beträge auf dem Girokonto. Dadurch bauen sich in den ersten Jahren i.d.R.</t>
  </si>
  <si>
    <t xml:space="preserve">erhebliche Sollbeträge auf. Das Konto "erholt" sich je nach Anlage nach 12-15 Jahren und baut in den letzten Jahren </t>
  </si>
  <si>
    <t>Darlehen</t>
  </si>
  <si>
    <t xml:space="preserve">  Der Verlauf der Liquidität über die gesamte Laufzeit der Anlage kann hier abgelesen werden.</t>
  </si>
  <si>
    <t>durchschnittliche jährl. Einstrahlung am Standort:</t>
  </si>
  <si>
    <t>Tagessummen der Globalstrahlung auf die Horizontale</t>
  </si>
  <si>
    <t>Durchschnittliche Globalstrahlung pro Tag (kWh/m², Tag); Monatsmittelwerte</t>
  </si>
  <si>
    <t>Quelle: Deutscher Wetterdienst, Geschäftsfeld Klima- und Umweltberatung</t>
  </si>
  <si>
    <t>(20 jährige Durchschnittswerte; Basisjahre:1981 - 2000)</t>
  </si>
  <si>
    <t>Dresden</t>
  </si>
  <si>
    <t>Ravensburg</t>
  </si>
  <si>
    <t xml:space="preserve">  rd. 850-1000 kWh Strom im Jahr ernten. (Hilfestellung für die Ertragsprognose siehe Pkt. "INFO". )</t>
  </si>
  <si>
    <t>Als durchschnittlicher Jahresertrag bei idealer Ausrichtung kann ein Wert zw. 850-1000 kWh / kWp kalkuliert werden (Süddeutschland).</t>
  </si>
  <si>
    <t>Hinweis: Eine Wirtschaftlichkeitsberechnung ist nur so sicher wie die für sie verwendeten Ansätze.</t>
  </si>
  <si>
    <t>ein Guthaben auf. Es empfieht sich, das Konto ggf. durch Einlagen auszugleichen, um hohe Sollzinsen zu vermeiden.</t>
  </si>
  <si>
    <t>kWh / kWp</t>
  </si>
  <si>
    <t>kWh</t>
  </si>
  <si>
    <t>€/ kWh</t>
  </si>
  <si>
    <t>nicht eingegeben, berechnet das Programm das Darlehen grundsätzlich als Ratendarlehen.</t>
  </si>
  <si>
    <r>
      <t xml:space="preserve">Wird die Darlehensart (R = Ratendarlehen </t>
    </r>
    <r>
      <rPr>
        <sz val="8"/>
        <rFont val="Arial"/>
        <family val="2"/>
      </rPr>
      <t>(oder Abzahlungsdarlehen)</t>
    </r>
    <r>
      <rPr>
        <sz val="10"/>
        <rFont val="Arial"/>
        <family val="2"/>
      </rPr>
      <t xml:space="preserve">; A = Annuitätendarlehen) </t>
    </r>
  </si>
  <si>
    <t>Freilandanlage</t>
  </si>
  <si>
    <t xml:space="preserve">    Anlagentyp:</t>
  </si>
  <si>
    <t>ausgewählte Anlagenart:</t>
  </si>
  <si>
    <t>Hj.</t>
  </si>
  <si>
    <r>
      <t xml:space="preserve">  Strom-Produktionsleistung der Anlage bei idealer Einstrahlung</t>
    </r>
    <r>
      <rPr>
        <sz val="8"/>
        <rFont val="Arial"/>
        <family val="2"/>
      </rPr>
      <t xml:space="preserve"> (Leistung unter Normbedingungen)</t>
    </r>
    <r>
      <rPr>
        <sz val="10"/>
        <rFont val="Arial"/>
        <family val="2"/>
      </rPr>
      <t>.</t>
    </r>
  </si>
  <si>
    <t xml:space="preserve">  rund 960 kWh/m² und Jahr, in Freiburg scheint die Sonne rund 20% mehr, nämlich ca.</t>
  </si>
  <si>
    <r>
      <t xml:space="preserve">Für </t>
    </r>
    <r>
      <rPr>
        <b/>
        <sz val="10"/>
        <rFont val="Arial"/>
        <family val="2"/>
      </rPr>
      <t>Annuitätendarlehen</t>
    </r>
    <r>
      <rPr>
        <sz val="10"/>
        <rFont val="Arial"/>
        <family val="2"/>
      </rPr>
      <t xml:space="preserve"> sind mindestens folgende Angaben zu machen:</t>
    </r>
  </si>
  <si>
    <r>
      <t xml:space="preserve">Für </t>
    </r>
    <r>
      <rPr>
        <b/>
        <sz val="10"/>
        <rFont val="Arial"/>
        <family val="2"/>
      </rPr>
      <t>Raten- oder Abzahlungsdarlehen</t>
    </r>
    <r>
      <rPr>
        <sz val="10"/>
        <rFont val="Arial"/>
        <family val="2"/>
      </rPr>
      <t xml:space="preserve"> sind mindestens folgende Angaben zu machen:</t>
    </r>
  </si>
  <si>
    <t>(Voreinstellungen: Kalkulationszinssatz 5,0%; durchschn. gebundenes Kapital 50 %)</t>
  </si>
  <si>
    <t xml:space="preserve">   Das Schaubild stellt den "Saldo kumuliert" graphisch dar. Es kann abgelesen werden, ob und</t>
  </si>
  <si>
    <t>E</t>
  </si>
  <si>
    <t>Institut</t>
  </si>
  <si>
    <t>Ansparbetrag</t>
  </si>
  <si>
    <t>Jahreskosten</t>
  </si>
  <si>
    <t>Endfälliges Darlehen</t>
  </si>
  <si>
    <t>Ansparanteil :</t>
  </si>
  <si>
    <t>Endfälliges Darlehen mit Gegenfinanzierung</t>
  </si>
  <si>
    <t xml:space="preserve">Finanzierungsmodell: </t>
  </si>
  <si>
    <t>Sonstige Fremdmittel:</t>
  </si>
  <si>
    <t>Darlehens - Zinssatz :</t>
  </si>
  <si>
    <t>Darlehensbetrag :</t>
  </si>
  <si>
    <t>Jahreskosten der Finanzierung:</t>
  </si>
  <si>
    <t>in €/Jahr</t>
  </si>
  <si>
    <t xml:space="preserve">Gegenfinanzierung </t>
  </si>
  <si>
    <t>(Ansparung)</t>
  </si>
  <si>
    <t>Guthaben - 
Zinsen</t>
  </si>
  <si>
    <t>Darlehen-
stand</t>
  </si>
  <si>
    <r>
      <t xml:space="preserve">Gegenfinanzierung </t>
    </r>
    <r>
      <rPr>
        <sz val="10"/>
        <rFont val="Arial Narrow"/>
        <family val="2"/>
      </rPr>
      <t>(Ansparung)</t>
    </r>
  </si>
  <si>
    <t>Anspar-
betrag</t>
  </si>
  <si>
    <t>Stand der
Ansparung
am Jahresende</t>
  </si>
  <si>
    <t>Darlehens -
Zinsen
(jährlich)</t>
  </si>
  <si>
    <t>Ansparung</t>
  </si>
  <si>
    <t>Ablösung</t>
  </si>
  <si>
    <t>Anlagengröße:</t>
  </si>
  <si>
    <t>Kosten je kWp:</t>
  </si>
  <si>
    <t>kWh/kWp</t>
  </si>
  <si>
    <t>Kalkulationsbasis:</t>
  </si>
  <si>
    <t>(Prognose)</t>
  </si>
  <si>
    <t>Verzinsung d. Sparanteils :</t>
  </si>
  <si>
    <t>Bitte prüfen Sie bei  Wahl dieser Finanzierungsform  insbesondere Folgendes:</t>
  </si>
  <si>
    <t xml:space="preserve">  ggf. Blitzschutz). Viele Anbieter bieten komplette Anlagen incl. Montage, Anschluß und Anmeldung </t>
  </si>
  <si>
    <t>Tilgung und Zinsen der Darlehen werden im Programm monatlich verarbeitet. D.h. bei Inanspruchnahme</t>
  </si>
  <si>
    <t xml:space="preserve">  Bei dieser Finanzierungsform ist daher unbedingt eine gewissenhafte Prüfung des Ausfallrisikos erforderlich.</t>
  </si>
  <si>
    <t>Dalehenszins Endfälliges Darlehen:</t>
  </si>
  <si>
    <t>Ansparrate Endfälliges Darlehen:</t>
  </si>
  <si>
    <t>Rendite Ansparung:</t>
  </si>
  <si>
    <t>Ablösungsjahr:</t>
  </si>
  <si>
    <t>Eigenkapitalverzinsung</t>
  </si>
  <si>
    <t>Fremdmittel:</t>
  </si>
  <si>
    <t>Laufzeit der Investition:</t>
  </si>
  <si>
    <t>Erwirtschafteter Überschuß:</t>
  </si>
  <si>
    <t>abzgl. eingesetzte Eigenmittel</t>
  </si>
  <si>
    <t>erwirtschafteter Überschuß</t>
  </si>
  <si>
    <t>Anteil Eigenmittel in %:</t>
  </si>
  <si>
    <t>Anteil Fremdmittel in %:</t>
  </si>
  <si>
    <t>eingesetztes Kapital (Ko):</t>
  </si>
  <si>
    <t>Kapital am Ende:</t>
  </si>
  <si>
    <t>Faktor:</t>
  </si>
  <si>
    <t>Zinssatz:</t>
  </si>
  <si>
    <t>gerundet:</t>
  </si>
  <si>
    <t>(gerundet)</t>
  </si>
  <si>
    <t>Kontroll - Gegenrechnung</t>
  </si>
  <si>
    <r>
      <t xml:space="preserve">Herstellungskosten  gesamt in €uro </t>
    </r>
    <r>
      <rPr>
        <sz val="8"/>
        <rFont val="Arial"/>
        <family val="2"/>
      </rPr>
      <t>(lt. Angebot;ohne Mwst.)</t>
    </r>
    <r>
      <rPr>
        <b/>
        <sz val="8"/>
        <rFont val="Arial"/>
        <family val="2"/>
      </rPr>
      <t>:</t>
    </r>
  </si>
  <si>
    <t>Gegenfinanzierung</t>
  </si>
  <si>
    <t>Hilfstabelle: Darlehensverläufe (+Gegenfinanz.)</t>
  </si>
  <si>
    <t>Hinweis- und Fehlertexte:</t>
  </si>
  <si>
    <t>Liquiditätsverlauf gesamt:</t>
  </si>
  <si>
    <t>D: Ja/nein</t>
  </si>
  <si>
    <t>Darlehen:</t>
  </si>
  <si>
    <t>Zur Finanzierung wurden keine Darlehen eingesetzt.</t>
  </si>
  <si>
    <t>Zur Finanzierung wurden folgende Darlehen eingesetzt :</t>
  </si>
  <si>
    <t>Darlehen 1</t>
  </si>
  <si>
    <t>Darlehen 2</t>
  </si>
  <si>
    <t>Darlehen 3</t>
  </si>
  <si>
    <t>Guthabenzisnsatz:</t>
  </si>
  <si>
    <t>R</t>
  </si>
  <si>
    <t>werden sind grundsätzlich ausgeschlossen, sofern seitens des Autors oder Herausgebers</t>
  </si>
  <si>
    <t>kein nachweislich vorsätzliches oder grob fahrlässiges Verschulden vorliegt.</t>
  </si>
  <si>
    <r>
      <t>Eigenmittel</t>
    </r>
    <r>
      <rPr>
        <sz val="10"/>
        <rFont val="Arial"/>
        <family val="2"/>
      </rPr>
      <t xml:space="preserve"> </t>
    </r>
    <r>
      <rPr>
        <sz val="8"/>
        <rFont val="Arial"/>
        <family val="2"/>
      </rPr>
      <t>(Hinweis: automatisch ermittelt aus = Herstellungskosten - Fremdmittel)</t>
    </r>
  </si>
  <si>
    <t>a) Raten- oder Annuitätendarlehen</t>
  </si>
  <si>
    <t>b) Endfälliges Darlehen (mit Gegenfinanzierung)</t>
  </si>
  <si>
    <t>Hinweis:</t>
  </si>
  <si>
    <t>Eine Finanzierung mittels Endfälligem Darlehen und gleichzeitiger Gegenfinanzierung durch Ansparung in eine</t>
  </si>
  <si>
    <r>
      <t xml:space="preserve">Anlageform mit dem Ziel der Ablösung des Darlehens durch die angesparte Anlage birgt </t>
    </r>
    <r>
      <rPr>
        <b/>
        <sz val="10"/>
        <color indexed="10"/>
        <rFont val="Arial"/>
        <family val="2"/>
      </rPr>
      <t xml:space="preserve"> zusätzliche Risiken.</t>
    </r>
  </si>
  <si>
    <r>
      <t>-</t>
    </r>
    <r>
      <rPr>
        <sz val="10"/>
        <color indexed="10"/>
        <rFont val="Arial"/>
        <family val="2"/>
      </rPr>
      <t xml:space="preserve"> </t>
    </r>
    <r>
      <rPr>
        <b/>
        <sz val="10"/>
        <color indexed="10"/>
        <rFont val="Arial"/>
        <family val="2"/>
      </rPr>
      <t>Ausfallrisiko</t>
    </r>
    <r>
      <rPr>
        <sz val="10"/>
        <rFont val="Arial"/>
        <family val="2"/>
      </rPr>
      <t xml:space="preserve"> der Anlage ( Wie sicher ist die Anlage ? )</t>
    </r>
  </si>
  <si>
    <t xml:space="preserve">Ansparbetrag </t>
  </si>
  <si>
    <t>- in % d. Darlehensbetrags</t>
  </si>
  <si>
    <t>- oder in Euro jährlich:</t>
  </si>
  <si>
    <t>Verzinsung des Sparanteils: Warnungsgrenze:</t>
  </si>
  <si>
    <t>R= Ratendarl.
A= Annuit.darl.</t>
  </si>
  <si>
    <t xml:space="preserve">  a) Raten- oder Annutitätendarlehen:</t>
  </si>
  <si>
    <t xml:space="preserve">  Es können maximal 3 Darlehen erfasst werden. Dabei ist zu beachten, dass die Darlehen nur</t>
  </si>
  <si>
    <t xml:space="preserve">  verrechnet werden, wenn alle notwendigen Angaben gemacht wurden.</t>
  </si>
  <si>
    <t xml:space="preserve">  b) Endfälliges Darlehen (mit Gegenfinanzierung):</t>
  </si>
  <si>
    <t xml:space="preserve">  Bei diesem Modell erfolgt die Finanzierung der Photovoltaikanlage mittels endfälligem Darlehen.</t>
  </si>
  <si>
    <t xml:space="preserve">  Um das endfällige Darlehen innerhalb des Lebenszyklus der PV-Anlage (hier werden max.</t>
  </si>
  <si>
    <t xml:space="preserve">  20 Jahre angenommen) abzahlen zu können, wird im Gegenzug eine verzinsliche Anlage ange-</t>
  </si>
  <si>
    <r>
      <t xml:space="preserve">  spart (Gegenfinanzierung). Die </t>
    </r>
    <r>
      <rPr>
        <b/>
        <sz val="10"/>
        <rFont val="Arial"/>
        <family val="2"/>
      </rPr>
      <t>jährlichen Gesamtkosten</t>
    </r>
    <r>
      <rPr>
        <sz val="10"/>
        <rFont val="Arial"/>
        <family val="2"/>
      </rPr>
      <t xml:space="preserve"> der Finanzierung ergeben sich aus </t>
    </r>
  </si>
  <si>
    <t xml:space="preserve">  innerhalb des Lebenszyklus der PV-Anlage (20 Jahre) durch die Ansparung zu tilgen.</t>
  </si>
  <si>
    <r>
      <t xml:space="preserve">- </t>
    </r>
    <r>
      <rPr>
        <b/>
        <sz val="10"/>
        <color indexed="10"/>
        <rFont val="Arial"/>
        <family val="2"/>
      </rPr>
      <t>Rendite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der Anlage ( Ist die prognostizierte Verzinsung tatsächlich erzielbar? )</t>
    </r>
  </si>
  <si>
    <t xml:space="preserve">  verständigen Rat einzuholen. Ggf. ist eine zweite oder dritte Meinung hilfreich und verhilft dazu, </t>
  </si>
  <si>
    <t>- Üblicherweise eignen sich Endfällige Darlehen eher dazu, Investitionen zu finanzieren, bei welchen</t>
  </si>
  <si>
    <t xml:space="preserve">  ab Beginn der Investition zurückfließt, ist streng auf die Ansparung einer Gegenfinanzierung zu</t>
  </si>
  <si>
    <t xml:space="preserve">  auch der Ertrag in einem Betrag endfällig am Ende der Laufzeit zu erwarten ist. Werden dagegen </t>
  </si>
  <si>
    <t xml:space="preserve">  achten.</t>
  </si>
  <si>
    <t xml:space="preserve">  solche Gegenfinanzierung eingeplant wurde.</t>
  </si>
  <si>
    <t xml:space="preserve">  Das vorliegende Programm lässt daher den Einsatz eines Endfälligen Darlehens nur zu, wenn eine</t>
  </si>
  <si>
    <t>!!</t>
  </si>
  <si>
    <r>
      <t xml:space="preserve"> -</t>
    </r>
    <r>
      <rPr>
        <b/>
        <i/>
        <sz val="10"/>
        <color indexed="57"/>
        <rFont val="Arial"/>
        <family val="2"/>
      </rPr>
      <t>Fremdmittel:</t>
    </r>
    <r>
      <rPr>
        <sz val="10"/>
        <rFont val="Arial"/>
        <family val="2"/>
      </rPr>
      <t xml:space="preserve">  </t>
    </r>
  </si>
  <si>
    <r>
      <t xml:space="preserve">- Die </t>
    </r>
    <r>
      <rPr>
        <b/>
        <sz val="8"/>
        <rFont val="Arial"/>
        <family val="2"/>
      </rPr>
      <t>Laufzeiten</t>
    </r>
    <r>
      <rPr>
        <sz val="8"/>
        <rFont val="Arial"/>
        <family val="2"/>
      </rPr>
      <t xml:space="preserve"> des Endfälligen Darlehens und der Ansparung sind </t>
    </r>
    <r>
      <rPr>
        <b/>
        <sz val="8"/>
        <rFont val="Arial"/>
        <family val="2"/>
      </rPr>
      <t>aufeinander abzustimmen</t>
    </r>
    <r>
      <rPr>
        <sz val="8"/>
        <rFont val="Arial"/>
        <family val="2"/>
      </rPr>
      <t>.</t>
    </r>
  </si>
  <si>
    <t xml:space="preserve">  endfällige Darlehen aus dem  (ggf. privaten) Vermögen des Darlehensnehmers zu begleichen.</t>
  </si>
  <si>
    <t xml:space="preserve">  Bei der Wahl dieser Finanzierungsform empfiehlt es sich besonders, unabhängigen und sach-</t>
  </si>
  <si>
    <t>30 bis 100 kWp</t>
  </si>
  <si>
    <t>MWp</t>
  </si>
  <si>
    <t>Kapitalkonto vor Zins</t>
  </si>
  <si>
    <t>Kapitalkonto m. Zins</t>
  </si>
  <si>
    <t>Zinssatz 
nominal</t>
  </si>
  <si>
    <t>Aus-
zahlung</t>
  </si>
  <si>
    <t>www.lel-bw.de</t>
  </si>
  <si>
    <t>Darlehensbetrag in €; Darlehensart = A; Zinssatz nominal in %; jährliche Annuität in %</t>
  </si>
  <si>
    <r>
      <t xml:space="preserve">- Geldanlagen (hier die Ansparung) bergen ein </t>
    </r>
    <r>
      <rPr>
        <b/>
        <sz val="8"/>
        <rFont val="Arial"/>
        <family val="2"/>
      </rPr>
      <t>Ausfallrisiko</t>
    </r>
    <r>
      <rPr>
        <sz val="8"/>
        <rFont val="Arial"/>
        <family val="2"/>
      </rPr>
      <t>. Häufig sind hohe Renditen mit</t>
    </r>
  </si>
  <si>
    <t xml:space="preserve">  einem höheren Ausfallrisiko verbunden. Sollte die Anlage (Gegenfinanzierung) ausfallen, ist das </t>
  </si>
  <si>
    <t>*   Die Erfassung eigener Vergütungssätze erfolgt auf eigene Verantwortung. Bitte Möglichkeit nur verwenden, wenn die Gesetzeslage aktuell unklar ist.</t>
  </si>
  <si>
    <t>(Gesamtkosten der Planung und Herstellung; Kosten ohne Mwst.)</t>
  </si>
  <si>
    <t>Rückfluss</t>
  </si>
  <si>
    <t>R: Jahr 1</t>
  </si>
  <si>
    <t>R: Jahr 21</t>
  </si>
  <si>
    <t>R: Jahr 2</t>
  </si>
  <si>
    <t>R1</t>
  </si>
  <si>
    <t>R2</t>
  </si>
  <si>
    <t>R3</t>
  </si>
  <si>
    <t>R4</t>
  </si>
  <si>
    <t>R5</t>
  </si>
  <si>
    <t>R6</t>
  </si>
  <si>
    <t>R7</t>
  </si>
  <si>
    <t>R8</t>
  </si>
  <si>
    <t>R9</t>
  </si>
  <si>
    <t>R10</t>
  </si>
  <si>
    <t>R11</t>
  </si>
  <si>
    <t>R12</t>
  </si>
  <si>
    <t>R13</t>
  </si>
  <si>
    <t>R14</t>
  </si>
  <si>
    <t>R15</t>
  </si>
  <si>
    <t>R16</t>
  </si>
  <si>
    <t>R17</t>
  </si>
  <si>
    <t>R18</t>
  </si>
  <si>
    <t>R19</t>
  </si>
  <si>
    <t>R20</t>
  </si>
  <si>
    <t>R21</t>
  </si>
  <si>
    <t>R: Jahr 3</t>
  </si>
  <si>
    <t>R: Jahr 4</t>
  </si>
  <si>
    <t>R: Jahr 5</t>
  </si>
  <si>
    <t>R: Jahr 6</t>
  </si>
  <si>
    <t>R: Jahr 7</t>
  </si>
  <si>
    <t>R: Jahr 8</t>
  </si>
  <si>
    <t>R: Jahr 9</t>
  </si>
  <si>
    <t>R: Jahr 10</t>
  </si>
  <si>
    <t>R: Jahr 11</t>
  </si>
  <si>
    <t>R: Jahr 12</t>
  </si>
  <si>
    <t>R: Jahr 13</t>
  </si>
  <si>
    <t>R: Jahr 14</t>
  </si>
  <si>
    <t>R: Jahr 15</t>
  </si>
  <si>
    <t>R: Jahr 16</t>
  </si>
  <si>
    <t>R: Jahr 17</t>
  </si>
  <si>
    <t>R: Jahr 18</t>
  </si>
  <si>
    <t>R: Jahr 19</t>
  </si>
  <si>
    <t>R: Jahr 20</t>
  </si>
  <si>
    <t>Zeitraum</t>
  </si>
  <si>
    <t>0 bis 30 kWp</t>
  </si>
  <si>
    <t>Degr.</t>
  </si>
  <si>
    <t>in €/kWh</t>
  </si>
  <si>
    <t>100 - 1000 kWp</t>
  </si>
  <si>
    <t>Konversions-</t>
  </si>
  <si>
    <r>
      <t xml:space="preserve">flächenanlage </t>
    </r>
    <r>
      <rPr>
        <vertAlign val="superscript"/>
        <sz val="10"/>
        <rFont val="Arial"/>
        <family val="2"/>
      </rPr>
      <t>3)</t>
    </r>
  </si>
  <si>
    <t>Einspeisevergütungen Photovoltaik nach EEG</t>
  </si>
  <si>
    <t>Anlage "an und auf Gebäuden"</t>
  </si>
  <si>
    <t>Konversionsflächenanlage</t>
  </si>
  <si>
    <t>0-</t>
  </si>
  <si>
    <t>&gt;</t>
  </si>
  <si>
    <t>Wissenswertes zur Ertragsabschätzung</t>
  </si>
  <si>
    <t>Bei der Planung stehen zur Abschätzung des Ertrags folgende</t>
  </si>
  <si>
    <t>Möglichkeiten zur Verfügung.</t>
  </si>
  <si>
    <t xml:space="preserve">a) Fragen Sie einen Nachbarn, </t>
  </si>
  <si>
    <t>der bereits eine ähnliche PV-</t>
  </si>
  <si>
    <t xml:space="preserve">Anlage mit vergleichbarem </t>
  </si>
  <si>
    <t>Standort betreibt.</t>
  </si>
  <si>
    <t>b) Nutzen Sie die Möglichkeiten</t>
  </si>
  <si>
    <t>eines Ertragsgutachtens des</t>
  </si>
  <si>
    <t xml:space="preserve"> Deutschen Wetterdienstes</t>
  </si>
  <si>
    <t xml:space="preserve"> (DWD).</t>
  </si>
  <si>
    <t>Wissenswertes zur Ausrichtung der Anlage</t>
  </si>
  <si>
    <t xml:space="preserve">Photovoltaikanlagen werden bei Dachanlagen i.d.R. fest </t>
  </si>
  <si>
    <t>montiert (ohne Nachführung). Von großer Bedeutung für die</t>
  </si>
  <si>
    <t xml:space="preserve">"Sonnenernte" ist in diesem Fall die Ausrichtung des Daches </t>
  </si>
  <si>
    <t>gegen Süden. Ideal ist</t>
  </si>
  <si>
    <t>eine Ausrichtung von</t>
  </si>
  <si>
    <t>0° gegen Süden,</t>
  </si>
  <si>
    <t>Abweichungen bis</t>
  </si>
  <si>
    <t>ca. 45° zeigen in der</t>
  </si>
  <si>
    <t>Praxis jedoch meist nur</t>
  </si>
  <si>
    <t>geringe Ertragsrückgänge.</t>
  </si>
  <si>
    <t>Wissenswertes zur Globalstrahlung:</t>
  </si>
  <si>
    <t>Summe der Globalstrahlung</t>
  </si>
  <si>
    <t>in der Region:</t>
  </si>
  <si>
    <t>Begünstigt von der Sonne ist</t>
  </si>
  <si>
    <t>Deutschlands Süden.</t>
  </si>
  <si>
    <t>Während in Freiburg im 20-jährigen</t>
  </si>
  <si>
    <t>Mittel rund 1.200 kWh/m² Sonnen-</t>
  </si>
  <si>
    <t>energie im Jahr einstrahlt sind es</t>
  </si>
  <si>
    <t>im Norden gerade mal 900 kWh/m².</t>
  </si>
  <si>
    <t>Wissenswertes zum Anstellwinkel:</t>
  </si>
  <si>
    <t>Bei Südausrichtung des Daches hat sich in Süddeutschland</t>
  </si>
  <si>
    <t>in der Praxis ein Anstellwinkel von 28-30° gegen die</t>
  </si>
  <si>
    <t>Horizontale als ideal erwiesen.</t>
  </si>
  <si>
    <t>Geringfügige Abweichung vom Ideal-</t>
  </si>
  <si>
    <t>wert fallen nur wenig ins Gewicht.</t>
  </si>
  <si>
    <t>Bei starke Abweichung der</t>
  </si>
  <si>
    <t xml:space="preserve">Dachausrichtung von Süden </t>
  </si>
  <si>
    <t>können flachere Anstellwinkel</t>
  </si>
  <si>
    <t>von Vorteil sein.</t>
  </si>
  <si>
    <t>Lediglich rund 50% der Globalstrahlung treffen in Deutschland</t>
  </si>
  <si>
    <t>als direkte Sonneneinstrahlung</t>
  </si>
  <si>
    <t>auf die Erdoberfläche.</t>
  </si>
  <si>
    <t>Bei den restlichen 50%</t>
  </si>
  <si>
    <t>der Globalstrahlung handelt</t>
  </si>
  <si>
    <t>es sich um so genannte</t>
  </si>
  <si>
    <t>diffuse Strahlung</t>
  </si>
  <si>
    <t>(einschließlich</t>
  </si>
  <si>
    <t>reflektierter Strahlung).</t>
  </si>
  <si>
    <t>Bei nicht idealer Ausrichtung der Photovoltaikanlage kann der</t>
  </si>
  <si>
    <t>Ertrag (-sverlust) mit Hilfe der beiliegenden Grafik ungefähr</t>
  </si>
  <si>
    <t>abgeschätzt werden. Aus der Grafik ist folgendes abzulesen:</t>
  </si>
  <si>
    <t>Bei einer Abweichung</t>
  </si>
  <si>
    <t>der Anlage um 45° von</t>
  </si>
  <si>
    <t>Süden und einer Dach-</t>
  </si>
  <si>
    <t>neigung von 40° ist mit</t>
  </si>
  <si>
    <t>einer Ertragseinbuße</t>
  </si>
  <si>
    <t xml:space="preserve">von rund 3-5% zu </t>
  </si>
  <si>
    <t>rechnen.</t>
  </si>
  <si>
    <r>
      <t xml:space="preserve">  Einstrahlung am Standort in der nachfolgenden Zelle als </t>
    </r>
    <r>
      <rPr>
        <b/>
        <u/>
        <sz val="10"/>
        <rFont val="Arial"/>
        <family val="2"/>
      </rPr>
      <t>Information</t>
    </r>
    <r>
      <rPr>
        <sz val="10"/>
        <rFont val="Arial"/>
        <family val="2"/>
      </rPr>
      <t xml:space="preserve"> ausgewiesen.</t>
    </r>
  </si>
  <si>
    <t>Programmvoraussetzungen</t>
  </si>
  <si>
    <t>Das vorliegenden Programm benötigt mindestens Microsoft Excel 2000 als Basis-Software.</t>
  </si>
  <si>
    <t>Das Programm ist auf anderer Sofware (z.B. OpenOffice) leider nicht lauffähig.</t>
  </si>
  <si>
    <t>Das vorliegenden Programm soll</t>
  </si>
  <si>
    <t xml:space="preserve"> €/ kWh</t>
  </si>
  <si>
    <r>
      <t>üb. 1000 kWp</t>
    </r>
    <r>
      <rPr>
        <vertAlign val="superscript"/>
        <sz val="10"/>
        <rFont val="Arial"/>
        <family val="2"/>
      </rPr>
      <t xml:space="preserve"> 2)</t>
    </r>
  </si>
  <si>
    <r>
      <t xml:space="preserve">   - </t>
    </r>
    <r>
      <rPr>
        <sz val="10"/>
        <rFont val="Arial"/>
        <family val="2"/>
      </rPr>
      <t>Ø</t>
    </r>
    <r>
      <rPr>
        <sz val="10"/>
        <rFont val="Arial"/>
        <family val="2"/>
      </rPr>
      <t xml:space="preserve"> Stromertrag</t>
    </r>
  </si>
  <si>
    <t>2010 (Jul. - Sep.)</t>
  </si>
  <si>
    <t>2010 (Okt. - Dez.)</t>
  </si>
  <si>
    <r>
      <t xml:space="preserve">Anlagen "an oder auf einem Gebäude" (Dachanlage / Fassadenanlage </t>
    </r>
    <r>
      <rPr>
        <vertAlign val="superscript"/>
        <sz val="10"/>
        <rFont val="Arial Narrow"/>
        <family val="2"/>
      </rPr>
      <t>1)</t>
    </r>
  </si>
  <si>
    <t>größe</t>
  </si>
  <si>
    <t>max. Anl.-</t>
  </si>
  <si>
    <t>in kWp</t>
  </si>
  <si>
    <t>in €/kWp</t>
  </si>
  <si>
    <t>Wertansatz</t>
  </si>
  <si>
    <t>Eigenstrom</t>
  </si>
  <si>
    <r>
      <t xml:space="preserve">Eigenstromverbrauch </t>
    </r>
    <r>
      <rPr>
        <vertAlign val="superscript"/>
        <sz val="10"/>
        <rFont val="Arial"/>
        <family val="2"/>
      </rPr>
      <t>4)</t>
    </r>
  </si>
  <si>
    <t>(rechnerische)</t>
  </si>
  <si>
    <t>100 bis 500 kWp</t>
  </si>
  <si>
    <t>Vergütungs-</t>
  </si>
  <si>
    <t>anteile in %</t>
  </si>
  <si>
    <t>Kürzung d.</t>
  </si>
  <si>
    <t>Stromverkauf</t>
  </si>
  <si>
    <t>Wartung /</t>
  </si>
  <si>
    <t>Reparatur</t>
  </si>
  <si>
    <t>Versicher-</t>
  </si>
  <si>
    <t>ung</t>
  </si>
  <si>
    <t>so.Kosten +</t>
  </si>
  <si>
    <t>Arbeitsko.</t>
  </si>
  <si>
    <t>Saldo</t>
  </si>
  <si>
    <t>Einnahmen -</t>
  </si>
  <si>
    <t>Ausgaben</t>
  </si>
  <si>
    <t>jährlich</t>
  </si>
  <si>
    <t xml:space="preserve"> kumuliert</t>
  </si>
  <si>
    <t>Interner Zinssatz:</t>
  </si>
  <si>
    <t>Eigenstrom - WERT</t>
  </si>
  <si>
    <t>Hinweise:</t>
  </si>
  <si>
    <t>Photovoltaik
 -Kalkulation-</t>
  </si>
  <si>
    <t>2010 (Jan. - Jun.)</t>
  </si>
  <si>
    <r>
      <t xml:space="preserve">Verzinsung des Kapitals </t>
    </r>
    <r>
      <rPr>
        <b/>
        <i/>
        <sz val="10"/>
        <rFont val="Arial"/>
        <family val="2"/>
      </rPr>
      <t>nach der Methode</t>
    </r>
    <r>
      <rPr>
        <b/>
        <i/>
        <sz val="16"/>
        <rFont val="Arial"/>
        <family val="2"/>
      </rPr>
      <t xml:space="preserve"> "Interner Zinsfuß" </t>
    </r>
    <r>
      <rPr>
        <b/>
        <i/>
        <sz val="10"/>
        <rFont val="Arial"/>
        <family val="2"/>
      </rPr>
      <t xml:space="preserve"> (Ergebnis vor Steuern; gerundet)</t>
    </r>
  </si>
  <si>
    <t>Liquiditätsverlauf kumuliert (mit Wert d. Eigenstroms)</t>
  </si>
  <si>
    <t>Grafik: Liquiditätsverlauf kumuliert</t>
  </si>
  <si>
    <t>Legende:</t>
  </si>
  <si>
    <t>Liquiditätsverlauf - jährlicher Zahlungsfluss (incl. Eigenstrom)</t>
  </si>
  <si>
    <t xml:space="preserve"> - Statische Wirtschaftlichkeitsrechnung:</t>
  </si>
  <si>
    <t>Überschuß bzw. Verlust (vor Steuern)</t>
  </si>
  <si>
    <t xml:space="preserve">  Mit der Methode "Interner Zinsfuß" wird der interne Zinssatz ermittelt. Er kennzeichnet die </t>
  </si>
  <si>
    <t xml:space="preserve">  Rentabilität des jeweils noch in der Investition gebundenen Kapitals (effektive Verzinsung bzw. </t>
  </si>
  <si>
    <t xml:space="preserve">  interne Rendite einer Investition, unabhängig von der Finanzierungsart).</t>
  </si>
  <si>
    <t xml:space="preserve">  1) Wird eine Investition mit Fremdkapital finanziert, so ist dies nur dann sinnvoll bzw. rentabel, </t>
  </si>
  <si>
    <t xml:space="preserve">  2) Je höher der interne Zinssatz über dem Fremdkapitalzins liegt, desto höher ist der zu</t>
  </si>
  <si>
    <t xml:space="preserve">      erwartende „Überschuss vor Steuern“, welcher als Einkommenskomponente zur Deckung </t>
  </si>
  <si>
    <t xml:space="preserve">      von Unternehmerrisiko und -entlohnung dem Anlagenbetreiber verbleibt. </t>
  </si>
  <si>
    <t xml:space="preserve">  3) Der interne Zinssatz wird in der Praxis auch zum Vergleich verschiedener Investitions-</t>
  </si>
  <si>
    <t xml:space="preserve">      und Anlagemöglichkeiten verwendet (z.B.: Photovoltaik, Biogas, Geldanlage als Rentenmodell, ...).</t>
  </si>
  <si>
    <t>(Voreinstellung: 930 kWh / kWp)</t>
  </si>
  <si>
    <t xml:space="preserve">  Die Modulhersteller sichern meist Leistungsgarantien  von mind. 80% und mehr für eine Laufzeit </t>
  </si>
  <si>
    <t xml:space="preserve">  Die Angaben "Darlehens-Nr.", "Bank", "tilgungsfreie Jahre" und "Auszahlung" sind nicht zwingend </t>
  </si>
  <si>
    <t xml:space="preserve">  zu erfassen. Es empfiehlt sich jedoch im eigenen Interesse die tilgungsfreien Jahre und die </t>
  </si>
  <si>
    <t xml:space="preserve">  Auszahlung noch zu erfassen, da beides wesentlichen Einfluss auf den Verlauf der Liquidität über </t>
  </si>
  <si>
    <t>Vergütungen</t>
  </si>
  <si>
    <r>
      <t xml:space="preserve">   Die Wirtschaftlichkeit wird als </t>
    </r>
    <r>
      <rPr>
        <b/>
        <sz val="10"/>
        <rFont val="Arial"/>
        <family val="2"/>
      </rPr>
      <t>"</t>
    </r>
    <r>
      <rPr>
        <b/>
        <sz val="10"/>
        <color indexed="12"/>
        <rFont val="Arial"/>
        <family val="2"/>
      </rPr>
      <t>Unternehmergewinn vor Steuern</t>
    </r>
    <r>
      <rPr>
        <b/>
        <sz val="10"/>
        <rFont val="Arial"/>
        <family val="2"/>
      </rPr>
      <t>"</t>
    </r>
    <r>
      <rPr>
        <sz val="10"/>
        <rFont val="Arial"/>
        <family val="2"/>
      </rPr>
      <t xml:space="preserve"> ermittelt </t>
    </r>
  </si>
  <si>
    <t xml:space="preserve"> - Dynamische Wirtschaftlichkeitsrechnung:</t>
  </si>
  <si>
    <t xml:space="preserve"> - Liquiditätsvorschau:</t>
  </si>
  <si>
    <t xml:space="preserve">  Wichtig:  </t>
  </si>
  <si>
    <t xml:space="preserve">Bei dieser Form der Finanzierung sind eine Reihe von Punkten zu beachten (nicht abschließende Aufzählung). </t>
  </si>
  <si>
    <r>
      <t xml:space="preserve">- Darüber hinaus ist  vom Darlehensnehmer gewissenhaft zu </t>
    </r>
    <r>
      <rPr>
        <b/>
        <sz val="8"/>
        <rFont val="Arial"/>
        <family val="2"/>
      </rPr>
      <t>prüfen,</t>
    </r>
    <r>
      <rPr>
        <sz val="8"/>
        <rFont val="Arial"/>
        <family val="2"/>
      </rPr>
      <t xml:space="preserve"> ob die prognostizierte </t>
    </r>
    <r>
      <rPr>
        <b/>
        <sz val="8"/>
        <rFont val="Arial"/>
        <family val="2"/>
      </rPr>
      <t xml:space="preserve">Rendite </t>
    </r>
  </si>
  <si>
    <r>
      <t xml:space="preserve">  </t>
    </r>
    <r>
      <rPr>
        <b/>
        <sz val="8"/>
        <rFont val="Arial"/>
        <family val="2"/>
      </rPr>
      <t>der Geldanlage</t>
    </r>
    <r>
      <rPr>
        <sz val="8"/>
        <rFont val="Arial"/>
        <family val="2"/>
      </rPr>
      <t xml:space="preserve"> real erzielbar ist.</t>
    </r>
  </si>
  <si>
    <t xml:space="preserve">  Risiken auszuschließen oder zumindest zu begrenzen.</t>
  </si>
  <si>
    <t xml:space="preserve">  Für die "Sonnenernte" sind neben leistungsfähigen Modulen noch weitere Punkte zu beachten:</t>
  </si>
  <si>
    <t xml:space="preserve">   -Die Module sollten auf nach Süden ausgerichteten Dächern installiert werden.</t>
  </si>
  <si>
    <t>Zinsen</t>
  </si>
  <si>
    <t>Tilgung</t>
  </si>
  <si>
    <t>Jahre</t>
  </si>
  <si>
    <t>Zins</t>
  </si>
  <si>
    <t>kWp</t>
  </si>
  <si>
    <t>€</t>
  </si>
  <si>
    <t>%</t>
  </si>
  <si>
    <t>Vergütung</t>
  </si>
  <si>
    <t>Summe</t>
  </si>
  <si>
    <t>Versicherung</t>
  </si>
  <si>
    <t>Investition:</t>
  </si>
  <si>
    <t>Leistungsdaten:</t>
  </si>
  <si>
    <t>kW</t>
  </si>
  <si>
    <t>Wirtschaftlichkeit der Anlage:</t>
  </si>
  <si>
    <t>installierte Leistung gesamt:</t>
  </si>
  <si>
    <t>Stromerzeugung im</t>
  </si>
  <si>
    <t>Jahr</t>
  </si>
  <si>
    <t>% pro Jahr</t>
  </si>
  <si>
    <t>€/ Jahr</t>
  </si>
  <si>
    <t xml:space="preserve"> Kosten</t>
  </si>
  <si>
    <t>Finanzierung:</t>
  </si>
  <si>
    <t>Kosten der Anlage in €uro/kWp:</t>
  </si>
  <si>
    <t>Herstellungskosten:</t>
  </si>
  <si>
    <t>Bank</t>
  </si>
  <si>
    <t>Finanzierung</t>
  </si>
  <si>
    <t>Betrag:</t>
  </si>
  <si>
    <t>Zins:</t>
  </si>
  <si>
    <t>Monat</t>
  </si>
  <si>
    <t xml:space="preserve">Nutzungsdauer: </t>
  </si>
  <si>
    <t>Stand Monatsanfang</t>
  </si>
  <si>
    <t>Stand Monatsende</t>
  </si>
  <si>
    <t>Fremdmittel</t>
  </si>
  <si>
    <t>Darlehens-</t>
  </si>
  <si>
    <t>Laufzeit</t>
  </si>
  <si>
    <t>Annuität</t>
  </si>
  <si>
    <t>tilg.freie</t>
  </si>
  <si>
    <t>Darlehens-Nr.</t>
  </si>
  <si>
    <t>in Jahre</t>
  </si>
  <si>
    <t>in %</t>
  </si>
  <si>
    <t xml:space="preserve"> in %</t>
  </si>
  <si>
    <t>Darlehenstand
Jahresende</t>
  </si>
  <si>
    <t>Darlehenstand
Jahresanfang</t>
  </si>
  <si>
    <t>Kapitaldienst
gesamt</t>
  </si>
  <si>
    <t>Darlehensart:</t>
  </si>
  <si>
    <t>Laufzeit:</t>
  </si>
  <si>
    <t>Annuität:</t>
  </si>
  <si>
    <t>tilg.freie Jahre:</t>
  </si>
  <si>
    <t>tilgungsfreie Jahre:</t>
  </si>
  <si>
    <t>Annuität.:</t>
  </si>
  <si>
    <t>(</t>
  </si>
  <si>
    <t>)</t>
  </si>
  <si>
    <t>bis</t>
  </si>
  <si>
    <t>über</t>
  </si>
  <si>
    <t>Hilfsrechnung:</t>
  </si>
  <si>
    <r>
      <t>betrag</t>
    </r>
    <r>
      <rPr>
        <b/>
        <sz val="8"/>
        <rFont val="Arial"/>
        <family val="2"/>
      </rPr>
      <t xml:space="preserve"> in €</t>
    </r>
  </si>
  <si>
    <t>in €</t>
  </si>
  <si>
    <t>Wartung/Rep.</t>
  </si>
  <si>
    <t>Sonst. Kosten</t>
  </si>
  <si>
    <t>Jan</t>
  </si>
  <si>
    <t>Feb</t>
  </si>
  <si>
    <t>Mär</t>
  </si>
  <si>
    <t>Apr</t>
  </si>
  <si>
    <t>Mai</t>
  </si>
  <si>
    <t>Jun</t>
  </si>
  <si>
    <t>Jul</t>
  </si>
  <si>
    <t>Aug</t>
  </si>
  <si>
    <t>Sep</t>
  </si>
  <si>
    <t>Okt</t>
  </si>
  <si>
    <t>Nov</t>
  </si>
  <si>
    <t>Dez</t>
  </si>
  <si>
    <t xml:space="preserve">Durchschnittliche Globalstrahlung pro Tag </t>
  </si>
  <si>
    <t>Bezug:</t>
  </si>
  <si>
    <t>ebene Fläche:</t>
  </si>
  <si>
    <t>kWh/ m²*d</t>
  </si>
  <si>
    <t>kWh/</t>
  </si>
  <si>
    <t>m²,Jahr:</t>
  </si>
  <si>
    <t>Ort</t>
  </si>
  <si>
    <t>Berlin</t>
  </si>
  <si>
    <t>Hamburg</t>
  </si>
  <si>
    <t>Dortmund</t>
  </si>
  <si>
    <t>Frankfurt a.M.</t>
  </si>
  <si>
    <t>Mannheim</t>
  </si>
  <si>
    <t>Stuttgart</t>
  </si>
  <si>
    <t>Freiburg</t>
  </si>
  <si>
    <t>München</t>
  </si>
  <si>
    <t>Ulm</t>
  </si>
  <si>
    <t>Würzburg</t>
  </si>
  <si>
    <t>Mrz</t>
  </si>
  <si>
    <t>kWh/m²,J.</t>
  </si>
  <si>
    <t>Guthabenzins:</t>
  </si>
  <si>
    <r>
      <t xml:space="preserve">€/kWp </t>
    </r>
    <r>
      <rPr>
        <sz val="8"/>
        <rFont val="Arial"/>
        <family val="2"/>
      </rPr>
      <t>(o.Mwst.)</t>
    </r>
  </si>
  <si>
    <t>Darl.zins ges.</t>
  </si>
  <si>
    <t>Zins Kap.Kont.</t>
  </si>
  <si>
    <t xml:space="preserve">Standort: </t>
  </si>
  <si>
    <t>kWh/ m²</t>
  </si>
  <si>
    <t>Startjahr</t>
  </si>
  <si>
    <t>durchschnittlich festgelegter Kapitalanteil</t>
  </si>
  <si>
    <t>Kalkulationszinssatz</t>
  </si>
  <si>
    <t>Lohnansatz</t>
  </si>
  <si>
    <t>Akh</t>
  </si>
  <si>
    <t>€/Akh</t>
  </si>
  <si>
    <t>Akh/Jahr</t>
  </si>
  <si>
    <t>Liquiditätsvorschau: (vor Steuern)</t>
  </si>
  <si>
    <t>Betrag</t>
  </si>
  <si>
    <t>Rückflüsse der Investition:</t>
  </si>
  <si>
    <t>Berechnung:</t>
  </si>
  <si>
    <t xml:space="preserve"> + Vergütung (gelieferter Strom, o. Mwst.)</t>
  </si>
  <si>
    <t xml:space="preserve"> - Wartung / Reparatur -Ausgaben </t>
  </si>
  <si>
    <t xml:space="preserve"> - Ausgaben für Versicherung</t>
  </si>
  <si>
    <t xml:space="preserve"> - Ausgaben für Sonstige Kosten (Buchführung, Pachten, ....)</t>
  </si>
  <si>
    <t xml:space="preserve"> = Zahlungsstrom jährlich (Rückfluß)</t>
  </si>
  <si>
    <r>
      <t xml:space="preserve">Rückflüsse </t>
    </r>
    <r>
      <rPr>
        <sz val="8"/>
        <rFont val="Arial"/>
        <family val="2"/>
      </rPr>
      <t>(Tabelle verarbeitet max. 25 Jahre)</t>
    </r>
    <r>
      <rPr>
        <sz val="10"/>
        <rFont val="Arial"/>
        <family val="2"/>
      </rPr>
      <t>:</t>
    </r>
  </si>
  <si>
    <t>Rückflüsse für die Berechnung "Interner Zinsfuß"</t>
  </si>
  <si>
    <t>Dispo-Kreditzins:</t>
  </si>
  <si>
    <r>
      <t xml:space="preserve">im  Jahresverlauf; </t>
    </r>
    <r>
      <rPr>
        <sz val="10"/>
        <rFont val="Arial"/>
        <family val="2"/>
      </rPr>
      <t>Standort:</t>
    </r>
  </si>
  <si>
    <t>Hilfstabelle: Grafik Liquiditätsverlauf:</t>
  </si>
  <si>
    <t>ausgewählt:</t>
  </si>
  <si>
    <t>Standort</t>
  </si>
  <si>
    <t xml:space="preserve"> - Ausgaben für Zinsen (Kapitalkonto; nur Zinsausgaben berücksichtigt!)</t>
  </si>
  <si>
    <t>Zurück</t>
  </si>
  <si>
    <t>Hilfestellung zur Ertragsabschätzung einer Solaranlage</t>
  </si>
  <si>
    <t>Fest montierte (nicht dem Sonnenstand nachgeführte Anlagen) erzielen in Süddeutschland i.d.R. den maximalen Jahresertrag,</t>
  </si>
  <si>
    <t>wenn die Module nach Süden ausgerichtet  und im Winkel von 30° gegen die Horizontale geneigt sind.</t>
  </si>
  <si>
    <t>Bei Abweichung der Module aus der Südrichtung ergeben sich gewissen Ertragseinbußen durch erhöhte Reflexion des</t>
  </si>
  <si>
    <t>Sonnenlichtes sowie der im Mittel kleineren sonnenwirksamen Fläche. Bei nicht allzu großer Abweichung von der idealen</t>
  </si>
  <si>
    <t>die diffuse Sonnenstrahlung. Der Anteil der diffusen Strahlung liegt in Deutschland bei ca. 50-55%.</t>
  </si>
  <si>
    <t>Hilfe</t>
  </si>
  <si>
    <t>Herstellungskosten</t>
  </si>
  <si>
    <t>Summe:</t>
  </si>
  <si>
    <t>Zins (nom.):</t>
  </si>
  <si>
    <t>Zins(nom.):</t>
  </si>
  <si>
    <r>
      <t xml:space="preserve"> -</t>
    </r>
    <r>
      <rPr>
        <b/>
        <i/>
        <sz val="10"/>
        <color indexed="57"/>
        <rFont val="Arial"/>
        <family val="2"/>
      </rPr>
      <t>Standort</t>
    </r>
    <r>
      <rPr>
        <sz val="10"/>
        <rFont val="Arial"/>
        <family val="2"/>
      </rPr>
      <t>: Die Summe der eingestrahlten Sonnenenergie pro Quadratmeter variiert</t>
    </r>
  </si>
  <si>
    <t xml:space="preserve">  innerhalb Deutschlands erheblich. So beträgt die Jahressumme der Globalstrahlung in Hamburg </t>
  </si>
  <si>
    <t xml:space="preserve">  1150 kWh/m² und Jahr. Durch Einstellung des Standorts wird die durchschnittliche jährliche</t>
  </si>
  <si>
    <r>
      <t xml:space="preserve"> -</t>
    </r>
    <r>
      <rPr>
        <b/>
        <i/>
        <sz val="10"/>
        <color indexed="57"/>
        <rFont val="Arial"/>
        <family val="2"/>
      </rPr>
      <t>durchschnittliche jährliche Einstrahlung am Standort:</t>
    </r>
    <r>
      <rPr>
        <sz val="10"/>
        <rFont val="Arial"/>
        <family val="2"/>
      </rPr>
      <t xml:space="preserve">  Jahressumme der Globalstrahlung</t>
    </r>
  </si>
  <si>
    <t>1.</t>
  </si>
  <si>
    <t>Datenerfassung:</t>
  </si>
  <si>
    <t>2.</t>
  </si>
  <si>
    <t>2.1.</t>
  </si>
  <si>
    <t>2.2.</t>
  </si>
  <si>
    <t xml:space="preserve">  zur ersten Beurteilung verschiedener Angebote.</t>
  </si>
  <si>
    <t xml:space="preserve">  Der vom Programm ermittelte Betrag "Kosten der Anlage in €uro/kWp" dient als Vergleichsgröße</t>
  </si>
  <si>
    <t>2.3.</t>
  </si>
  <si>
    <r>
      <t>Hilfestellungen bei der Investition in eine Photovoltaikanlage</t>
    </r>
    <r>
      <rPr>
        <sz val="10"/>
        <rFont val="Arial"/>
        <family val="2"/>
      </rPr>
      <t xml:space="preserve"> geben.</t>
    </r>
  </si>
  <si>
    <r>
      <t xml:space="preserve"> -</t>
    </r>
    <r>
      <rPr>
        <b/>
        <i/>
        <sz val="10"/>
        <color indexed="57"/>
        <rFont val="Arial"/>
        <family val="2"/>
      </rPr>
      <t>jährlicher Stromertrag in kWh / kWp:</t>
    </r>
    <r>
      <rPr>
        <sz val="10"/>
        <rFont val="Arial"/>
        <family val="2"/>
      </rPr>
      <t xml:space="preserve"> Je kWp (Kilowatt-Peak) lassen sich in Süddeutschland</t>
    </r>
  </si>
  <si>
    <r>
      <t xml:space="preserve"> -</t>
    </r>
    <r>
      <rPr>
        <b/>
        <i/>
        <sz val="10"/>
        <color indexed="57"/>
        <rFont val="Arial"/>
        <family val="2"/>
      </rPr>
      <t>Stromerzeugung:</t>
    </r>
    <r>
      <rPr>
        <sz val="10"/>
        <rFont val="Arial"/>
        <family val="2"/>
      </rPr>
      <t xml:space="preserve"> (im Herstellungsjahr / im 1. Jahr / im </t>
    </r>
  </si>
  <si>
    <t>Jahr)</t>
  </si>
  <si>
    <t>2.4.</t>
  </si>
  <si>
    <r>
      <t xml:space="preserve">  Differenz </t>
    </r>
    <r>
      <rPr>
        <b/>
        <i/>
        <sz val="10"/>
        <rFont val="Arial"/>
        <family val="2"/>
      </rPr>
      <t>Herstellungskosten - eingesetzte Fremdmittel</t>
    </r>
    <r>
      <rPr>
        <sz val="10"/>
        <rFont val="Arial"/>
        <family val="2"/>
      </rPr>
      <t xml:space="preserve"> (Darlehen)</t>
    </r>
  </si>
  <si>
    <t xml:space="preserve">  Folgende Punkte sind zu beachten:</t>
  </si>
  <si>
    <t xml:space="preserve">   -</t>
  </si>
  <si>
    <t>Wirtschaftlichkeit der Anlage.</t>
  </si>
  <si>
    <t>2.6.</t>
  </si>
  <si>
    <r>
      <t xml:space="preserve"> -</t>
    </r>
    <r>
      <rPr>
        <b/>
        <i/>
        <sz val="10"/>
        <color indexed="57"/>
        <rFont val="Arial"/>
        <family val="2"/>
      </rPr>
      <t>durchschnittlicher jährlicher Stromertrag:</t>
    </r>
    <r>
      <rPr>
        <sz val="10"/>
        <rFont val="Arial"/>
        <family val="2"/>
      </rPr>
      <t xml:space="preserve"> Der Betrag errechnet sich als Mittelwert zwischen</t>
    </r>
  </si>
  <si>
    <t xml:space="preserve">  dem Ertrag des 1. und des letzten Jahres.</t>
  </si>
  <si>
    <t>Leistungen</t>
  </si>
  <si>
    <t>Kosten</t>
  </si>
  <si>
    <r>
      <t xml:space="preserve"> -</t>
    </r>
    <r>
      <rPr>
        <b/>
        <i/>
        <sz val="10"/>
        <color indexed="57"/>
        <rFont val="Arial"/>
        <family val="2"/>
      </rPr>
      <t>Wartung und Reparatur:</t>
    </r>
    <r>
      <rPr>
        <sz val="10"/>
        <rFont val="Arial"/>
        <family val="2"/>
      </rPr>
      <t xml:space="preserve"> Angabe in % der Herstellungskosten oder als absoluter Betrag</t>
    </r>
  </si>
  <si>
    <r>
      <t xml:space="preserve"> -</t>
    </r>
    <r>
      <rPr>
        <b/>
        <i/>
        <sz val="10"/>
        <color indexed="57"/>
        <rFont val="Arial"/>
        <family val="2"/>
      </rPr>
      <t>Sonstige Kosten:</t>
    </r>
    <r>
      <rPr>
        <sz val="10"/>
        <rFont val="Arial"/>
        <family val="2"/>
      </rPr>
      <t xml:space="preserve"> Weitere Kosten könnten für eine Reihe von Positionen anfallen:</t>
    </r>
  </si>
  <si>
    <t>hier einige Beispiele:</t>
  </si>
  <si>
    <t>Erstellung der Umsatzsteuererklärung (gewerbliche Führung der Anlage)</t>
  </si>
  <si>
    <t>Erstellung einer Einnahmen-Ausgaben-Überschußrechnung (ggf. Buchführung)</t>
  </si>
  <si>
    <t>Miete für das Dach, auf welchem die Anlage installiert wird (Orientierungsgröße: 1-2 €/m²)</t>
  </si>
  <si>
    <t>...</t>
  </si>
  <si>
    <t xml:space="preserve">   - Angabe in % der Herstellungskosten oder als absoluter Betrag in €uro</t>
  </si>
  <si>
    <r>
      <t xml:space="preserve"> -</t>
    </r>
    <r>
      <rPr>
        <b/>
        <i/>
        <sz val="10"/>
        <color indexed="57"/>
        <rFont val="Arial"/>
        <family val="2"/>
      </rPr>
      <t>AfA:</t>
    </r>
    <r>
      <rPr>
        <sz val="10"/>
        <rFont val="Arial"/>
        <family val="2"/>
      </rPr>
      <t xml:space="preserve"> Die AfA wird in der Wirtschaftlichkeitsbetrachtung als konstanter Betrag (lineare Ab-</t>
    </r>
  </si>
  <si>
    <t xml:space="preserve">  schreibung) über die Laufzeit der Anlage (z.B.: 5% AfA bei 20 Jahre Laufzeit) verrechnet.</t>
  </si>
  <si>
    <t xml:space="preserve">  (Anmerkung: Bei der steuerlichen Behandlung kann es jedoch durchaus sinnvoll sein, andere</t>
  </si>
  <si>
    <r>
      <t xml:space="preserve"> -</t>
    </r>
    <r>
      <rPr>
        <b/>
        <i/>
        <sz val="10"/>
        <color indexed="57"/>
        <rFont val="Arial"/>
        <family val="2"/>
      </rPr>
      <t xml:space="preserve">Zinsansatz: </t>
    </r>
    <r>
      <rPr>
        <sz val="10"/>
        <rFont val="Arial"/>
        <family val="2"/>
      </rPr>
      <t xml:space="preserve"> Die </t>
    </r>
    <r>
      <rPr>
        <b/>
        <sz val="10"/>
        <rFont val="Arial"/>
        <family val="2"/>
      </rPr>
      <t>Entlohnung des eingesetzten Kapitals</t>
    </r>
    <r>
      <rPr>
        <sz val="10"/>
        <rFont val="Arial"/>
        <family val="2"/>
      </rPr>
      <t xml:space="preserve"> wird durch einen "Kalkulations-</t>
    </r>
  </si>
  <si>
    <r>
      <t xml:space="preserve"> -</t>
    </r>
    <r>
      <rPr>
        <b/>
        <i/>
        <sz val="10"/>
        <color indexed="57"/>
        <rFont val="Arial"/>
        <family val="2"/>
      </rPr>
      <t xml:space="preserve">Ansatz für Arbeit: </t>
    </r>
    <r>
      <rPr>
        <sz val="10"/>
        <rFont val="Arial"/>
        <family val="2"/>
      </rPr>
      <t xml:space="preserve"> In der Regel liegt der Arbeitzeitbedarf bei Photovoltaikanlagen relativ niedrig</t>
    </r>
  </si>
  <si>
    <t xml:space="preserve">  (der Arbeitszeitbedarf beschränkt sich meist auf Kontrollfunktionen). Mit den kalkulatorischen </t>
  </si>
  <si>
    <r>
      <t xml:space="preserve">  Ansätzen "Arbeitskraftstunden/Jahr" und "Lohnansatz" lässt sich die </t>
    </r>
    <r>
      <rPr>
        <b/>
        <sz val="10"/>
        <rFont val="Arial"/>
        <family val="2"/>
      </rPr>
      <t>Entlohnung der Arbeit</t>
    </r>
  </si>
  <si>
    <t>An dieser Stelle wird ausgewiesen, ob die Investition in eine Photovoltikanlage wirtschaftlich ist.</t>
  </si>
  <si>
    <t xml:space="preserve">  (Steuerliche Aspekte bleiben in der Anwendung unberücksichtigt. Sie können jedoch in der </t>
  </si>
  <si>
    <t xml:space="preserve">  Einzelfallgestaltung noch zu einer  Verbesserung der Wirtschaftlichkeit führen.)</t>
  </si>
  <si>
    <t xml:space="preserve">  Hier wird die Stromerzeugung für die oben genannten Zeiträume unter Berücksichtung</t>
  </si>
  <si>
    <t>Programmbeschreibung</t>
  </si>
  <si>
    <r>
      <t xml:space="preserve"> -</t>
    </r>
    <r>
      <rPr>
        <b/>
        <i/>
        <sz val="10"/>
        <color indexed="57"/>
        <rFont val="Arial"/>
        <family val="2"/>
      </rPr>
      <t>Elementarschaden und Ertragsausfallversicherung:</t>
    </r>
    <r>
      <rPr>
        <sz val="10"/>
        <rFont val="Arial"/>
        <family val="2"/>
      </rPr>
      <t xml:space="preserve"> Ein ausreichender Versicherungsschutz </t>
    </r>
  </si>
  <si>
    <t>Herausgeber:</t>
  </si>
  <si>
    <t>Landesanstalt für Entwicklung der Landwirtschaft und der ländlichen Räume (LEL)</t>
  </si>
  <si>
    <t xml:space="preserve">Oberbettringer Straße 162; 73525 Schwäbisch Gmünd; </t>
  </si>
  <si>
    <t>Tel.: 07171 / 917-100; Fax: 07171 / 917-101; E-Mail: poststelle@lel.bwl.de</t>
  </si>
  <si>
    <t>Für Kommentare, Anregungen und Verbesserungsvorschläge  sind wir jederzeit dankbar!</t>
  </si>
  <si>
    <t>Die Veränderung dieser Datei und die Weitergabe veränderter Kopien ist ausdrücklich untersagt.</t>
  </si>
  <si>
    <t xml:space="preserve">Liquidität </t>
  </si>
  <si>
    <t>(jährlich)</t>
  </si>
  <si>
    <t>2.5.</t>
  </si>
  <si>
    <t>2.5.1.</t>
  </si>
  <si>
    <t>2.5.2.</t>
  </si>
  <si>
    <t>2.5.3.</t>
  </si>
  <si>
    <r>
      <t xml:space="preserve">Verzinsung des Kapitals </t>
    </r>
    <r>
      <rPr>
        <sz val="10"/>
        <rFont val="Comic Sans MS"/>
        <family val="4"/>
      </rPr>
      <t xml:space="preserve">nach der </t>
    </r>
    <r>
      <rPr>
        <b/>
        <sz val="10"/>
        <rFont val="Comic Sans MS"/>
        <family val="4"/>
      </rPr>
      <t>Methode "Interner Zinsfuß"</t>
    </r>
  </si>
  <si>
    <t>2.7.</t>
  </si>
  <si>
    <r>
      <t xml:space="preserve">Liquiditätsvorschau </t>
    </r>
    <r>
      <rPr>
        <sz val="10"/>
        <rFont val="Comic Sans MS"/>
        <family val="4"/>
      </rPr>
      <t>(vor Steuern)</t>
    </r>
  </si>
  <si>
    <t xml:space="preserve">  (ggf. Tilgung, ggf. Darlehenszins, Wartung/Reparatur, Versicherung, Sonstige Kosten) darge-</t>
  </si>
  <si>
    <t xml:space="preserve">  entsprechen, da Anlagenbetreibern in vielen Fällen anzuraten ist, die gewerblich geführte</t>
  </si>
  <si>
    <t>2.8.</t>
  </si>
  <si>
    <r>
      <t xml:space="preserve"> -</t>
    </r>
    <r>
      <rPr>
        <b/>
        <i/>
        <sz val="10"/>
        <color indexed="57"/>
        <rFont val="Arial"/>
        <family val="2"/>
      </rPr>
      <t>"Liquidität in den einzelnen Jahren":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Hier ist die Liquidität jedes einzelnen Jahres graphisch</t>
    </r>
  </si>
  <si>
    <t xml:space="preserve">   dargestellt.</t>
  </si>
  <si>
    <r>
      <t xml:space="preserve"> -</t>
    </r>
    <r>
      <rPr>
        <b/>
        <i/>
        <sz val="10"/>
        <color indexed="57"/>
        <rFont val="Arial"/>
        <family val="2"/>
      </rPr>
      <t>"Liquiditätsverlauf (kumuliert) über die gesamte Laufzeit der Anlage":</t>
    </r>
    <r>
      <rPr>
        <b/>
        <sz val="10"/>
        <rFont val="Arial"/>
        <family val="2"/>
      </rPr>
      <t xml:space="preserve"> </t>
    </r>
  </si>
  <si>
    <t xml:space="preserve">   Geldüberschuß vorhanden ist.</t>
  </si>
  <si>
    <t>Info</t>
  </si>
  <si>
    <t xml:space="preserve">Ausrichtung sind die Einbußen jedoch relativ gering (bis zu 45° Abweichung von der Südrichtung sind nach Praxis- </t>
  </si>
  <si>
    <t>Prognose:  Inflationsrate für Strombezugspreis jährlich (in %)</t>
  </si>
  <si>
    <t>2011 (Jan. - Jun.)</t>
  </si>
  <si>
    <t>2011 (Jul. - Dez.)</t>
  </si>
  <si>
    <r>
      <t xml:space="preserve">Kostenaufstellung </t>
    </r>
    <r>
      <rPr>
        <sz val="8"/>
        <rFont val="Arial"/>
        <family val="2"/>
      </rPr>
      <t>(lt. Angebot;ohne Mwst.)</t>
    </r>
    <r>
      <rPr>
        <sz val="10"/>
        <rFont val="Arial"/>
        <family val="2"/>
      </rPr>
      <t>:</t>
    </r>
  </si>
  <si>
    <t>(Angebot gesamt oder Einzelpositionen erfassen)</t>
  </si>
  <si>
    <t>jährlicher Stromertrag in kWh/ kWp *:</t>
  </si>
  <si>
    <t>*Die Ertragsprognose hat wesentlichen Einfluss auf die Wirtschaftlichkeit einer Anlage. Es handelt  sich dabei immer um eine grobe Schätzung, die im Einzelfall</t>
  </si>
  <si>
    <t xml:space="preserve">  Module (Azimut- und Anstellwinkel) und technische Auslegung. Zur Absicherung der Schätzung empfiehlt es sich ggf. Solargutachten (z.B. vom Deutschen</t>
  </si>
  <si>
    <t xml:space="preserve">  Wetterdienst, DWD) oder Ertragswerte von Nachbaranlagen etc. heran zu ziehen. </t>
  </si>
  <si>
    <t xml:space="preserve">  von er tatsächlichen Leistung der Anlage abweichen kann. Zu berücksichtigen sind bei der Prognose zumindest Faktoren wie Standort, Ausrichtung der </t>
  </si>
  <si>
    <t xml:space="preserve">   Ermittelt sich aus der Summe </t>
  </si>
  <si>
    <t>(Voreinstellung: Inflationsrate: 0,00 %; d.h. Berechnung ohne Inflationskomponente)</t>
  </si>
  <si>
    <t>( für den Wert des eigenverbrauchten Stroms kann ab Vers. 3.3 ein Inflationsszenario gerechnet werden )</t>
  </si>
  <si>
    <t>Quellen:</t>
  </si>
  <si>
    <r>
      <t>1)</t>
    </r>
    <r>
      <rPr>
        <sz val="8"/>
        <rFont val="Arial"/>
        <family val="2"/>
      </rPr>
      <t xml:space="preserve">  Zwischen 2004 und 2008 wurde für Fassadenanlagen ein Aufschlag von 0,05 €/kWh gewährt. Ab 2009 fiel der Aufschlag weg. Es gilt seit 2009 eine einheitliche Vergütungsstufe für Anlagen "an oder auf einem Gebäude" (EEG 2008; § 33). </t>
    </r>
  </si>
  <si>
    <r>
      <t>2)</t>
    </r>
    <r>
      <rPr>
        <sz val="8"/>
        <rFont val="Arial"/>
        <family val="2"/>
      </rPr>
      <t xml:space="preserve">  Neue Vergütungsklasse ab 2009; 2004 bis 2008 galten für Großanlagen die Vergütungssätze für Anlagen über 100 kWp (§33 Abs. 1; Ziff. 4 EEG)</t>
    </r>
  </si>
  <si>
    <r>
      <t>3)</t>
    </r>
    <r>
      <rPr>
        <sz val="8"/>
        <rFont val="Arial"/>
        <family val="2"/>
      </rPr>
      <t xml:space="preserve">  Neue Vergütungsklasse ab Juli 2010; zuvor gab es keine differenzierten Vergütungssätze für Freilandanlagen</t>
    </r>
  </si>
  <si>
    <r>
      <t>4)</t>
    </r>
    <r>
      <rPr>
        <sz val="8"/>
        <rFont val="Arial"/>
        <family val="2"/>
      </rPr>
      <t xml:space="preserve">  Ab 2009 Förderung des Eigenstromverbrauchs bis 30 kWp; ab 2010 bis 500 kWp verbunden mit einer Umstellung der Berechnungsbasis auf eine 2-stufige Kürzung der Vergütung (siehe EEG §33 Abs. 2)</t>
    </r>
  </si>
  <si>
    <t>** Die Veröffentlichung der Vergütungssätze für das 2. Halbjahr 2012 ist lt. § 20 Abs. 6 (EEG 2012) für den 30. Mai 2012 durch die Bundesnetzagentur vorgesehen.</t>
  </si>
  <si>
    <t>Hinweis: In der Anwendung werden ausschließlich Daten ohne Mehrwertsteuer verrechnet. D.h. im Bereich der</t>
  </si>
  <si>
    <t>Quelle:</t>
  </si>
  <si>
    <t>weitere Info´s unter:</t>
  </si>
  <si>
    <t>http://www.solarwirtschaft.de/unsere-themen/erneuerbare-energien-gesetz</t>
  </si>
  <si>
    <t xml:space="preserve"> </t>
  </si>
  <si>
    <t xml:space="preserve">    (in €/Jahr)</t>
  </si>
  <si>
    <t xml:space="preserve">    (in % der Herstellungskosten bzw in €/Jahr)</t>
  </si>
  <si>
    <t>Buchführung, Steuerberatung, ...</t>
  </si>
  <si>
    <t>http://www.erneuerbare-energien.de/erneuerbare_energien/pv-novelle_2012/doc/48542.php</t>
  </si>
  <si>
    <t>http://www.bmu.de/erneuerbare_energien/downloads/doc/48898.php</t>
  </si>
  <si>
    <t>http://www.bundesnetzagentur.de/cln_1931/DE/Sachgebiete/ElektrizitaetGas/ErneuerbareEnergienGesetz/VerguetungssaetzePVAnlagen/VerguetungssaetzePhotovoltaik_Basepage.html?nn=135464</t>
  </si>
  <si>
    <t>BMU</t>
  </si>
  <si>
    <t>Bundesnetzagentur</t>
  </si>
  <si>
    <t>BSW</t>
  </si>
  <si>
    <t>http://www.clearingstelle-eeg.de/fotovoltaik/</t>
  </si>
  <si>
    <t>Clearingstelle EEG</t>
  </si>
  <si>
    <t>10 kWp - 40 kWp</t>
  </si>
  <si>
    <t>40 kWp - 1 MW</t>
  </si>
  <si>
    <t>Monat der Inbetriebnahme:</t>
  </si>
  <si>
    <t>Mai 2012 (ab 01.05.)</t>
  </si>
  <si>
    <t>Jun 2012 (ab 01.06.)</t>
  </si>
  <si>
    <t>Jul 2012 (ab 01.07.)</t>
  </si>
  <si>
    <t>Aug 2012 (ab 01.08.)</t>
  </si>
  <si>
    <t>Apr 2012 (ab 01.04.)</t>
  </si>
  <si>
    <t>Sep 2012 (ab 01.09.)</t>
  </si>
  <si>
    <t>Okt 2012 (ab 01.10.)</t>
  </si>
  <si>
    <t>10-1000 kWp</t>
  </si>
  <si>
    <t>lfd. Nr.</t>
  </si>
  <si>
    <r>
      <t xml:space="preserve">ab 01.04. 2012 </t>
    </r>
    <r>
      <rPr>
        <b/>
        <vertAlign val="superscript"/>
        <sz val="10"/>
        <rFont val="Arial"/>
        <family val="2"/>
      </rPr>
      <t>5)</t>
    </r>
  </si>
  <si>
    <t>Sonstiges …</t>
  </si>
  <si>
    <r>
      <t>Monat der Inbetriebnahme</t>
    </r>
    <r>
      <rPr>
        <sz val="8"/>
        <rFont val="Arial"/>
        <family val="2"/>
      </rPr>
      <t xml:space="preserve"> (z.B.: Sept. = 9)</t>
    </r>
  </si>
  <si>
    <t xml:space="preserve">  Stromleitung zum Einspeisezähler (incl. Erdarbeiten?), Montageleistung;</t>
  </si>
  <si>
    <t>System - Alterung ( in % pro Jahr):</t>
  </si>
  <si>
    <t xml:space="preserve">  Systemen mit mono- bzw. polykristallinen Si-Modulen  i.d.R. weniger als 0,5% jährlich. Für Systeme</t>
  </si>
  <si>
    <t xml:space="preserve">  von 20 bis 25 Jahre (bei Glas-Glas-Modulen sogar in Einzelfällen bis 30 Jahre) zu.</t>
  </si>
  <si>
    <r>
      <t xml:space="preserve">  des </t>
    </r>
    <r>
      <rPr>
        <b/>
        <i/>
        <sz val="10"/>
        <rFont val="Arial"/>
        <family val="2"/>
      </rPr>
      <t>jährlichen Stromertrags in kWh/kWp</t>
    </r>
    <r>
      <rPr>
        <sz val="10"/>
        <rFont val="Arial"/>
        <family val="2"/>
      </rPr>
      <t xml:space="preserve"> und der System -</t>
    </r>
    <r>
      <rPr>
        <b/>
        <i/>
        <sz val="10"/>
        <rFont val="Arial"/>
        <family val="2"/>
      </rPr>
      <t xml:space="preserve">Alterung </t>
    </r>
    <r>
      <rPr>
        <sz val="10"/>
        <rFont val="Arial"/>
        <family val="2"/>
      </rPr>
      <t>ermittelt.</t>
    </r>
  </si>
  <si>
    <t xml:space="preserve"> von Darlehen mit viertel- oder halbjährigen Tilgungs- und Zins-Terminen kann es bei der Berechnung der</t>
  </si>
  <si>
    <t xml:space="preserve"> Darlehen und in der Darstellung der Liquidität zu geringfügigen Abweichungen vom tatsächlichen Verlauf kommen.</t>
  </si>
  <si>
    <t xml:space="preserve">  Bei Dachanlagen, die im Zeitraum von 01.01.2009 bis 31.03.2012 in Betrieb genommen wurden, </t>
  </si>
  <si>
    <t xml:space="preserve">  Für Dachanlagen zwischen 2. Halbjahr 2010 und 31.03.2012 wurde die Grenze auf 500 kWp angehoben.</t>
  </si>
  <si>
    <t xml:space="preserve">  Für Inbetriebnahme im Jahr 2009 und im 1. Halbjahr 2010 war die Eigenstromförderung begrenzt auf 30 kWp.</t>
  </si>
  <si>
    <t xml:space="preserve">  (z.B: Garantie auf den Wechselrichter sollte 5, besser 10 Jahre betragen, ...)</t>
  </si>
  <si>
    <t xml:space="preserve">  Darüber hinaus sollte auch über eine Absicherung gegen Diebstahl / Vandalismus nachgedacht werden.</t>
  </si>
  <si>
    <t xml:space="preserve">  Herstellungskosten nicht wesentlich überschreiten. Praktisch alle Gesellschaften bieten zusätzlich </t>
  </si>
  <si>
    <t xml:space="preserve">  die Absicherung eines Ertragsausfalls zu einem i.d.R. überschaubaren Aufpreis an.</t>
  </si>
  <si>
    <t>Miete für den Einspeisezähler (ab 2012 muss der Zähler von einem Messstellenbetreiber betreut sein)</t>
  </si>
  <si>
    <t>- Angabe absoluter Betrag in €uro (ab Vers. 5.0 stehen 3 Eingabezeilen zur Verfügung)</t>
  </si>
  <si>
    <r>
      <t xml:space="preserve"> -</t>
    </r>
    <r>
      <rPr>
        <b/>
        <i/>
        <sz val="10"/>
        <color indexed="57"/>
        <rFont val="Arial"/>
        <family val="2"/>
      </rPr>
      <t>statische Wirtschaftlichkeitsrechnung:</t>
    </r>
    <r>
      <rPr>
        <sz val="10"/>
        <rFont val="Arial"/>
        <family val="2"/>
      </rPr>
      <t xml:space="preserve"> </t>
    </r>
  </si>
  <si>
    <r>
      <t xml:space="preserve"> -</t>
    </r>
    <r>
      <rPr>
        <b/>
        <i/>
        <sz val="10"/>
        <color indexed="57"/>
        <rFont val="Arial"/>
        <family val="2"/>
      </rPr>
      <t>dynamische Wirtschaftlichkeitsrechnung; Methode "Interner Zinsfuß":</t>
    </r>
    <r>
      <rPr>
        <sz val="10"/>
        <rFont val="Arial"/>
        <family val="2"/>
      </rPr>
      <t xml:space="preserve"> </t>
    </r>
  </si>
  <si>
    <t xml:space="preserve">  stellt und in einem "PV-Konto" saldiert. (Diese Vorgehensweise dürfte der allgemeinen Praxis</t>
  </si>
  <si>
    <t>PV - Konto (Girokonto)</t>
  </si>
  <si>
    <t xml:space="preserve">  Anlage auf einem eigenständigen Konto abzuwickeln). </t>
  </si>
  <si>
    <t xml:space="preserve">  Durch Eingabe eines Soll- bzw. eines Guthaben-Zinssatzes kann an dieser Stelle zusätzlich </t>
  </si>
  <si>
    <t xml:space="preserve">  ein möglicher Zinsaufwand oder ggf. Zinsertrag berücksichtigt werden.</t>
  </si>
  <si>
    <r>
      <t xml:space="preserve"> -</t>
    </r>
    <r>
      <rPr>
        <b/>
        <i/>
        <sz val="10"/>
        <color indexed="57"/>
        <rFont val="Arial"/>
        <family val="2"/>
      </rPr>
      <t>Saldo kumuliert: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Die jährlichen Salden des PV-Kontos werden in dieser Spalte aufsummiert.</t>
    </r>
  </si>
  <si>
    <r>
      <t xml:space="preserve"> -</t>
    </r>
    <r>
      <rPr>
        <b/>
        <i/>
        <sz val="10"/>
        <color indexed="57"/>
        <rFont val="Arial"/>
        <family val="2"/>
      </rPr>
      <t>Liquiditätsvorschau: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In der Übersicht werden die jährlichen Einzahlungen und Auszahlungen </t>
    </r>
  </si>
  <si>
    <t xml:space="preserve">  aufgefordert, den Verbrauch von Eigenstrom der PV-Anlage zu vergüten (auf das Konto einzuzahlen).</t>
  </si>
  <si>
    <r>
      <t xml:space="preserve"> -</t>
    </r>
    <r>
      <rPr>
        <b/>
        <i/>
        <sz val="10"/>
        <color indexed="57"/>
        <rFont val="Arial"/>
        <family val="2"/>
      </rPr>
      <t>"Darlehensverlauf - SALDO zum Jahresende":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Hier wird der Verlauf der einzelnen Darlehen</t>
    </r>
  </si>
  <si>
    <t xml:space="preserve">   grafisch dargestellt und kommentiert.</t>
  </si>
  <si>
    <t>Ansprechpartner zum Programm: Herr Schmid (Tel. 07171 / 917-207;    E-Mail: werner.schmid@lel.bwl.de)</t>
  </si>
  <si>
    <t>Die Weitergabe unveränderter Kopien ist zulässig !</t>
  </si>
  <si>
    <t>Zählermiete, …</t>
  </si>
  <si>
    <r>
      <t xml:space="preserve"> -</t>
    </r>
    <r>
      <rPr>
        <b/>
        <i/>
        <sz val="10"/>
        <color indexed="57"/>
        <rFont val="Arial"/>
        <family val="2"/>
      </rPr>
      <t>System - Alterung:</t>
    </r>
    <r>
      <rPr>
        <sz val="10"/>
        <rFont val="Arial"/>
        <family val="2"/>
      </rPr>
      <t xml:space="preserve"> Das Gesamtsystem kann einer gewissen Alterung unterliegen. Diese beträgt bei</t>
    </r>
  </si>
  <si>
    <t xml:space="preserve">     (ab Vers. 5.0:    &gt;&gt; Erfassung im Bereich "Wirtschaftlichkeit der Anlage")</t>
  </si>
  <si>
    <t xml:space="preserve">Zum Thema "Kosten der Eigenstromnutzung" steht eine weitere Anwendung </t>
  </si>
  <si>
    <t>unter folgender Adresse zum kostenlosen Download zur Verfügung.</t>
  </si>
  <si>
    <t>eig.Standort</t>
  </si>
  <si>
    <t>Die Werte für einen eigenen Standort müssen vollständig erfasst werden !</t>
  </si>
  <si>
    <t>Sonst rechnet das Programm mit den Werten von Stuttgart.</t>
  </si>
  <si>
    <t xml:space="preserve">(wählbar zwischen 20 bis 25 Jahre) </t>
  </si>
  <si>
    <t>Liquiditätsverlauf kumuliert (ohne Wert d. Eigenstroms)</t>
  </si>
  <si>
    <t>Prüfung der Darlehen, ob sie nach der Laufzeit abbezahlt sind:</t>
  </si>
  <si>
    <t xml:space="preserve"> durchschnittlicher jährl. Stromertrag</t>
  </si>
  <si>
    <t>Inflationsrate</t>
  </si>
  <si>
    <t>EV</t>
  </si>
  <si>
    <t>VK</t>
  </si>
  <si>
    <t>Ertrag</t>
  </si>
  <si>
    <t>Erlöse</t>
  </si>
  <si>
    <r>
      <t xml:space="preserve"> - Wartung und Reparatur </t>
    </r>
    <r>
      <rPr>
        <sz val="8"/>
        <rFont val="Arial"/>
        <family val="2"/>
      </rPr>
      <t>(jährlich)</t>
    </r>
  </si>
  <si>
    <r>
      <t xml:space="preserve"> - Elementarschaden-und Ertragausfall-Versich. </t>
    </r>
    <r>
      <rPr>
        <sz val="8"/>
        <rFont val="Arial"/>
        <family val="2"/>
      </rPr>
      <t>(jährlich)</t>
    </r>
  </si>
  <si>
    <r>
      <t xml:space="preserve"> - Sonstige Kosten</t>
    </r>
    <r>
      <rPr>
        <sz val="8"/>
        <rFont val="Arial"/>
        <family val="2"/>
      </rPr>
      <t xml:space="preserve"> (jährlich)</t>
    </r>
  </si>
  <si>
    <t xml:space="preserve"> - AfA</t>
  </si>
  <si>
    <t xml:space="preserve"> - Zinsansatz</t>
  </si>
  <si>
    <t xml:space="preserve"> - Ansatz für Arbeit</t>
  </si>
  <si>
    <t>Ø Erlösanteil der Jahre 0 bis 20:</t>
  </si>
  <si>
    <t>€/Jahr</t>
  </si>
  <si>
    <t>Preis / Wert des eigen verbrauchten Stroms (heute)</t>
  </si>
  <si>
    <r>
      <t xml:space="preserve">Das in der Investition gebundene Kapital </t>
    </r>
    <r>
      <rPr>
        <b/>
        <sz val="10"/>
        <rFont val="Arial"/>
        <family val="2"/>
      </rPr>
      <t xml:space="preserve"> (Io = </t>
    </r>
  </si>
  <si>
    <t>Erläuterungen:</t>
  </si>
  <si>
    <t>(statische Methode)</t>
  </si>
  <si>
    <t>Wirtschaftlichkeitsberechnung</t>
  </si>
  <si>
    <t>R: Jahr 22</t>
  </si>
  <si>
    <t>R: Jahr 23</t>
  </si>
  <si>
    <t>R: Jahr 24</t>
  </si>
  <si>
    <t>R: Jahr 25</t>
  </si>
  <si>
    <t>R: Jahr 26</t>
  </si>
  <si>
    <t>R22</t>
  </si>
  <si>
    <t>R23</t>
  </si>
  <si>
    <t>R24</t>
  </si>
  <si>
    <t>R25</t>
  </si>
  <si>
    <t>R26</t>
  </si>
  <si>
    <t>A)</t>
  </si>
  <si>
    <t>B)</t>
  </si>
  <si>
    <t>Ø jährlicher Verkaufserlös aus Stromverkauf (gewichtet)</t>
  </si>
  <si>
    <r>
      <t xml:space="preserve"> -</t>
    </r>
    <r>
      <rPr>
        <b/>
        <i/>
        <sz val="10"/>
        <color indexed="57"/>
        <rFont val="Arial"/>
        <family val="2"/>
      </rPr>
      <t>Verkaufserlös aus Stromverkauf</t>
    </r>
  </si>
  <si>
    <t xml:space="preserve">  muss daher für den Stromverkauf ab dem 21. Jahr eine Einschätzung zur Erlöserwartung</t>
  </si>
  <si>
    <r>
      <t xml:space="preserve"> -</t>
    </r>
    <r>
      <rPr>
        <b/>
        <i/>
        <sz val="10"/>
        <color indexed="57"/>
        <rFont val="Arial"/>
        <family val="2"/>
      </rPr>
      <t xml:space="preserve">Leistungen </t>
    </r>
    <r>
      <rPr>
        <i/>
        <sz val="10"/>
        <color indexed="57"/>
        <rFont val="Arial"/>
        <family val="2"/>
      </rPr>
      <t>(im Durchschnitt über die gesamte Nutzungsdauer)</t>
    </r>
    <r>
      <rPr>
        <b/>
        <i/>
        <sz val="10"/>
        <color indexed="57"/>
        <rFont val="Arial"/>
        <family val="2"/>
      </rPr>
      <t>:</t>
    </r>
  </si>
  <si>
    <t>Übergangsregelung Marktintegration</t>
  </si>
  <si>
    <t>Aktivierungswert für die Verrechnung in der Matrix (0=keine Verrechnung; 1=Verrechnung über 1 Jahr; 2 = Verrechnung über 2 Jahre)</t>
  </si>
  <si>
    <t>Daten zur Amortisationsrechnung</t>
  </si>
  <si>
    <t>unverändert</t>
  </si>
  <si>
    <t>Invest</t>
  </si>
  <si>
    <t>Kontoentwicklung</t>
  </si>
  <si>
    <t>Amortisationsdauer</t>
  </si>
  <si>
    <t>Hilfstabelle: Grafik Amortisationsdauer:</t>
  </si>
  <si>
    <t>Amortisationsdauer: (vor Steuern)</t>
  </si>
  <si>
    <t xml:space="preserve">Abb. 4: Darlehensverlauf  - SALDO zum Jahresende </t>
  </si>
  <si>
    <t>Liquiditäts-  &amp;  Darlehensverlauf</t>
  </si>
  <si>
    <t xml:space="preserve">   Die Vorteilhaftigkeit der Investition gegenüber anderen Investitionen wird mittels der Methode </t>
  </si>
  <si>
    <r>
      <t xml:space="preserve">   </t>
    </r>
    <r>
      <rPr>
        <b/>
        <sz val="10"/>
        <rFont val="Arial"/>
        <family val="2"/>
      </rPr>
      <t>"</t>
    </r>
    <r>
      <rPr>
        <b/>
        <sz val="10"/>
        <color indexed="12"/>
        <rFont val="Arial"/>
        <family val="2"/>
      </rPr>
      <t>Interner Zinsfuß</t>
    </r>
    <r>
      <rPr>
        <b/>
        <sz val="10"/>
        <rFont val="Arial"/>
        <family val="2"/>
      </rPr>
      <t>"</t>
    </r>
    <r>
      <rPr>
        <sz val="10"/>
        <rFont val="Arial"/>
        <family val="2"/>
      </rPr>
      <t xml:space="preserve"> dargestellt.</t>
    </r>
  </si>
  <si>
    <r>
      <t xml:space="preserve">   Die</t>
    </r>
    <r>
      <rPr>
        <b/>
        <sz val="10"/>
        <color indexed="12"/>
        <rFont val="Arial"/>
        <family val="2"/>
      </rPr>
      <t xml:space="preserve"> Amortisationsdauer in Jahren</t>
    </r>
    <r>
      <rPr>
        <sz val="10"/>
        <rFont val="Arial"/>
        <family val="2"/>
      </rPr>
      <t xml:space="preserve"> wird sowohl als Zahl genannt als auch graphisch dargestellt.</t>
    </r>
  </si>
  <si>
    <r>
      <t xml:space="preserve">   Der </t>
    </r>
    <r>
      <rPr>
        <b/>
        <sz val="10"/>
        <color indexed="12"/>
        <rFont val="Arial"/>
        <family val="2"/>
      </rPr>
      <t>Liquiditätsverlauf</t>
    </r>
    <r>
      <rPr>
        <sz val="10"/>
        <rFont val="Arial"/>
        <family val="2"/>
      </rPr>
      <t xml:space="preserve"> wird sowohl in Zahlen als auch graphisch </t>
    </r>
    <r>
      <rPr>
        <b/>
        <sz val="10"/>
        <color indexed="12"/>
        <rFont val="Arial"/>
        <family val="2"/>
      </rPr>
      <t>für die Einzeljahre</t>
    </r>
    <r>
      <rPr>
        <b/>
        <sz val="10"/>
        <rFont val="Arial"/>
        <family val="2"/>
      </rPr>
      <t xml:space="preserve"> </t>
    </r>
    <r>
      <rPr>
        <b/>
        <sz val="10"/>
        <color indexed="12"/>
        <rFont val="Arial"/>
        <family val="2"/>
      </rPr>
      <t xml:space="preserve"> </t>
    </r>
  </si>
  <si>
    <r>
      <t>Ergebnisse:</t>
    </r>
    <r>
      <rPr>
        <b/>
        <sz val="12"/>
        <rFont val="Arial"/>
        <family val="2"/>
      </rPr>
      <t xml:space="preserve"> </t>
    </r>
    <r>
      <rPr>
        <sz val="10"/>
        <rFont val="Arial"/>
        <family val="2"/>
      </rPr>
      <t xml:space="preserve">Folgende Parameter </t>
    </r>
    <r>
      <rPr>
        <sz val="10"/>
        <rFont val="Arial"/>
        <family val="2"/>
      </rPr>
      <t>werden berechnet und dargestellt:</t>
    </r>
  </si>
  <si>
    <t xml:space="preserve"> - Darlehensverlauf:</t>
  </si>
  <si>
    <r>
      <t xml:space="preserve">   Werden zur Finanzierung Darlehen eingesetzt wird der </t>
    </r>
    <r>
      <rPr>
        <b/>
        <sz val="10"/>
        <color indexed="12"/>
        <rFont val="Arial"/>
        <family val="2"/>
      </rPr>
      <t>Darlehensverlauf</t>
    </r>
    <r>
      <rPr>
        <sz val="10"/>
        <rFont val="Arial"/>
        <family val="2"/>
      </rPr>
      <t xml:space="preserve"> sowohl in Zahlen </t>
    </r>
  </si>
  <si>
    <r>
      <t xml:space="preserve"> </t>
    </r>
    <r>
      <rPr>
        <sz val="10"/>
        <color indexed="12"/>
        <rFont val="Arial"/>
        <family val="2"/>
      </rPr>
      <t xml:space="preserve">  </t>
    </r>
    <r>
      <rPr>
        <sz val="10"/>
        <rFont val="Arial"/>
        <family val="2"/>
      </rPr>
      <t xml:space="preserve">als auch graphisch </t>
    </r>
    <r>
      <rPr>
        <b/>
        <sz val="10"/>
        <color indexed="12"/>
        <rFont val="Arial"/>
        <family val="2"/>
      </rPr>
      <t>für die gesamte Laufzeit</t>
    </r>
    <r>
      <rPr>
        <sz val="10"/>
        <rFont val="Arial"/>
        <family val="2"/>
      </rPr>
      <t xml:space="preserve"> der Anlage dargestellt.</t>
    </r>
  </si>
  <si>
    <t xml:space="preserve">  zum Verkauf an der Börse angedient werden. ...</t>
  </si>
  <si>
    <t>2.9.</t>
  </si>
  <si>
    <t xml:space="preserve">Schaubilder zu Liquidität  &amp;  Darlehensverlauf: </t>
  </si>
  <si>
    <r>
      <t xml:space="preserve">Amortisationsdauer </t>
    </r>
    <r>
      <rPr>
        <sz val="10"/>
        <rFont val="Comic Sans MS"/>
        <family val="4"/>
      </rPr>
      <t xml:space="preserve">(vor Steuern) </t>
    </r>
  </si>
  <si>
    <t xml:space="preserve">  Amortisationszeit „bezahlt“, alle weiteren Rückflüsse „gehören dem Investor“ der Investition. </t>
  </si>
  <si>
    <t>Text</t>
  </si>
  <si>
    <t xml:space="preserve">  bis die Ausgaben einer Investition wieder zurück geflossen sind. </t>
  </si>
  <si>
    <t xml:space="preserve">  &gt;&gt; Die Amortisationszeit ist weniger Rentabilitätsmaß als vielmehr ein Risikomaß.</t>
  </si>
  <si>
    <t xml:space="preserve">  Am Beispiel erläutert: Amortisiert sich ein Wirtschaftsgut nach 10 Jahren, so ist dieses nach der</t>
  </si>
  <si>
    <t xml:space="preserve">  (Voraussetzung ist, dass die gemachten Annahmen zu den Erlösen, Kosten etc. auch so eintreffen)</t>
  </si>
  <si>
    <t xml:space="preserve">  Eigenstromnutzung geht nur noch mit dem Betrag in die Wirtschaftlichkeitsbetrachtung ein, welcher für </t>
  </si>
  <si>
    <t xml:space="preserve">  den Stromzukauf aufzuwenden wäre. (Eigenstrom ersetzt Stromzukauf)</t>
  </si>
  <si>
    <t xml:space="preserve">  gesamten erzeugten Strommenge vergütet. Die Regelung gilt für Anlagen, die ab dem 1. April 2012 </t>
  </si>
  <si>
    <t xml:space="preserve">  in Betrieb genommen wurden.</t>
  </si>
  <si>
    <t xml:space="preserve">  Die unvergütete Strommenge kann selbst verbraucht, direkt vermarktet oder dem Netzbetreiber  </t>
  </si>
  <si>
    <t xml:space="preserve">  &gt;&gt; Ausnahmen: Vom Marktintegrationsmodell ausgenommen können Anlagen sein, die nach dem </t>
  </si>
  <si>
    <t xml:space="preserve">  01.04.2012 errichtet wurden, aber unter eine der im EEG formulierten Übergangsregelungen fallen. </t>
  </si>
  <si>
    <r>
      <t xml:space="preserve"> -</t>
    </r>
    <r>
      <rPr>
        <b/>
        <i/>
        <u/>
        <sz val="10"/>
        <color indexed="57"/>
        <rFont val="Arial"/>
        <family val="2"/>
      </rPr>
      <t>Marktintegrationsmodell</t>
    </r>
    <r>
      <rPr>
        <b/>
        <i/>
        <sz val="10"/>
        <color indexed="57"/>
        <rFont val="Arial"/>
        <family val="2"/>
      </rPr>
      <t xml:space="preserve">: </t>
    </r>
    <r>
      <rPr>
        <b/>
        <i/>
        <sz val="10"/>
        <color indexed="12"/>
        <rFont val="Arial"/>
        <family val="2"/>
      </rPr>
      <t>Übergangsregelung für Anlagen von 10 bis 1.000 kWp</t>
    </r>
  </si>
  <si>
    <t xml:space="preserve">  &gt;&gt; Übergangsbestimmung (§66 EEG, Abs. 19):  Die Regelung (Vergütung nur für</t>
  </si>
  <si>
    <t xml:space="preserve">  anteilig aus den prognostizierten Erlösen aus Eigenvermarktung ab dem 21. Jahr.</t>
  </si>
  <si>
    <t xml:space="preserve">  zusammen. Und zwar anteilig aus der garantierten Stromvergütung nach EEG (0-20 Jahre) und </t>
  </si>
  <si>
    <t>Nov 2012 (ab 01.11.)</t>
  </si>
  <si>
    <t>Dez 2012 (ab 01.12.)</t>
  </si>
  <si>
    <t>Jan 2013 (ab 01.01.)</t>
  </si>
  <si>
    <t xml:space="preserve"> - Amortisationsdauer (statische bzw. dynamische Methode):</t>
  </si>
  <si>
    <r>
      <t xml:space="preserve"> </t>
    </r>
    <r>
      <rPr>
        <sz val="10"/>
        <color indexed="12"/>
        <rFont val="Arial"/>
        <family val="2"/>
      </rPr>
      <t xml:space="preserve">  </t>
    </r>
    <r>
      <rPr>
        <sz val="10"/>
        <rFont val="Arial"/>
        <family val="2"/>
      </rPr>
      <t>sowie</t>
    </r>
    <r>
      <rPr>
        <b/>
        <sz val="10"/>
        <color indexed="12"/>
        <rFont val="Arial"/>
        <family val="2"/>
      </rPr>
      <t xml:space="preserve"> für die gesamte Laufzeit</t>
    </r>
    <r>
      <rPr>
        <sz val="10"/>
        <rFont val="Arial"/>
        <family val="2"/>
      </rPr>
      <t xml:space="preserve"> der Anlage als Prognose dargestellt.</t>
    </r>
  </si>
  <si>
    <t xml:space="preserve">  20 Jahren (ohne Berücksichtigung des Herstellungsjahres). </t>
  </si>
  <si>
    <t xml:space="preserve">  Ab Version 6.0 kann mit einer Nutzungsdauer von bis zu 25 Jahre (ohne Herstellungsjahr)</t>
  </si>
  <si>
    <t xml:space="preserve">  gerechnet werden. Da die garantierte Mindestvergütung nach EEG nach 20 Jahren endet</t>
  </si>
  <si>
    <t xml:space="preserve">  erfasst werden, wenn mit einer Laufzeit von mehr als 20 Jahre gerechnet wird.</t>
  </si>
  <si>
    <t xml:space="preserve">  muss in der Kalkulation eine Erlöserwartung für den Stromverkauf ab dem 21 Jahr</t>
  </si>
  <si>
    <t>(Voreinstellung: Laufzeit = 20 Jahre)</t>
  </si>
  <si>
    <r>
      <t xml:space="preserve">  am Standort. Die ausgewiesene Zahl dient lediglich als </t>
    </r>
    <r>
      <rPr>
        <b/>
        <u/>
        <sz val="10"/>
        <rFont val="Arial"/>
        <family val="2"/>
      </rPr>
      <t>Information</t>
    </r>
    <r>
      <rPr>
        <sz val="10"/>
        <rFont val="Arial"/>
        <family val="2"/>
      </rPr>
      <t xml:space="preserve"> zur Abschätzung der </t>
    </r>
  </si>
  <si>
    <r>
      <t xml:space="preserve">  "Sonnenernte". </t>
    </r>
    <r>
      <rPr>
        <b/>
        <u/>
        <sz val="10"/>
        <rFont val="Arial"/>
        <family val="2"/>
      </rPr>
      <t>Sie wird im Programm nicht verrechnet</t>
    </r>
    <r>
      <rPr>
        <sz val="10"/>
        <rFont val="Arial"/>
        <family val="2"/>
      </rPr>
      <t>.</t>
    </r>
  </si>
  <si>
    <t xml:space="preserve">  mit Dünnschichtmodulen können die Werte zur Alterung je nach Technologie etwas höher liegen. </t>
  </si>
  <si>
    <t xml:space="preserve">  senkt. Die Eingabe des Inbetriebnahmemonats erfolgt ab Vers. 5.0 im Bereich "Wirtschaftlichkeit </t>
  </si>
  <si>
    <t xml:space="preserve">  der Anlage". Der Wert wird automatisch in den Bereich Leistungsdaten übernommen.</t>
  </si>
  <si>
    <t>Darlehensbetrag in €; Laufzeit in Jahre; Zinssatz nominal in %</t>
  </si>
  <si>
    <t xml:space="preserve">  die ersten Jahre der Anlage hat.</t>
  </si>
  <si>
    <t>kWh Mindesteigenverbrauch</t>
  </si>
  <si>
    <t>kWh erfasster Eigenverbrauch</t>
  </si>
  <si>
    <t>kWp Anlagengröße</t>
  </si>
  <si>
    <t>kWh Differenz</t>
  </si>
  <si>
    <t xml:space="preserve">  (Bitte informieren Sie sich zu den detaillierten Bestimmungen auch im Original- Gesetzestext des EEG; Stand August 2012)</t>
  </si>
  <si>
    <t xml:space="preserve">  Bei Anlagen größer 10 kWp bis 1.000 kWp wird (ab 01.04.2012) pro Jahr nur noch 90% der </t>
  </si>
  <si>
    <t xml:space="preserve">  Wird im Programm kein individueller Eigenstromverbrauch erfasst oder liegt dieser niedriger als der</t>
  </si>
  <si>
    <t xml:space="preserve">  Mindesteigenstromverbrauch, so rechnet das Programm bis zu 31.12.2013 eine 100% ige Vergütung</t>
  </si>
  <si>
    <t xml:space="preserve">  des Stromverkaufs, ab dem 1.1.2014 werden nur noch max. 90% des erzeugten Stroms bei der </t>
  </si>
  <si>
    <t xml:space="preserve">  Vergütung berücksichtigt.</t>
  </si>
  <si>
    <r>
      <t xml:space="preserve"> -</t>
    </r>
    <r>
      <rPr>
        <b/>
        <i/>
        <sz val="10"/>
        <color indexed="57"/>
        <rFont val="Arial"/>
        <family val="2"/>
      </rPr>
      <t>Erlöserwartung für Stromverkauf ab dem 21. Jahr ( jährlich)</t>
    </r>
  </si>
  <si>
    <r>
      <t xml:space="preserve">  getroffen werden (</t>
    </r>
    <r>
      <rPr>
        <sz val="10"/>
        <color indexed="12"/>
        <rFont val="Arial"/>
        <family val="2"/>
      </rPr>
      <t>siehe unten</t>
    </r>
    <r>
      <rPr>
        <sz val="10"/>
        <rFont val="Arial"/>
        <family val="2"/>
      </rPr>
      <t xml:space="preserve">). </t>
    </r>
  </si>
  <si>
    <t xml:space="preserve">  Bei der Kalkulation von Anlagelaufzeiten über 20 Jahre (max. 25 Jahre möglich) ist für den Strom-</t>
  </si>
  <si>
    <t xml:space="preserve">  verkauf ab dem 21. Jahr ein "realistischer" Verkaufspreis zu erfassen (Prognose). Das Programm </t>
  </si>
  <si>
    <t xml:space="preserve">  bietet darüber hinaus die Möglichkeit, für diesen Verkaufspreis ein Inflationsszenario zu rechnen.</t>
  </si>
  <si>
    <t xml:space="preserve">  war im EEG eine zusätzliche Förderung des Eigenstroms festgesetzt (Eigenverbrauchsbonus).</t>
  </si>
  <si>
    <t xml:space="preserve">  Seit 01.04.2012 ist die Eigenstromförderung in Form des Eigenverbrauchsbonus entfallen. </t>
  </si>
  <si>
    <t xml:space="preserve">  Abschreibungsmodelle (-methoden) zu wählen. Konsultieren Sie hierzu bitte ggf. den Steuerberater)</t>
  </si>
  <si>
    <t xml:space="preserve">  In der praktischen Anwendung können aus dieser Betrachtung zumindest 3 Schlüsse gezogen werden: </t>
  </si>
  <si>
    <t xml:space="preserve">      wenn der interne Zinssatz höher ist als der Zinssatz des aufgenommenen Kapitals.</t>
  </si>
  <si>
    <t xml:space="preserve">      Aus Sicht der höchsten Rendite wäre dann diejenige Investition/Anlage zu bevorzugen,</t>
  </si>
  <si>
    <r>
      <t xml:space="preserve">  Der </t>
    </r>
    <r>
      <rPr>
        <u/>
        <sz val="10"/>
        <rFont val="Arial"/>
        <family val="2"/>
      </rPr>
      <t>Wert des Eigenstroms wird wie eine Einzahlung</t>
    </r>
    <r>
      <rPr>
        <sz val="10"/>
        <rFont val="Arial"/>
        <family val="2"/>
      </rPr>
      <t xml:space="preserve"> behandelt. Der Anlagenbetreiber wird damit</t>
    </r>
  </si>
  <si>
    <t>(Voreinstellungen: Soll-Zinssatz 8,5 %; Guthabenzinssatz 0,5%)</t>
  </si>
  <si>
    <t xml:space="preserve">  D.h. nach 10 Jahre ist im Bsp. das Risiko, mit dieser Investition einen Verlust zu erleiden, vorüber.</t>
  </si>
  <si>
    <t xml:space="preserve">   wanndas Konto ggf. ins Minus läuft und ob bzw. in welcher Höhe am Ende der Laufzeit ein </t>
  </si>
  <si>
    <t>fremd</t>
  </si>
  <si>
    <t>eigen</t>
  </si>
  <si>
    <t>Abb. 1: Amortisationsdauer</t>
  </si>
  <si>
    <t>Inv.</t>
  </si>
  <si>
    <t>Summe Fremdmittel:</t>
  </si>
  <si>
    <t>Eigenmittel</t>
  </si>
  <si>
    <t>rückfluss</t>
  </si>
  <si>
    <t xml:space="preserve"> Rückfluss (jährl.)</t>
  </si>
  <si>
    <t xml:space="preserve"> gebundene Fremdmittel in der Investition jeweils am Jahresende</t>
  </si>
  <si>
    <t xml:space="preserve"> gebundene Eigenmittel in der Investition jeweils am Jahresende</t>
  </si>
  <si>
    <t xml:space="preserve">  eingesetzten Fremdmittel nachrangig dargestellt. Grundsätzlich wäre es auch denkbar, diese</t>
  </si>
  <si>
    <t xml:space="preserve">  Darstellung umzukehren. </t>
  </si>
  <si>
    <t xml:space="preserve">  &gt;&gt; Sie sagt lediglich aus, zu welchem Zeitpunkt der Investitionsbetrag zurückgeflossen ist.</t>
  </si>
  <si>
    <t xml:space="preserve">  auch darstellen, nach welchem Zeitraum die eingesetzten Eigenmittel zurück geflossen sind.</t>
  </si>
  <si>
    <t xml:space="preserve">  reichend hoch gewählt werden um z.B. einen Austausch von Wechselrichtern während der</t>
  </si>
  <si>
    <r>
      <t>5)</t>
    </r>
    <r>
      <rPr>
        <sz val="8"/>
        <rFont val="Arial"/>
        <family val="2"/>
      </rPr>
      <t xml:space="preserve">  Ab 01.04.2012, nach dem Gesetz für den Vorrang für Erneuerbare Energien (Erneuerbare - Energien - Gesetz, EEG), zuletzt geändert am 17.08.2012 durch das Gesetz zur Änderung des Rechtsrahmens für Strom aus solarer Strahlungsenergie und zu weiteren Änderungen im Recht der Erneuerbaren Energien (BGBl. Teil 1 Nr. 38; S. 1754 ff)</t>
    </r>
  </si>
  <si>
    <t>Feb 2013 (ab 01.02.)</t>
  </si>
  <si>
    <t>Mrz 2013 (ab 01.03.)</t>
  </si>
  <si>
    <t>Apr 2013 (ab 01.04.)</t>
  </si>
  <si>
    <t>Mai 2013 (ab 01.05.)</t>
  </si>
  <si>
    <t>Jun 2013 (ab 01.06.)</t>
  </si>
  <si>
    <t>Jul 2013 (ab 01.07.)</t>
  </si>
  <si>
    <t>Aug 2013 (ab 01.08.)</t>
  </si>
  <si>
    <t>Sep 2013 (ab 01.09.)</t>
  </si>
  <si>
    <t>Okt 2013 (ab 01.10.)</t>
  </si>
  <si>
    <t>copyright: Werner Schmid</t>
  </si>
  <si>
    <t>SUMME</t>
  </si>
  <si>
    <t>http://www.bundesnetzagentur.de/cln_1931/DE/Sachgebiete/ElektrizitaetundGas/Unternehmen_Institutionen/ErneuerbareEnergien/Photovoltaik/DatenMeldgn_EEG-VergSaetze/DatenMeldgn_EEG-VergSaetze_node.html</t>
  </si>
  <si>
    <t>Nov 2013 (ab 01.11.)</t>
  </si>
  <si>
    <t>Dez 2013 (ab 01.12.)</t>
  </si>
  <si>
    <t>Jan 2014 (ab 01.01.)</t>
  </si>
  <si>
    <t>Feb 2014 (ab 01.02.)</t>
  </si>
  <si>
    <t>Mrz 2014 (ab 01.03.)</t>
  </si>
  <si>
    <t>Apr 2014 (ab 01.04.)</t>
  </si>
  <si>
    <t>immaterieller Art, die durch die Nutzung oder Nichtnutzung des Programms verursacht</t>
  </si>
  <si>
    <t>Inbetriebnahme</t>
  </si>
  <si>
    <t>Anlagen nach § 32 Abs. 2 EEG (Dachanlagen)</t>
  </si>
  <si>
    <t>Anlagen nach § 32 Abs. 1 EEG</t>
  </si>
  <si>
    <t>bis 10 KWp</t>
  </si>
  <si>
    <t>bis 40 kWp</t>
  </si>
  <si>
    <t>bis 1 MWp</t>
  </si>
  <si>
    <t>bis 10 MWp</t>
  </si>
  <si>
    <t>ab 01.04.2012</t>
  </si>
  <si>
    <t>Degression</t>
  </si>
  <si>
    <t>ab 01.05.2012</t>
  </si>
  <si>
    <t>Rundung</t>
  </si>
  <si>
    <t>ab 01.06.2012</t>
  </si>
  <si>
    <t>ab 01.07.2012</t>
  </si>
  <si>
    <t>ab 01.08.2012</t>
  </si>
  <si>
    <t>ab 01.09.2012</t>
  </si>
  <si>
    <t>ab 01.10.2012</t>
  </si>
  <si>
    <t>ab 01.11.2012</t>
  </si>
  <si>
    <t>ab 01.12.2012</t>
  </si>
  <si>
    <t>ab 01.01.2013</t>
  </si>
  <si>
    <t>ab 01.02.2013</t>
  </si>
  <si>
    <t>ab 01.03.2013</t>
  </si>
  <si>
    <t>ab 01.04.2013</t>
  </si>
  <si>
    <t>ab 01.05.2013</t>
  </si>
  <si>
    <t>ab 01.06.2013</t>
  </si>
  <si>
    <t>ab 01.07.2013</t>
  </si>
  <si>
    <t>ab 01.08.2013</t>
  </si>
  <si>
    <t>ab 01.09.2013</t>
  </si>
  <si>
    <t>ab 01.10.2013</t>
  </si>
  <si>
    <t>ab 01.11.2013</t>
  </si>
  <si>
    <t>ab 01.12.2013</t>
  </si>
  <si>
    <t>ab 01.01.2014</t>
  </si>
  <si>
    <t>ab 01.02.2014</t>
  </si>
  <si>
    <t>ab 01.03.2014</t>
  </si>
  <si>
    <t>ab 01.04.2014</t>
  </si>
  <si>
    <t>ab 01.05.2014</t>
  </si>
  <si>
    <t>ab 01.06.2014</t>
  </si>
  <si>
    <t>ab 01.07.2014</t>
  </si>
  <si>
    <t>Mai 2014 (ab 01.05.)</t>
  </si>
  <si>
    <t>Jun 2014 (ab 01.06.)</t>
  </si>
  <si>
    <t>Jul 2014 (ab 01.07.)</t>
  </si>
  <si>
    <t>Aug 2014 (ab 01.08.)</t>
  </si>
  <si>
    <t>Sep 2014 (ab 01.09.)</t>
  </si>
  <si>
    <t>Begrenzung der Anlagegröße mit Anspruch</t>
  </si>
  <si>
    <t>gültige Größe:</t>
  </si>
  <si>
    <t>Gültigkeitsprüfung:</t>
  </si>
  <si>
    <t>Inbetriebnahme:</t>
  </si>
  <si>
    <t>Gesetz für den Vorrang für Erneuerbare Energien    Erneuerbare - Energien - Gesetz (EEG)</t>
  </si>
  <si>
    <t>10-</t>
  </si>
  <si>
    <t>40-</t>
  </si>
  <si>
    <t xml:space="preserve">EEG 2014:  </t>
  </si>
  <si>
    <t>EEG-Umlage für Eigenverbrauch</t>
  </si>
  <si>
    <t>Schätzwert
Ø EEG-Umlage:</t>
  </si>
  <si>
    <r>
      <rPr>
        <b/>
        <u/>
        <sz val="8"/>
        <rFont val="Arial"/>
        <family val="2"/>
      </rPr>
      <t>Zur Kalkulation</t>
    </r>
    <r>
      <rPr>
        <sz val="8"/>
        <rFont val="Arial"/>
        <family val="2"/>
      </rPr>
      <t xml:space="preserve"> über</t>
    </r>
  </si>
  <si>
    <t>Schätzwert EEG-Umlage</t>
  </si>
  <si>
    <t>Cent/kWh</t>
  </si>
  <si>
    <t>nach 01.01.2017</t>
  </si>
  <si>
    <t>Laufzeit Anlage:</t>
  </si>
  <si>
    <t>Monate</t>
  </si>
  <si>
    <t>Inbetriebnahmejahr</t>
  </si>
  <si>
    <t>01.08.14 - 31.12.15</t>
  </si>
  <si>
    <t>01.01.16 - 31.12.16</t>
  </si>
  <si>
    <t>Laufzeit - Daten</t>
  </si>
  <si>
    <t>Durchschnitt:</t>
  </si>
  <si>
    <t xml:space="preserve"> &gt; nach Abzug:</t>
  </si>
  <si>
    <t>Bundesgesetzblatt BGBl. 2014, Teil 1, Nr. 33, S. 1066 ff</t>
  </si>
  <si>
    <t>Aktueller Stand der PV-Vergütungen nach EEG + EEG 2014 (NEU)</t>
  </si>
  <si>
    <t>Alte Vergütungssätze:</t>
  </si>
  <si>
    <t xml:space="preserve">Vergütungssätze in Cent/kWh mit Degression und Rundung </t>
  </si>
  <si>
    <t>ab dem 01.04.2012 bis 31.07.2014</t>
  </si>
  <si>
    <t>Neue Vergütungssätze des EEG 2014 ab 01.08.2014:</t>
  </si>
  <si>
    <t>EEG 2014 ab 01.08.2014</t>
  </si>
  <si>
    <t>Das EEG 2014 bringt auch der Photovoltaik einen grundlegenden Systemwechsel !</t>
  </si>
  <si>
    <r>
      <t xml:space="preserve">Prinzipiell werden künftig Anlagen zur Erzeugung regenerativen Stroms nach dem </t>
    </r>
    <r>
      <rPr>
        <u/>
        <sz val="10"/>
        <color indexed="10"/>
        <rFont val="Arial"/>
        <family val="2"/>
      </rPr>
      <t>Marktprämienmodell</t>
    </r>
  </si>
  <si>
    <t xml:space="preserve">gefördert. In der Photovoltaik gibt es jedoch für "kleine Anlagen" eine Ausnahmeregelung, die den </t>
  </si>
  <si>
    <t>Betrieb dieser "kleinen Anlagen" in altgewohnter Weise ermöglicht. "Kleine Anlagen" haben auch künftig</t>
  </si>
  <si>
    <t>Anspruch auf eine "feste Einspeisevergütung". Allerdings wird künftig für eigen verbrauchten Strom</t>
  </si>
  <si>
    <t xml:space="preserve">eine anteilige EEG-Umlage fällig.  </t>
  </si>
  <si>
    <t>hier klicken um mehr zu erfahren ...</t>
  </si>
  <si>
    <t>EEG 2014</t>
  </si>
  <si>
    <t>Berechnung der neuen Vergütungssätze für Strom aus solarer Strahlungsenergie</t>
  </si>
  <si>
    <t>§ 19 Abs. 1 Ziff.2:</t>
  </si>
  <si>
    <r>
      <t xml:space="preserve">Förderanspruch für Strom - </t>
    </r>
    <r>
      <rPr>
        <b/>
        <sz val="11"/>
        <color indexed="10"/>
        <rFont val="Arial"/>
        <family val="2"/>
      </rPr>
      <t>Anspruch auf Einspeisevergütung nach § 37</t>
    </r>
    <r>
      <rPr>
        <sz val="10"/>
        <rFont val="Arial"/>
        <family val="2"/>
      </rPr>
      <t xml:space="preserve"> (und § 38)</t>
    </r>
  </si>
  <si>
    <t>§ 22</t>
  </si>
  <si>
    <r>
      <t xml:space="preserve">Förderbeginn und -dauer: </t>
    </r>
    <r>
      <rPr>
        <b/>
        <sz val="11"/>
        <color indexed="10"/>
        <rFont val="Arial"/>
        <family val="2"/>
      </rPr>
      <t>20 Jahre + Inbetriebnahmejahr</t>
    </r>
  </si>
  <si>
    <t>§ 23 Abs. 2 Ziff. 1</t>
  </si>
  <si>
    <r>
      <t xml:space="preserve">Berechnung der Förderung - </t>
    </r>
    <r>
      <rPr>
        <b/>
        <sz val="11"/>
        <color indexed="10"/>
        <rFont val="Arial"/>
        <family val="2"/>
      </rPr>
      <t>anteilig nach der installierten Leistung der Anlage im</t>
    </r>
  </si>
  <si>
    <t>Verhältnis zu dem jeweils anzulegenden Schwellenwert</t>
  </si>
  <si>
    <t>§ 31 Abs.1</t>
  </si>
  <si>
    <r>
      <t xml:space="preserve">Zielkorridor = </t>
    </r>
    <r>
      <rPr>
        <b/>
        <sz val="11"/>
        <color indexed="10"/>
        <rFont val="Arial"/>
        <family val="2"/>
      </rPr>
      <t>2.400 bis 2.600 MW</t>
    </r>
  </si>
  <si>
    <t>§ 31 Abs.2</t>
  </si>
  <si>
    <r>
      <t xml:space="preserve">monatliche Degression = </t>
    </r>
    <r>
      <rPr>
        <b/>
        <sz val="11"/>
        <color indexed="10"/>
        <rFont val="Arial"/>
        <family val="2"/>
      </rPr>
      <t>0,5%</t>
    </r>
    <r>
      <rPr>
        <sz val="10"/>
        <rFont val="Arial"/>
        <family val="2"/>
      </rPr>
      <t>;</t>
    </r>
    <r>
      <rPr>
        <b/>
        <sz val="11"/>
        <color indexed="10"/>
        <rFont val="Arial"/>
        <family val="2"/>
      </rPr>
      <t xml:space="preserve"> Beginn ab 1. September 2014</t>
    </r>
  </si>
  <si>
    <t>Anpassung alle 3 Monate zum 1.1.; 1.4.; 1.7.; 1.10</t>
  </si>
  <si>
    <t>§ 31 Abs.3</t>
  </si>
  <si>
    <t>Erhöhung der Degression bei Abweichen vom Zubaukorridor auf:</t>
  </si>
  <si>
    <t>um bis + 900 MW</t>
  </si>
  <si>
    <t>um mehr als + 900 MW</t>
  </si>
  <si>
    <t>um mehr als + 1900 MW</t>
  </si>
  <si>
    <t>um mehr als + 2900 MW</t>
  </si>
  <si>
    <t>um mehr als + 3900 MW</t>
  </si>
  <si>
    <t>um mehr als + 4900 MW</t>
  </si>
  <si>
    <t>§ 31 Abs.4</t>
  </si>
  <si>
    <t>Absenkung der Degression bei Abweichen vom Zubaukorridor auf:</t>
  </si>
  <si>
    <t>um bis - 900 MW</t>
  </si>
  <si>
    <t>um mehr als - 900 MW</t>
  </si>
  <si>
    <t>um mehr als - 1400 MW</t>
  </si>
  <si>
    <t>(einmalig zu Quartalsbeginn)</t>
  </si>
  <si>
    <t>§ 31 Abs.5</t>
  </si>
  <si>
    <t>Bezugszeitraum - 1 Jahr (13. Monat vorher bis 1 Monat vorher)</t>
  </si>
  <si>
    <t>§ 31 Abs.6</t>
  </si>
  <si>
    <r>
      <t xml:space="preserve">Max. Zubaugrenze - </t>
    </r>
    <r>
      <rPr>
        <b/>
        <sz val="11"/>
        <color indexed="10"/>
        <rFont val="Arial"/>
        <family val="2"/>
      </rPr>
      <t>52.000 MW</t>
    </r>
  </si>
  <si>
    <t>§ 37 Abs.1</t>
  </si>
  <si>
    <t>Anspruch auf Einspeisevergütung für "kleine Anlagen"</t>
  </si>
  <si>
    <t>§ 37 Abs.2</t>
  </si>
  <si>
    <t xml:space="preserve">"kleine Anlagen" = </t>
  </si>
  <si>
    <t xml:space="preserve">bis höchsten 500 kW </t>
  </si>
  <si>
    <t>vor 01.01.2016</t>
  </si>
  <si>
    <t xml:space="preserve">bis höchsten 100 kW </t>
  </si>
  <si>
    <t>nach 31.12.2015</t>
  </si>
  <si>
    <t>§ 37 Abs.3 Ziff. 2</t>
  </si>
  <si>
    <t xml:space="preserve">Abzugsbetrag von den anzulegenden Werten nach § 51 (Solare Strahlungsenergie) </t>
  </si>
  <si>
    <t>Abzugsbetrag =</t>
  </si>
  <si>
    <t>0,4 Cent/Kilowattstunde</t>
  </si>
  <si>
    <t>§ 51 Abs.1</t>
  </si>
  <si>
    <t>Anzulegender Wert bis 10 MW</t>
  </si>
  <si>
    <t>§ 51 Abs.2</t>
  </si>
  <si>
    <t xml:space="preserve">In, an und auf Gebäuden: </t>
  </si>
  <si>
    <t>bis einschließlich 10 kWp</t>
  </si>
  <si>
    <t>bis einschließlich 40 kWp</t>
  </si>
  <si>
    <t>bis einschließlich 1.000 kWp</t>
  </si>
  <si>
    <t>bis einschließlich 10.000 kWp</t>
  </si>
  <si>
    <t>§ 51 Abs.3</t>
  </si>
  <si>
    <t>Außenbereichsregelung</t>
  </si>
  <si>
    <t>§ 61 Abs.1</t>
  </si>
  <si>
    <t>§ 61 Abs.1 Ziff.1</t>
  </si>
  <si>
    <t>30% EEG-Umlage von 1.07.2014 bis 31.12.2015</t>
  </si>
  <si>
    <t>§ 61 Abs.1 Ziff.2</t>
  </si>
  <si>
    <t>35% EEG-Umlage von 1.01.2016 bis 31.12.2016</t>
  </si>
  <si>
    <t>§ 61 Abs.1 Ziff.3</t>
  </si>
  <si>
    <t>40% EEG-Umlage ab 1.01.2017</t>
  </si>
  <si>
    <t>§ 61 Abs.2 Ziff. 4</t>
  </si>
  <si>
    <r>
      <rPr>
        <b/>
        <sz val="11"/>
        <color indexed="10"/>
        <rFont val="Arial"/>
        <family val="2"/>
      </rPr>
      <t>Befreiung</t>
    </r>
    <r>
      <rPr>
        <sz val="10"/>
        <rFont val="Arial"/>
        <family val="2"/>
      </rPr>
      <t xml:space="preserve"> von der EEG-Umlage bei Anlagen </t>
    </r>
    <r>
      <rPr>
        <b/>
        <sz val="11"/>
        <color indexed="10"/>
        <rFont val="Arial"/>
        <family val="2"/>
      </rPr>
      <t>bis 10 kWp</t>
    </r>
    <r>
      <rPr>
        <sz val="10"/>
        <rFont val="Arial"/>
        <family val="2"/>
      </rPr>
      <t>; max. 10.000 kWh</t>
    </r>
  </si>
  <si>
    <t>§ 61 Abs.3</t>
  </si>
  <si>
    <r>
      <rPr>
        <b/>
        <sz val="11"/>
        <color indexed="10"/>
        <rFont val="Arial"/>
        <family val="2"/>
      </rPr>
      <t>Befreiung</t>
    </r>
    <r>
      <rPr>
        <sz val="10"/>
        <rFont val="Arial"/>
        <family val="2"/>
      </rPr>
      <t xml:space="preserve"> von der EEG-Umlage bei </t>
    </r>
    <r>
      <rPr>
        <b/>
        <sz val="11"/>
        <color indexed="10"/>
        <rFont val="Arial"/>
        <family val="2"/>
      </rPr>
      <t>Bestandsanlagen</t>
    </r>
    <r>
      <rPr>
        <sz val="10"/>
        <rFont val="Arial"/>
        <family val="2"/>
      </rPr>
      <t xml:space="preserve"> mit Inbetriebnahme von 1.08.2014</t>
    </r>
  </si>
  <si>
    <t>Prinzipiell werden künftig Anlagen zur Erzeugung regenerativen Stroms nach dem Marktprämienmodell</t>
  </si>
  <si>
    <t>Wie hoch ist künftig die Vergütung?</t>
  </si>
  <si>
    <t xml:space="preserve"> ("altes Muster" = Anlagen mit Eigenverbrauch + Einspeisung mit Einspeisevergütung)</t>
  </si>
  <si>
    <t>Beispiel:  Berechnung der Einspeisevergütung für eine Anlage &lt; 10 kWp , Inbetriebnahme im August 2014:</t>
  </si>
  <si>
    <t>"Anzulegender Wert" (§51)   -  "Abzugsbetrag" (§37 Abs.3 Satz 2)  =  "Einspeisevergütung" (§31 Abs. 1)</t>
  </si>
  <si>
    <t xml:space="preserve">          0,1315 €/kWh                -                 0,0040 €/kWh)                      =         0,1275 €/kWh</t>
  </si>
  <si>
    <t xml:space="preserve">Für PV-Anlagen, die nach altem Muster eine Einspeisevergütung erhalten möchten </t>
  </si>
  <si>
    <t>gibt es eine besondere Regelung im EEG 2014,</t>
  </si>
  <si>
    <t xml:space="preserve">D.h. wer eine "kleine Anlage" baut und betreibt (klein = max. 500 kWp bis 31.12.2015; danach nur noch </t>
  </si>
  <si>
    <r>
      <t xml:space="preserve">max. 100 kWp) </t>
    </r>
    <r>
      <rPr>
        <b/>
        <u/>
        <sz val="11"/>
        <rFont val="Arial"/>
        <family val="2"/>
      </rPr>
      <t>kann weiterhin die Einspeisevergütung verlangen</t>
    </r>
    <r>
      <rPr>
        <sz val="11"/>
        <rFont val="Arial"/>
        <family val="2"/>
      </rPr>
      <t xml:space="preserve">. </t>
    </r>
  </si>
  <si>
    <t>Höhe der Einspeisevergütung</t>
  </si>
  <si>
    <t>EEG-Umlage für den Eigenverbrauch:</t>
  </si>
  <si>
    <t>EEG-Umlage für Letztverbraucher und Eigenversorger kann verlangt werden</t>
  </si>
  <si>
    <t>Hinweis: Nachfolgend werden nur einige die wichtigsten Neuerungen des EEG 2014 erläutert, die</t>
  </si>
  <si>
    <t>im Zusammenhang mit der Nutzung des Programms bekannt sein sollten.</t>
  </si>
  <si>
    <t>Wir raten jedem Nutzer des Programms, die Regelungen selbst dem Originaltext des EEG 2014</t>
  </si>
  <si>
    <t>zu entnehmen.</t>
  </si>
  <si>
    <t>Wichtige Regelungen des EEG 2014 für Photovoltaik im Überblick</t>
  </si>
  <si>
    <t>Die Liste erhebt keine Anspruch auf Vollständigkeit. Eigene Recherchen im EEG 2014 sind zwingend anzuraten.</t>
  </si>
  <si>
    <t>EEG-Umlage</t>
  </si>
  <si>
    <t>Bagatellgrenze:</t>
  </si>
  <si>
    <t>befreite Anlagengröße</t>
  </si>
  <si>
    <t>befreiter Eigenverbrauch</t>
  </si>
  <si>
    <t>&gt; 30% EEG-Umlage von 1.07.2014 bis 31.12.2015</t>
  </si>
  <si>
    <t>&gt; 35% EEG-Umlage von 1.01.2016 bis 31.12.2016</t>
  </si>
  <si>
    <t>&gt; 40% EEG-Umlage ab 1.01.2017</t>
  </si>
  <si>
    <t>Der Abzug der fälligen anteiligen EEG-Umlage wird in der Kalkulation berücksichtigt.</t>
  </si>
  <si>
    <t>WICHTIG - bitte beachten:</t>
  </si>
  <si>
    <t xml:space="preserve">  Bei Laufzeiten von mehr als 20 Jahren, welche ab Vers. 6.0 im Programm gerechnet werden können, </t>
  </si>
  <si>
    <r>
      <t xml:space="preserve">       max. 90% der gesamten Strommenge) wird erst ab dem </t>
    </r>
    <r>
      <rPr>
        <u/>
        <sz val="10"/>
        <rFont val="Arial"/>
        <family val="2"/>
      </rPr>
      <t>1. Januar 2014</t>
    </r>
    <r>
      <rPr>
        <sz val="10"/>
        <rFont val="Arial"/>
        <family val="2"/>
      </rPr>
      <t xml:space="preserve"> angewendet.</t>
    </r>
  </si>
  <si>
    <r>
      <t xml:space="preserve">- Herstellungskosten in €uro pro 1 Kilowatt-Peak (kWp)  - </t>
    </r>
    <r>
      <rPr>
        <sz val="10"/>
        <rFont val="Arial"/>
        <family val="2"/>
      </rPr>
      <t xml:space="preserve"> vergleichen.</t>
    </r>
  </si>
  <si>
    <t xml:space="preserve">  Für 1 kWp müssen je nach Solarmodultyp i.d.R. zwischen (7)-10-(30) m² Module installiert werden.</t>
  </si>
  <si>
    <r>
      <t xml:space="preserve"> -</t>
    </r>
    <r>
      <rPr>
        <b/>
        <i/>
        <sz val="10"/>
        <color indexed="57"/>
        <rFont val="Arial"/>
        <family val="2"/>
      </rPr>
      <t>Monat der Inbetriebnahme:</t>
    </r>
    <r>
      <rPr>
        <sz val="10"/>
        <rFont val="Arial"/>
        <family val="2"/>
      </rPr>
      <t xml:space="preserve"> Das EEG garantiert nach dem aktuellen Stand eine</t>
    </r>
  </si>
  <si>
    <t>unabhängigen Rat bei vertrauenswürdigen Institutionen oder Personen einzuholen.</t>
  </si>
  <si>
    <t>Zur Gestaltung der Finanzierung wird empfohlen, sich sachverständigen und möglichst</t>
  </si>
  <si>
    <r>
      <t xml:space="preserve"> 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der</t>
    </r>
    <r>
      <rPr>
        <b/>
        <sz val="10"/>
        <rFont val="Arial"/>
        <family val="2"/>
      </rPr>
      <t xml:space="preserve"> Summe von Darlehenszinsen + Ansparbetrag</t>
    </r>
    <r>
      <rPr>
        <sz val="10"/>
        <rFont val="Arial"/>
        <family val="2"/>
      </rPr>
      <t>. Ziel ist es, das endfällige Darlehen möglichst</t>
    </r>
  </si>
  <si>
    <t>Ausnahme: Anlagen bis 10 kWp (und max. 10.000 kWh Eigenstromverbrauch) und Bestandsanlagen</t>
  </si>
  <si>
    <t>(Anlagen mit Inbetriebnahme vor 01.08.2014) sind von der EEG-Umlage - Zahlungspflicht befreit.</t>
  </si>
  <si>
    <t xml:space="preserve">an der jeweils in dem Jahr gültigen EEG-Umlage bemessen wird. </t>
  </si>
  <si>
    <t xml:space="preserve">Als Benutzer müssen Sie in eigener Verantwortung einen durchschnittlichen Schätzwert für </t>
  </si>
  <si>
    <t xml:space="preserve">die Höhe der EEG-Umlage im Programm vorgeben. Die zu bezahlenden EEG- Umlageanteile </t>
  </si>
  <si>
    <t>werden anhand dieses Schätzwertes berechnet und vom Wert des Eigenstroms abgezogen.</t>
  </si>
  <si>
    <t xml:space="preserve">  zumindest gegen Elementarschäden (Feuer, Sturm, Hagel, Blitzschlag, ...) ist unbedingt anzuraten. </t>
  </si>
  <si>
    <t xml:space="preserve">  Die Kosten für eine derartige Versicherung sollten eine Größenordnung von 0,3% der </t>
  </si>
  <si>
    <t xml:space="preserve">  In manchen Fällen kann die Absicherung der Photovoltaikanlage auch in der Gebäudeversicherung</t>
  </si>
  <si>
    <t xml:space="preserve"> (Elementarschaden) zu günstigen Konditionen mit eingebunden werden.</t>
  </si>
  <si>
    <t xml:space="preserve">  bei Bedarf kalkulatorisch fassen.</t>
  </si>
  <si>
    <t xml:space="preserve">   ( In die Berechnung gehen nur die tatsächlich fließenden Auszahlungen und Einzahlungen </t>
  </si>
  <si>
    <t xml:space="preserve">     sowie der Wert der Eigenstromnutzung ein. )</t>
  </si>
  <si>
    <r>
      <t xml:space="preserve"> -</t>
    </r>
    <r>
      <rPr>
        <b/>
        <i/>
        <sz val="10"/>
        <color indexed="57"/>
        <rFont val="Arial"/>
        <family val="2"/>
      </rPr>
      <t>Amortis</t>
    </r>
    <r>
      <rPr>
        <b/>
        <i/>
        <sz val="10"/>
        <color indexed="57"/>
        <rFont val="Arial"/>
        <family val="2"/>
      </rPr>
      <t xml:space="preserve">ationsdauer: </t>
    </r>
    <r>
      <rPr>
        <sz val="10"/>
        <rFont val="Arial"/>
        <family val="2"/>
      </rPr>
      <t>Unter Amortisationszeit versteht man die Zeit, die benötigt wird,</t>
    </r>
  </si>
  <si>
    <r>
      <t xml:space="preserve"> -</t>
    </r>
    <r>
      <rPr>
        <b/>
        <i/>
        <sz val="10"/>
        <color indexed="57"/>
        <rFont val="Arial"/>
        <family val="2"/>
      </rPr>
      <t>Rückfluss der Eigenmittel</t>
    </r>
    <r>
      <rPr>
        <sz val="10"/>
        <rFont val="Arial"/>
        <family val="2"/>
      </rPr>
      <t>: Angelehnt an die Methode "Amotisationsrechnung" lässt sich</t>
    </r>
  </si>
  <si>
    <t xml:space="preserve">  In der vorliegenden Abbildung 1 wird der Rückfluss der Eigenmittel vorrangig, der Rückfluss der</t>
  </si>
  <si>
    <t>Anzulegender Wert für PV-Anlagen bis 10 MW</t>
  </si>
  <si>
    <t xml:space="preserve">Anzulegender Wert für PV-Anlagen in, an und auf Gebäuden: </t>
  </si>
  <si>
    <t>Die nachfolgenden Erläuterungen können jedoch eine eigene Lektüre des EEG 2014 nicht ersetzen !</t>
  </si>
  <si>
    <t>&gt; Anlagen bis 10 kWp sind ausgenommen, befreit sind allerdings max. 10.000 kWh (10 MWh) selbst verbrauchten Stroms.</t>
  </si>
  <si>
    <t>Der Abzug ist mit 0,4 Cent/kWh  =(0,004 €/kWh) für alle Größenklassen, die Anpsruch auf Einspeisevergütung</t>
  </si>
  <si>
    <t xml:space="preserve"> geltend machen können (max. 500 kWp bis 31.12.2015  / max. 100 kWp ab 01.01.2016), festgelegt.</t>
  </si>
  <si>
    <t>max. für 10.000 kWh eigen verbrauchten Stroms</t>
  </si>
  <si>
    <r>
      <rPr>
        <b/>
        <sz val="11"/>
        <color indexed="10"/>
        <rFont val="Arial"/>
        <family val="2"/>
      </rPr>
      <t>Befreiung</t>
    </r>
    <r>
      <rPr>
        <sz val="11"/>
        <rFont val="Arial"/>
        <family val="2"/>
      </rPr>
      <t xml:space="preserve"> von der EEG-Umlage bei Anlagen </t>
    </r>
    <r>
      <rPr>
        <b/>
        <sz val="11"/>
        <color indexed="10"/>
        <rFont val="Arial"/>
        <family val="2"/>
      </rPr>
      <t>bis 10 kWp</t>
    </r>
    <r>
      <rPr>
        <sz val="11"/>
        <rFont val="Arial"/>
        <family val="2"/>
      </rPr>
      <t>;</t>
    </r>
  </si>
  <si>
    <r>
      <rPr>
        <b/>
        <sz val="11"/>
        <color indexed="10"/>
        <rFont val="Arial"/>
        <family val="2"/>
      </rPr>
      <t>Befreiung</t>
    </r>
    <r>
      <rPr>
        <sz val="11"/>
        <rFont val="Arial"/>
        <family val="2"/>
      </rPr>
      <t xml:space="preserve"> von der EEG-Umlage bei </t>
    </r>
    <r>
      <rPr>
        <b/>
        <sz val="11"/>
        <color indexed="10"/>
        <rFont val="Arial"/>
        <family val="2"/>
      </rPr>
      <t>Bestandsanlagen</t>
    </r>
    <r>
      <rPr>
        <sz val="11"/>
        <rFont val="Arial"/>
        <family val="2"/>
      </rPr>
      <t xml:space="preserve"> </t>
    </r>
  </si>
  <si>
    <t>mit Inbetriebnahme von 1.08.2014</t>
  </si>
  <si>
    <t>&gt; Mit dem EEG 2014 erfolgte im Grundsatz auch für die Photovoltaik der Systemwechsel von der "festen Einspeisevergütung" hin zum "Marktprämienmodell".</t>
  </si>
  <si>
    <t xml:space="preserve">&gt; Allerdings ermöglichte der Gesetzgeber für "kleine Anlagen" weiterhin den Betrieb nach altem Muster (Eigenverbrauch + feste Einspeisevergütung; § 37, EEG 2014) </t>
  </si>
  <si>
    <t>Zur Bewältigung des Umbruchs wurde das Thema Vergütungen neu geordnet.</t>
  </si>
  <si>
    <t>&gt; Künftig gibt es einen "anzurechnenden Wert" (§ 51), der für das Marktprämienmodell gilt.</t>
  </si>
  <si>
    <t>&gt; Die "feste Einspeisevergütung" für kleine Anlagen wird aus dem "anzurechnenden Wert" (§51) abzgl. "Abzugsbetrag" (§37 Abs. 3 Ziff. 2) ermittelt.</t>
  </si>
  <si>
    <t>&gt; Für Eigenstromverbrauch wird eine anteilige EEG-Umlage fällig (Bagatellgrenze = 10 kWp, 10 MWh eigen verbrauchter Strom).</t>
  </si>
  <si>
    <t>Entwicklung von der "Einspeisevergütung Juli 2014" zum "anzurechnenden Wert August 2014" und der "festen Einspeisevergütung August 2014":</t>
  </si>
  <si>
    <t>bis 10 kWp</t>
  </si>
  <si>
    <t>10 bis 40 kWp</t>
  </si>
  <si>
    <t>40 bis 1000 kWp</t>
  </si>
  <si>
    <t>über 1000 kWp</t>
  </si>
  <si>
    <t>Freiland</t>
  </si>
  <si>
    <t>rechn. Vergütungssätze Aug 2014;  (EEG 2012)</t>
  </si>
  <si>
    <t>(bei 1% Degression von Juli auf August)</t>
  </si>
  <si>
    <t>+ Zuschlag für verpflichtende Direktvermarktung</t>
  </si>
  <si>
    <t>+ Kompensation "EEG-Umlage Eigenstrom"</t>
  </si>
  <si>
    <t>---</t>
  </si>
  <si>
    <t>= "anzurechnender Wert" EEG 2014</t>
  </si>
  <si>
    <t>("kleine Anlagen" (§ 37 Abs.1 und § 37 Abs.3 Ziff. 2)</t>
  </si>
  <si>
    <t>= "feste Einspeisevergütung" EEG 2014</t>
  </si>
  <si>
    <t>Diese Beträge wurden in Gesetzgebungsverfahren</t>
  </si>
  <si>
    <t>verhandelt und zur Weiterentwicklung des EEG</t>
  </si>
  <si>
    <t>festgesetzt.</t>
  </si>
  <si>
    <t>Erläuterungen:  Entwicklung der Einspeisevergütungen vom EEG 2012 zum EEG 2014</t>
  </si>
  <si>
    <t xml:space="preserve">- Abzugsbetrag für Inanspruchnahme </t>
  </si>
  <si>
    <t xml:space="preserve">   der "festen Einspeisevergütung"</t>
  </si>
  <si>
    <t>(nur bis</t>
  </si>
  <si>
    <t xml:space="preserve"> 500 / 100 kWp)</t>
  </si>
  <si>
    <t>Vergütungssätze Juli 2014 (nach EEG 2012)</t>
  </si>
  <si>
    <t>Okt 2014 (ab 01.10.)</t>
  </si>
  <si>
    <t>Nov 2014 (ab 01.11.)</t>
  </si>
  <si>
    <t>Dez 2014 (ab 01.12.)</t>
  </si>
  <si>
    <r>
      <t xml:space="preserve">Der "anzulegende Wert" gilt für das </t>
    </r>
    <r>
      <rPr>
        <b/>
        <sz val="11"/>
        <rFont val="Arial"/>
        <family val="2"/>
      </rPr>
      <t>Marktprämienmodell</t>
    </r>
    <r>
      <rPr>
        <sz val="11"/>
        <rFont val="Arial"/>
        <family val="2"/>
      </rPr>
      <t xml:space="preserve"> am 01.08.2014</t>
    </r>
  </si>
  <si>
    <t xml:space="preserve">ein Abzugsbetrag (§37) abgezogen werden. </t>
  </si>
  <si>
    <t>Allerdings muss zur Berechnung der Einspeisevergütung am 01.08.2014 vom "anzulegenden Wert" (§51)</t>
  </si>
  <si>
    <t>Jan 2015 (ab 01.01.)</t>
  </si>
  <si>
    <t>Feb 2015 (ab 01.02.)</t>
  </si>
  <si>
    <t>Mrz 2015 (ab 01.03.)</t>
  </si>
  <si>
    <t>Apr 2015 (ab 01.04.)</t>
  </si>
  <si>
    <t>Mai 2015 (ab 01.05.)</t>
  </si>
  <si>
    <t>Jun 2015 (ab 01.06.)</t>
  </si>
  <si>
    <t>&gt;&gt;&gt;&gt;&gt;&gt;  Zurück  &lt;&lt;&lt;&lt;&lt;&lt;&lt;&lt;</t>
  </si>
  <si>
    <t>Jul 2015 (ab 01.07.)</t>
  </si>
  <si>
    <t>Aug 2015 (ab 01.08.)</t>
  </si>
  <si>
    <t>Sep 2015 (ab 01.09.)</t>
  </si>
  <si>
    <t>Okt 2015 (ab 01.10.)</t>
  </si>
  <si>
    <t>Nov 2015 (ab 01.11.)</t>
  </si>
  <si>
    <t>Dez 2015 (ab 01.12.)</t>
  </si>
  <si>
    <t>Jan 2016 (ab 01.01.)</t>
  </si>
  <si>
    <t>Feb 2016 (ab 01.02.)</t>
  </si>
  <si>
    <t>Mrz 2016 (ab 01.03.)</t>
  </si>
  <si>
    <t>auf Förderung auf:</t>
  </si>
  <si>
    <t>Art, Größe und Nutzungsdauer:</t>
  </si>
  <si>
    <r>
      <t xml:space="preserve">&gt;&gt;&gt; </t>
    </r>
    <r>
      <rPr>
        <b/>
        <sz val="10"/>
        <color indexed="10"/>
        <rFont val="Arial"/>
        <family val="2"/>
      </rPr>
      <t>HIER</t>
    </r>
    <r>
      <rPr>
        <sz val="10"/>
        <rFont val="Arial"/>
        <family val="2"/>
      </rPr>
      <t xml:space="preserve"> können sie ihren </t>
    </r>
    <r>
      <rPr>
        <b/>
        <sz val="10"/>
        <color indexed="10"/>
        <rFont val="Arial"/>
        <family val="2"/>
      </rPr>
      <t>individuellen Eigenstromverbrauch</t>
    </r>
    <r>
      <rPr>
        <sz val="10"/>
        <rFont val="Arial"/>
        <family val="2"/>
      </rPr>
      <t xml:space="preserve"> erfassen: </t>
    </r>
  </si>
  <si>
    <t xml:space="preserve">  1= Marktprämienmodell;  0 = Einspesevergütungs-Anlage</t>
  </si>
  <si>
    <r>
      <t xml:space="preserve"> Vergütungen </t>
    </r>
    <r>
      <rPr>
        <sz val="10"/>
        <rFont val="Arial"/>
        <family val="2"/>
      </rPr>
      <t>(einschl. Vermarktungskosten)</t>
    </r>
  </si>
  <si>
    <t xml:space="preserve">  Mit dem EEG 2014 wird insbesondere die Direktvermarktung von PV-Strom durch das Marktprämien</t>
  </si>
  <si>
    <t xml:space="preserve">  mit Inbetriebnahme vor dem 01.01.2016 und max. 500 kWp bzw. PV-Anlagen </t>
  </si>
  <si>
    <t xml:space="preserve">  mit Inbetriebnahme nach dem 31.12.2015 und max. 100 kWp weiterhin eine Einspeisevergütung erhalten.</t>
  </si>
  <si>
    <t xml:space="preserve">  Sie sind damit vom Direktvermarktungsgrundsatz ausgenommen. Allerdings liegt die Mindestvergütung</t>
  </si>
  <si>
    <t xml:space="preserve">  einen kleinen Betrag unter dem "anzulegenden Wert" bei der Direktvermarktung. Zum Start des EEG 2014 </t>
  </si>
  <si>
    <t xml:space="preserve">  betrug die Differenz zwischen "anzulegendem Wert" und "Mindestvergütung" 0,4 Cent/Kilowattstunde.</t>
  </si>
  <si>
    <t xml:space="preserve">  Eigenverbrauch abgeschafft und die Möglichkeit der Direktvermarktung von PV-Strom eingeführt.</t>
  </si>
  <si>
    <t xml:space="preserve">  Allerdings nutzen die überwiegende Zahl der PV-Anlagenbetreiber weiterhin die garantierte Einspeise-</t>
  </si>
  <si>
    <t xml:space="preserve">  vergütung sowie die Möglichkeit, Strom selbst zu verbrauchen. Eine Grenze, ab welcher der erzeugte</t>
  </si>
  <si>
    <t xml:space="preserve">  Strom direkt zu vermarkten ist, (siehe EEG 2014) gab es im EEG 2012 noch nicht.</t>
  </si>
  <si>
    <t xml:space="preserve">  Üblicherweise schließen Direktvermarkter mit den Anlagenbetreibern Verträge, in welchen als Preis</t>
  </si>
  <si>
    <t xml:space="preserve">  der "anzulegende Wert" vereinbart wird. Zur Deckung der Kosten der Vermarktung verlangt der </t>
  </si>
  <si>
    <t xml:space="preserve">  Vermarkter i.d.R. eine Gebühr. Häufig werden Beträge um 0,2 Cent/Kilowattstunde im Markt genannt.</t>
  </si>
  <si>
    <r>
      <t xml:space="preserve">  </t>
    </r>
    <r>
      <rPr>
        <b/>
        <u/>
        <sz val="10"/>
        <color indexed="8"/>
        <rFont val="Arial"/>
        <family val="2"/>
      </rPr>
      <t>EEG 2014: Einspeisevergütungs - Anlage nach §37 EEG:</t>
    </r>
    <r>
      <rPr>
        <sz val="10"/>
        <rFont val="Arial"/>
        <family val="2"/>
      </rPr>
      <t xml:space="preserve"> Nach §37 EEG können PV-Anlagen mit </t>
    </r>
  </si>
  <si>
    <r>
      <t xml:space="preserve">  </t>
    </r>
    <r>
      <rPr>
        <b/>
        <u/>
        <sz val="10"/>
        <color indexed="8"/>
        <rFont val="Arial"/>
        <family val="2"/>
      </rPr>
      <t>EEG 2012: Einspeisevergütungs - Anlage:</t>
    </r>
    <r>
      <rPr>
        <sz val="10"/>
        <rFont val="Arial"/>
        <family val="2"/>
      </rPr>
      <t xml:space="preserve"> Mit dem EEG 2012 ab 01.04.2012 wurden der Bonus für </t>
    </r>
  </si>
  <si>
    <t xml:space="preserve">Mit dem Programm können ab Verison 8.0.1 sowohl "kleine Anlagen" mit Anspruch auf </t>
  </si>
  <si>
    <t xml:space="preserve">"feste Einspeisevergütung" (und ggf. Eigenstromverbrauch) als auch MARKTPRÄMIEN-Anlagen </t>
  </si>
  <si>
    <t xml:space="preserve">gerechnet werden. </t>
  </si>
  <si>
    <r>
      <t xml:space="preserve">EEG 2012
</t>
    </r>
    <r>
      <rPr>
        <sz val="10"/>
        <color indexed="10"/>
        <rFont val="Arial"/>
        <family val="2"/>
      </rPr>
      <t xml:space="preserve">Diese Regelung ist mit dem </t>
    </r>
    <r>
      <rPr>
        <b/>
        <sz val="10"/>
        <color indexed="10"/>
        <rFont val="Arial"/>
        <family val="2"/>
      </rPr>
      <t xml:space="preserve">EEG 2014
</t>
    </r>
    <r>
      <rPr>
        <sz val="10"/>
        <color indexed="10"/>
        <rFont val="Arial"/>
        <family val="2"/>
      </rPr>
      <t>ab 01.08.2014 entfallen !</t>
    </r>
  </si>
  <si>
    <r>
      <t xml:space="preserve"> -</t>
    </r>
    <r>
      <rPr>
        <b/>
        <i/>
        <sz val="10"/>
        <color indexed="57"/>
        <rFont val="Arial"/>
        <family val="2"/>
      </rPr>
      <t>EEG 2014: Einspeisevergütungs - Anlage nach §37 EEG:</t>
    </r>
  </si>
  <si>
    <r>
      <t xml:space="preserve">   bzw. </t>
    </r>
    <r>
      <rPr>
        <b/>
        <sz val="10"/>
        <color indexed="10"/>
        <rFont val="Arial"/>
        <family val="2"/>
      </rPr>
      <t>bis max. 100 kWp (nach dem 31.12.2015)</t>
    </r>
    <r>
      <rPr>
        <sz val="10"/>
        <rFont val="Arial"/>
        <family val="2"/>
      </rPr>
      <t xml:space="preserve"> verlangt werden (EEG 2014; §37 Abs 1 + 2).</t>
    </r>
  </si>
  <si>
    <r>
      <t xml:space="preserve"> -</t>
    </r>
    <r>
      <rPr>
        <b/>
        <i/>
        <sz val="10"/>
        <color indexed="57"/>
        <rFont val="Arial"/>
        <family val="2"/>
      </rPr>
      <t>EEG 2014: MARKTPRÄMIEN-Modell - Anlage (max. 10000 kWp)</t>
    </r>
  </si>
  <si>
    <t xml:space="preserve">  Marktprämie in der Höhe gewährt, damit in Summe (Marktwert + Marktprämie) der "anzulegende Wert" </t>
  </si>
  <si>
    <t xml:space="preserve">  erzielt wird.  Der Betreiber erhält vom Vermarkter den Börsenpreis abzgl. der Kosten, die </t>
  </si>
  <si>
    <t xml:space="preserve">  Marktprämie wird vom Netzbetreiber ausbezahlt.</t>
  </si>
  <si>
    <r>
      <t xml:space="preserve">  Modell gefördert. Auf den zur Bemessung heranzuziehenden Marktwert (MW</t>
    </r>
    <r>
      <rPr>
        <vertAlign val="subscript"/>
        <sz val="10"/>
        <rFont val="Arial"/>
        <family val="2"/>
      </rPr>
      <t>solar</t>
    </r>
    <r>
      <rPr>
        <sz val="10"/>
        <rFont val="Arial"/>
        <family val="2"/>
      </rPr>
      <t>; §34 EEG) wird eine</t>
    </r>
  </si>
  <si>
    <r>
      <t xml:space="preserve">  „MW</t>
    </r>
    <r>
      <rPr>
        <vertAlign val="subscript"/>
        <sz val="10"/>
        <rFont val="Arial"/>
        <family val="2"/>
      </rPr>
      <t>solar</t>
    </r>
    <r>
      <rPr>
        <sz val="10"/>
        <rFont val="Arial"/>
        <family val="2"/>
      </rPr>
      <t>“ ist der tatsächliche Monatsmittelwert des Marktwerts von Strom aus Anlagen zur Erzeugung</t>
    </r>
  </si>
  <si>
    <t xml:space="preserve">  von Strom aus solarer Strahlungsenergie am Spotmarkt der Strombörse EPEX Spot SE in Paris für die</t>
  </si>
  <si>
    <t xml:space="preserve">  Preiszone Deutschland/Österreich in Cent pro Kilowattstunde.</t>
  </si>
  <si>
    <t xml:space="preserve">(Voreinstellung: </t>
  </si>
  <si>
    <t xml:space="preserve">  erzielbaren Preiserwartung abgezogen.</t>
  </si>
  <si>
    <t xml:space="preserve">  Hinweis: Bei Marktprämienmodell-Anlagen werden ebenfalls die Kosten der Vermarktung von der</t>
  </si>
  <si>
    <t>(Voreinstellung: Vermarktungskosten = 0,2 Cent/Kilowattstunde = 0,002 €/Kilowattstunde)</t>
  </si>
  <si>
    <t xml:space="preserve"> Navigation: Service&amp;Downloads / Downloads / Erneuerbare Energien / ...</t>
  </si>
  <si>
    <t>Vergütungstyp:</t>
  </si>
  <si>
    <t>eine EEG-Umlage (anteilig oder vollständig) fällig. Zu dieser</t>
  </si>
  <si>
    <t>Regel bestehen wenige Ausnahmen.</t>
  </si>
  <si>
    <r>
      <rPr>
        <b/>
        <sz val="11"/>
        <color indexed="10"/>
        <rFont val="Arial"/>
        <family val="2"/>
      </rPr>
      <t>Grundsatz</t>
    </r>
    <r>
      <rPr>
        <sz val="11"/>
        <rFont val="Arial"/>
        <family val="2"/>
      </rPr>
      <t xml:space="preserve"> § 61 EEG:Wer künftig PV-Strom selbst verbraucht muss für den eigen verbrauchten Strom EEG-</t>
    </r>
  </si>
  <si>
    <t xml:space="preserve">Umlage  abführen (i.d.R. gültig für Neuanlagen mit Inbetriebnahme nach 01.08.2014; Ausnahmen siehe EEG 2014) </t>
  </si>
  <si>
    <r>
      <rPr>
        <b/>
        <sz val="11"/>
        <color indexed="10"/>
        <rFont val="Arial"/>
        <family val="2"/>
      </rPr>
      <t xml:space="preserve">2 wichtige Ausnahmen </t>
    </r>
    <r>
      <rPr>
        <sz val="11"/>
        <rFont val="Arial"/>
        <family val="2"/>
      </rPr>
      <t>zu dieser Regel:</t>
    </r>
  </si>
  <si>
    <t xml:space="preserve">&gt; Bestandsanlagen mir Inbetriebnahme vor 01.08.2014 (mit gewissen Einschränkungen) </t>
  </si>
  <si>
    <r>
      <t xml:space="preserve">Anteilige </t>
    </r>
    <r>
      <rPr>
        <sz val="11"/>
        <rFont val="Arial"/>
        <family val="2"/>
      </rPr>
      <t>oder</t>
    </r>
    <r>
      <rPr>
        <b/>
        <sz val="11"/>
        <color indexed="10"/>
        <rFont val="Arial"/>
        <family val="2"/>
      </rPr>
      <t xml:space="preserve"> volle EEG-Umlage ?</t>
    </r>
  </si>
  <si>
    <t xml:space="preserve">Wird der selbst produzierte Strom eigen verbraucht (Anlagenbetreiber und Letztverbraucher sind identisch), </t>
  </si>
  <si>
    <t>fällt eine reduzierte EEG-Umlage  an. Sind Anlagenbetreiber und Letztverbraucher nicht identisch, muss</t>
  </si>
  <si>
    <t>die volle EEG-Umlage bezahlt werden.</t>
  </si>
  <si>
    <r>
      <rPr>
        <b/>
        <sz val="11"/>
        <color indexed="10"/>
        <rFont val="Arial"/>
        <family val="2"/>
      </rPr>
      <t>Fundstellen im Gesetz</t>
    </r>
    <r>
      <rPr>
        <sz val="11"/>
        <rFont val="Arial"/>
        <family val="2"/>
      </rPr>
      <t>:</t>
    </r>
  </si>
  <si>
    <t>§ 5</t>
  </si>
  <si>
    <t>Begriffsbestimmungen</t>
  </si>
  <si>
    <t>Volle / Anteilige
EEG-Umlage-Pflicht ?</t>
  </si>
  <si>
    <t>anteilige
EEG-Umlage</t>
  </si>
  <si>
    <t>volle
EEG-Umlage</t>
  </si>
  <si>
    <t>Staffelung der anteiligen EEG-Umlage:</t>
  </si>
  <si>
    <t>Apr 2016 (ab 01.04.)</t>
  </si>
  <si>
    <t>Mai 2016  (ab 01.05.)</t>
  </si>
  <si>
    <t>Jun 2016  (ab 01.06.)</t>
  </si>
  <si>
    <t>Stand: 31.03.2016</t>
  </si>
  <si>
    <t>Jul 2016  (ab 01.07.)</t>
  </si>
  <si>
    <t>Aug 2016  (ab 01.08.)</t>
  </si>
  <si>
    <t>Sep 2016  (ab 01.09.)</t>
  </si>
  <si>
    <t>Stand: 30.09.2016</t>
  </si>
  <si>
    <t>Okt 2016  (ab 01.10.)</t>
  </si>
  <si>
    <t>Nov 2016  (ab 01.11.)</t>
  </si>
  <si>
    <t>Dez 2016 (ab 01.12.)</t>
  </si>
  <si>
    <t>Auschreibungspflicht ?</t>
  </si>
  <si>
    <t>Anl.größe</t>
  </si>
  <si>
    <t>Anl.typ</t>
  </si>
  <si>
    <t>(intern)</t>
  </si>
  <si>
    <t>1= Konversionsanlage= Freiland</t>
  </si>
  <si>
    <t>2= Freilandanlage</t>
  </si>
  <si>
    <t>3= Dachanlage</t>
  </si>
  <si>
    <t>4= Dachanlage im Außenbereich</t>
  </si>
  <si>
    <t>Ausschreibungspflicht ?</t>
  </si>
  <si>
    <t>&gt; ab September 2015: Freilandanlagen &gt;= 1.000 kWp</t>
  </si>
  <si>
    <t>&gt; ab Januar 2017: Alle Anlagen &gt;= 750 kWp   (EEG 2017)</t>
  </si>
  <si>
    <t>Anlagentyp:</t>
  </si>
  <si>
    <t>ab 01.08.2014, nach dem Gesetz für den Ausbau Erneuerbare Energien (Erneuerbare - Energien - Gesetz, EEG 2014),  (BGBl. Teil 1 Nr. 33/2014; S. 1066 ff)</t>
  </si>
  <si>
    <t>ab 01.01.2017; nach dem Gesetz für den Ausbau Erneuerbare Energien (Erneuerbare - Energien - Gesetz, EEG 2017),   (BGBl. Teil 1 Nr. 49/2016; S. 2258 ff)</t>
  </si>
  <si>
    <t>Jan 2017  (ab 01.01.)</t>
  </si>
  <si>
    <t>EEG 2014  (gültig von 08/2014 bis 12/2016)</t>
  </si>
  <si>
    <t>EEG 2012 (von 04/2012 bis 07/2014)</t>
  </si>
  <si>
    <t>EEG 2017  (ab 01/2017)</t>
  </si>
  <si>
    <t>Aktueller Stand der Vergütungen nach EEG 2017</t>
  </si>
  <si>
    <t>Ausschreibungspflicht:</t>
  </si>
  <si>
    <t>§22 Abs.3</t>
  </si>
  <si>
    <t xml:space="preserve">§21 </t>
  </si>
  <si>
    <t>Ablieferungspflicht des Stroms an den Netzbetreiber; Ausnahme: Eigenverbrauch</t>
  </si>
  <si>
    <t>keine Teilnahme am Regelenergiemarkt</t>
  </si>
  <si>
    <t>§21  / §53</t>
  </si>
  <si>
    <r>
      <t xml:space="preserve">Einspeisevergütung =    </t>
    </r>
    <r>
      <rPr>
        <b/>
        <sz val="14"/>
        <color indexed="10"/>
        <rFont val="Arial"/>
        <family val="2"/>
      </rPr>
      <t xml:space="preserve">Anzulegender Wert </t>
    </r>
    <r>
      <rPr>
        <sz val="14"/>
        <rFont val="Arial"/>
        <family val="2"/>
      </rPr>
      <t>abzügl.</t>
    </r>
    <r>
      <rPr>
        <b/>
        <sz val="14"/>
        <color indexed="10"/>
        <rFont val="Arial"/>
        <family val="2"/>
      </rPr>
      <t xml:space="preserve"> 0,4 Cent/kWh</t>
    </r>
  </si>
  <si>
    <t>Anl.a. Nicht-Wohng./Außenbereich</t>
  </si>
  <si>
    <t>EEG 2017 ab 01.01.2017</t>
  </si>
  <si>
    <t>Das EEG 2017 manifestiert in der Photovoltaik den mit dem EEG 2014 eingeleiteten Systemwechsel !</t>
  </si>
  <si>
    <t>A) Alle Anlagen, die größer als 750 kWp sind müssen an der vorgeschriebenen Ausschreibung teilnehmen.</t>
  </si>
  <si>
    <t xml:space="preserve">        gesetzlich festgelegten "anzulegenden Wert".</t>
  </si>
  <si>
    <t xml:space="preserve">&gt;&gt;&gt; Nicht ausschreibungspflichtige Direktvermarktungsanlagen (&lt;= 750 kWp) haben Anspruch auf den </t>
  </si>
  <si>
    <t xml:space="preserve">&gt;&gt;&gt; Nicht ausschreibungspflichtige Einspeisevergütungs - Anlagen (&lt;= 100 kWp) haben Anspruch auf </t>
  </si>
  <si>
    <t xml:space="preserve">        eine gesetzlich festgelegte Einspeisevergütung, die sich wie folgt errechnet:</t>
  </si>
  <si>
    <r>
      <rPr>
        <b/>
        <sz val="10"/>
        <color indexed="12"/>
        <rFont val="Arial"/>
        <family val="2"/>
      </rPr>
      <t>Einspeisevergütung</t>
    </r>
    <r>
      <rPr>
        <sz val="10"/>
        <rFont val="Arial"/>
        <family val="2"/>
      </rPr>
      <t xml:space="preserve"> =   "</t>
    </r>
    <r>
      <rPr>
        <b/>
        <sz val="10"/>
        <color indexed="10"/>
        <rFont val="Arial"/>
        <family val="2"/>
      </rPr>
      <t>anzulegender Wert</t>
    </r>
    <r>
      <rPr>
        <sz val="10"/>
        <rFont val="Arial"/>
        <family val="2"/>
      </rPr>
      <t xml:space="preserve">" abzüglich </t>
    </r>
    <r>
      <rPr>
        <b/>
        <sz val="10"/>
        <color indexed="10"/>
        <rFont val="Arial"/>
        <family val="2"/>
      </rPr>
      <t>0,4 Cent/kWh</t>
    </r>
  </si>
  <si>
    <t>§19 Abs.1 Ziff.2</t>
  </si>
  <si>
    <t xml:space="preserve">Anspruch auf Einspeisevergütung nur für Anlagen bis 100 kWp. </t>
  </si>
  <si>
    <t>§19 Abs.1 Ziff.1</t>
  </si>
  <si>
    <t>Anspruch auf Einspeisevergütung nach §21</t>
  </si>
  <si>
    <t>Anspruch auf Marktprämie nach §20</t>
  </si>
  <si>
    <t>§20</t>
  </si>
  <si>
    <t>Voraussetzungen: Direktvermarktung, Fernsteuerbarkeit</t>
  </si>
  <si>
    <t>§22</t>
  </si>
  <si>
    <t>Anspruch haben nur Anlagen bis max. 750 kWp</t>
  </si>
  <si>
    <t>(diese sind von der Ausschreibungspflicht ausgenommen)</t>
  </si>
  <si>
    <t>§23</t>
  </si>
  <si>
    <t>Berechnungsbasis für Marktprämie = "Anzulegender Wert"</t>
  </si>
  <si>
    <t>§ 23a</t>
  </si>
  <si>
    <t>Anlagen mit Anspruch auf feste Einspeisevergütung:</t>
  </si>
  <si>
    <t>EEG-Umlage für den Eigenverbrauch</t>
  </si>
  <si>
    <t>Angaben ohne Gewähr</t>
  </si>
  <si>
    <t xml:space="preserve">   Anspruch auf Einspeisevergütung besteht nur für Anlagen bis max. 100 kWp (§21) </t>
  </si>
  <si>
    <t xml:space="preserve">  Vermarkter i.d.R. eine Gebühr. Häufig werden Beträge um 0,2-0,3 Cent/Kilowattstunde im Markt genannt.</t>
  </si>
  <si>
    <t>§37 Abs. 3</t>
  </si>
  <si>
    <t xml:space="preserve">  &gt; Verpflichtung zur Direktvermarktung für Anlagen über 100 kWp</t>
  </si>
  <si>
    <t xml:space="preserve">     (es besteht Anspruch auf den gesetzlich festgelegten "anzulegenden Wert")</t>
  </si>
  <si>
    <t xml:space="preserve">     ("anzulegender Wert" wird durch das Ausschreibungsverfahren ermittelt)</t>
  </si>
  <si>
    <t xml:space="preserve">  Bei den genannten Erlösen handelt es sich um die Beträge ohne Mwst. </t>
  </si>
  <si>
    <t xml:space="preserve">  Ausschreibungen teilzunehmen. Der "anzulegende Wert" wird in den Ausschreibungen ermittelt.</t>
  </si>
  <si>
    <r>
      <rPr>
        <b/>
        <sz val="10"/>
        <rFont val="Arial"/>
        <family val="2"/>
      </rPr>
      <t xml:space="preserve">  </t>
    </r>
    <r>
      <rPr>
        <b/>
        <u/>
        <sz val="10"/>
        <rFont val="Arial"/>
        <family val="2"/>
      </rPr>
      <t xml:space="preserve">EEG 2014: MARKTPRÄMIEN-Modell - Anlage: </t>
    </r>
  </si>
  <si>
    <t xml:space="preserve">  Anspruch auf den gesetzlich festgelegten "Anzulegenden Wert" haben nur Anlagen bis max. 750 kWp.</t>
  </si>
  <si>
    <r>
      <t xml:space="preserve">  Einspeisevergütung = </t>
    </r>
    <r>
      <rPr>
        <b/>
        <sz val="10"/>
        <color indexed="10"/>
        <rFont val="Arial"/>
        <family val="2"/>
      </rPr>
      <t>"anzulegender Wert"</t>
    </r>
    <r>
      <rPr>
        <sz val="10"/>
        <rFont val="Arial"/>
        <family val="2"/>
      </rPr>
      <t xml:space="preserve">   abzgl.  </t>
    </r>
    <r>
      <rPr>
        <b/>
        <sz val="10"/>
        <color indexed="10"/>
        <rFont val="Arial"/>
        <family val="2"/>
      </rPr>
      <t xml:space="preserve"> 0,4 Cent/kWh</t>
    </r>
  </si>
  <si>
    <t xml:space="preserve">  Abweichend davon werden Marktprämien und Einspeisevergütungen, die nicht gesetzlich bestimmt </t>
  </si>
  <si>
    <t xml:space="preserve">  sind lediglich für genau 20 Jahre garantiert (gilt für Ausschreibungsanlagen).</t>
  </si>
  <si>
    <t>B) Alle Anlagen, die größer als 100 kWp, maximal 750 kWp groß sind, haben die Pflicht zur Direktvermarktung..</t>
  </si>
  <si>
    <t>C) Anlagen mit einer max. Größe von 100 kWp können eine feste Einspeisevergütung in Anspruch nehmen.</t>
  </si>
  <si>
    <t>Feb 2017  (ab 01.02.)</t>
  </si>
  <si>
    <t>Mrz 2017  (ab 01.03.)</t>
  </si>
  <si>
    <t>Apr 2017  (ab 01.04.)</t>
  </si>
  <si>
    <t xml:space="preserve">zu entrichten. </t>
  </si>
  <si>
    <t>Im Grundsatz ist eine 100% EEG-Umlage zu entrichten.</t>
  </si>
  <si>
    <t>§61b</t>
  </si>
  <si>
    <t xml:space="preserve">Für eigen verbrauchten Strom (Eigenversorgung) ist EEG-Umlage </t>
  </si>
  <si>
    <t>Nach §61b (EEG 2017) ist auf eigen verbrauchten Strom  EEG-Umlage fällig.</t>
  </si>
  <si>
    <t>( Voreinstellung für EEG-Umlage-Pflicht:  anteilige EEG-Umlage, 40% )</t>
  </si>
  <si>
    <t>Mai 2017  (ab 01.05.)</t>
  </si>
  <si>
    <t>Jun 2017  (ab 01.06.)</t>
  </si>
  <si>
    <t>Jul 2017  (ab 01.07.)</t>
  </si>
  <si>
    <t>ab 01.08.2014: Gesetz für den Ausbau Erneuerbare Energien (Erneuerbare - Energien - Gesetz, EEG 2014),  (BGBl. Teil 1 Nr. 33/2014; S. 1066 ff), ab 01.01.2017 (EEG 2017)</t>
  </si>
  <si>
    <t>&gt;&gt;&gt; Der anzulegende Wert wird durch Ausschreibung ermittelt.</t>
  </si>
  <si>
    <t xml:space="preserve">        Erhält ein Bieter den Zuschlag, gilt der vom Bieter genannte Wert als "anzulegender Wert".</t>
  </si>
  <si>
    <t>Aug 2017  (ab 01.08.)</t>
  </si>
  <si>
    <t>Sep 2017  (ab 01.09.)</t>
  </si>
  <si>
    <t>Okt 2017  (ab 01.10.)</t>
  </si>
  <si>
    <t>https://www.solarwirtschaft.de/eeg.html</t>
  </si>
  <si>
    <t>(BSW-Seite)</t>
  </si>
  <si>
    <t>Dez 2017  (ab 01.12.)</t>
  </si>
  <si>
    <t>Nov 2017  (ab 01.11.)</t>
  </si>
  <si>
    <t>Jan 2018  (ab 01.01.)</t>
  </si>
  <si>
    <t>Feb 2018  (ab 01.02.)</t>
  </si>
  <si>
    <t>Mrz 2018  (ab 01.03.)</t>
  </si>
  <si>
    <t>Apr 2018  (ab 01.04.)</t>
  </si>
  <si>
    <t xml:space="preserve">  auf Einspeisevergütung. Sie müssen den erzeugten Strom nach dem Markprämienmodell vermarkten.</t>
  </si>
  <si>
    <t>https://www.bundesnetzagentur.de/DE/Sachgebiete/ElektrizitaetundGas/Unternehmen_Institutionen/ErneuerbareEnergien/ZahlenDatenInformationen/EEG_Registerdaten/EEG_Registerdaten_node.html</t>
  </si>
  <si>
    <t>Mai 2018  (ab 01.05.)</t>
  </si>
  <si>
    <t>Jun 2018  (ab 01.06.)</t>
  </si>
  <si>
    <t>Jul 2018  (ab 01.07.)</t>
  </si>
  <si>
    <t>Aug 2018  (ab 01.08.)</t>
  </si>
  <si>
    <t>Sep 2018  (ab 01.09.)</t>
  </si>
  <si>
    <t>Okt 2018  (ab 01.10.)</t>
  </si>
  <si>
    <t>Nov 2018  (ab 01.11.)</t>
  </si>
  <si>
    <t>Dez 2018  (ab 01.12.)</t>
  </si>
  <si>
    <t>Jan 2019  (ab 01.01.)</t>
  </si>
  <si>
    <r>
      <t>ESG</t>
    </r>
    <r>
      <rPr>
        <vertAlign val="superscript"/>
        <sz val="8"/>
        <rFont val="Arial"/>
        <family val="2"/>
      </rPr>
      <t>6)</t>
    </r>
  </si>
  <si>
    <r>
      <t>6)</t>
    </r>
    <r>
      <rPr>
        <sz val="8"/>
        <rFont val="Arial"/>
        <family val="2"/>
      </rPr>
      <t xml:space="preserve">  Ab 01.02.2019 werden für die Anlagenklasse 40 bis 750 kWp Sonderkürzungen (Feb19, Mrz19, Apr19) gemäß Energiesammelgesetz durchgeführt.</t>
    </r>
  </si>
  <si>
    <r>
      <t xml:space="preserve">EEG 2017 </t>
    </r>
    <r>
      <rPr>
        <sz val="14"/>
        <rFont val="Arial"/>
        <family val="2"/>
      </rPr>
      <t>(bis 31.21.2018; vor Sonderkürzungen durch Energiesammelgesetz)</t>
    </r>
  </si>
  <si>
    <t>(einschließlich Sonderkürzungen durch das Energiesammelgesetz)</t>
  </si>
  <si>
    <t>Feb 2019  (ab 01.02.)</t>
  </si>
  <si>
    <t>Mrz 2019  (ab 01.03.)</t>
  </si>
  <si>
    <t>Mai 2019  (ab 01.05.)</t>
  </si>
  <si>
    <t>Jun 2019  (ab 01.06.)</t>
  </si>
  <si>
    <t>Jul 2019  (ab 01.07.)</t>
  </si>
  <si>
    <t xml:space="preserve">  in €uro (Orientierungsgröße: ca. 2% der Herstellungskosten; der Betrag sollte aus-</t>
  </si>
  <si>
    <t xml:space="preserve">  Laufzeit abdecken zu können. Durch entsprechend lange Garantien der Hersteller</t>
  </si>
  <si>
    <t xml:space="preserve">  läßt sich dieses Kostenrisiko mindern. Berücksichtigen Sie bitte ggf. auch die Kosten einer Reinigung der Module.</t>
  </si>
  <si>
    <t>Anzulegende Werte / Vergütungssätze</t>
  </si>
  <si>
    <t>Apr 2019  (ab 01.04.)</t>
  </si>
  <si>
    <t>Aug 2019  (ab 01.08.)</t>
  </si>
  <si>
    <t>Sep 2019  (ab 01.09.)</t>
  </si>
  <si>
    <t>Okt 2019  (ab 01.10.)</t>
  </si>
  <si>
    <t>Nov 2019  (ab 01.11.)</t>
  </si>
  <si>
    <t>Dez 2019  (ab 01.12.)</t>
  </si>
  <si>
    <t>Jan 2020  (ab 01.01.)</t>
  </si>
  <si>
    <t>Feb 2020  (ab 01.02.)</t>
  </si>
  <si>
    <t>Mrz 2020  (ab 01.03.)</t>
  </si>
  <si>
    <t>Apr 2020  (ab 01.04.)</t>
  </si>
  <si>
    <t>Mai 2020  (ab 01.05.)</t>
  </si>
  <si>
    <t>Jun 2020  (ab 01.06.)</t>
  </si>
  <si>
    <t>Jul 2020  (ab 01.07.)</t>
  </si>
  <si>
    <t>Aug 2020  (ab 01.08.)</t>
  </si>
  <si>
    <t>Sep 2020  (ab 01.09.)</t>
  </si>
  <si>
    <t>Okt 2020  (ab 01.10.)</t>
  </si>
  <si>
    <t>Stand: 31.10.2020</t>
  </si>
  <si>
    <t>Nov 2020  (ab 01.11.)</t>
  </si>
  <si>
    <t>Dez 2020  (ab 01.12.)</t>
  </si>
  <si>
    <t>Jan 2021  (ab 01.01.)</t>
  </si>
  <si>
    <t>Inflat. 30 = 0%</t>
  </si>
  <si>
    <t xml:space="preserve">EEG 2021:  </t>
  </si>
  <si>
    <t>Begrenzung 300 bis 750 kWp</t>
  </si>
  <si>
    <t>Anlagengröße</t>
  </si>
  <si>
    <t>DV</t>
  </si>
  <si>
    <t>GE</t>
  </si>
  <si>
    <t>Vergütung max:</t>
  </si>
  <si>
    <t>Struktur</t>
  </si>
  <si>
    <t>Gesamt</t>
  </si>
  <si>
    <t>Verkauf %</t>
  </si>
  <si>
    <t xml:space="preserve">  dir.z.verm.Rest</t>
  </si>
  <si>
    <t>EEG 300-750 kWp</t>
  </si>
  <si>
    <t>max.</t>
  </si>
  <si>
    <r>
      <rPr>
        <b/>
        <u/>
        <sz val="8"/>
        <rFont val="Arial"/>
        <family val="2"/>
      </rPr>
      <t>EEG - Umlage:</t>
    </r>
    <r>
      <rPr>
        <sz val="8"/>
        <rFont val="Arial"/>
        <family val="2"/>
      </rPr>
      <t xml:space="preserve">
Nach §61 Abs.1 (EEG 2014, 2017, 2021) ist auf eigen verbrauchten Strom  EEG-Umlage fällig.
&gt; Ist Anlagenbetreiber und Letztverbraucher nicht identisch, ist die volle EEG-Umlage fällig.
&gt; Ist Anlagenbetreiber und Letztverbraucher  identisch, ist eine anteilige EEG-Umlage fällig.
&gt; 40% ab dem 
    01.01.2017</t>
    </r>
  </si>
  <si>
    <t>eigener Schätzwert</t>
  </si>
  <si>
    <t xml:space="preserve">Von der EEG-Umlage befreit sind Anlagen
ab 2021 (§ 61b Abs. 2): 
bis einschl. 30 kWp und max. 30.000 kWh/Jahr </t>
  </si>
  <si>
    <t>Gültigkeitsprüfung für Erläuterungstext:</t>
  </si>
  <si>
    <t>EEG 2017</t>
  </si>
  <si>
    <t>NEU:  EEG 2021</t>
  </si>
  <si>
    <t xml:space="preserve">        Hinweis: Ausschreibungspflichtige Anlagen (&gt;750 kWp) können mit dem Programm nicht gerechnet werden.</t>
  </si>
  <si>
    <t>EEG 2021 ab 01.01.2021</t>
  </si>
  <si>
    <t>Das EEG 2021 schreibt den mit dem EEG 2014 eingeleiteten Systemwechsel fort !</t>
  </si>
  <si>
    <t>Die Ziele der Energiewende werden neu formuliert &gt; 100 GWp Photovoltaik bis 2030</t>
  </si>
  <si>
    <t>Eine Vielzahl von Regelungen zur Netzeinbindung und Netzdienlichkeit von PV-Strom werden formuliert oder geschärft.</t>
  </si>
  <si>
    <t xml:space="preserve">Erstmals wird eine Anschlussregelung für "ausgeförderte Anlagen" bis 100 kWp formuliert. </t>
  </si>
  <si>
    <t>Für die Absenkung/Erhöhung der anzulegenden Werte für Strom aus solarer Strahlungsenergie werden</t>
  </si>
  <si>
    <t>neue Grenzen und geringfügig kleinere Prozentwerte festgelegt.</t>
  </si>
  <si>
    <t>In Bezug auf die Ökonomik von Einspeiseanlagen mit Vergütungsanspruch bzw. Anspruch auf Marktprämie</t>
  </si>
  <si>
    <t>A) Anlagen mit einer installierten Leistung von mehr als  300  bis einschließlich 750 kWp (an, auf oder in</t>
  </si>
  <si>
    <t xml:space="preserve">einem Gebäude oder Lärmschutzwand) haben nur für 50% der erzeugten Strommmenge einen Anspruch </t>
  </si>
  <si>
    <t>auf Vergütung. Für den über 50% hinausgehenden Anteil der erzeugten Strommenge reduziert sich der</t>
  </si>
  <si>
    <t>Feb 2021  (ab 01.02.)</t>
  </si>
  <si>
    <t>Mrz 2021  (ab 01.03.)</t>
  </si>
  <si>
    <t>Apr 2021  (ab 01.04.)</t>
  </si>
  <si>
    <t>Max. Ausschreibungsgröße = 20.000 kWp (20 MW)</t>
  </si>
  <si>
    <t>(NEU)</t>
  </si>
  <si>
    <t>Berechnung nach Anlage 1</t>
  </si>
  <si>
    <t>Anlagen mit Anspruch auf Marktprämie und Pflicht zur Direktvermarktung:</t>
  </si>
  <si>
    <t>§ 48 Abs. 5</t>
  </si>
  <si>
    <t>§100 Abs. 9</t>
  </si>
  <si>
    <t>Begrenzung nach §48 Abs.5 gültig ab IB 01.04.2021 (Übergangsregelung)</t>
  </si>
  <si>
    <t>Befreiungstatbestände siehe §61a bis 61g; 61l und 69b (EEG 2021)</t>
  </si>
  <si>
    <t>§61b Abs. 2</t>
  </si>
  <si>
    <t>Anlagen bis 30 kWp sind von der EEG-Umlage befreit.</t>
  </si>
  <si>
    <t>Die Befreiung gilt für max. 30.000 kWh eigen verbrauchten Stroms</t>
  </si>
  <si>
    <t>§3 Ziff. 19</t>
  </si>
  <si>
    <t>§61b Abs. 1</t>
  </si>
  <si>
    <t>In Fällen, in denen "Personenidendität" im Sinne von §3, Ziff. 19,</t>
  </si>
  <si>
    <t xml:space="preserve"> EEG 2021 besteht, vermindert sich die zu entrichtende </t>
  </si>
  <si>
    <t>EEG-Umlage auf 40% (§61b Abs. 1)</t>
  </si>
  <si>
    <t>EEG 2021  (ab 01/2021)</t>
  </si>
  <si>
    <t>PV-Anlagen, die größer als 750 kWp sind unterliegen der Ausschreibungs-</t>
  </si>
  <si>
    <t>pflicht (§22; Wettbewerbliche Ermittlung der Marktprämie)</t>
  </si>
  <si>
    <t>Aktueller Stand der Vergütungen nach EEG 2021</t>
  </si>
  <si>
    <t xml:space="preserve">https://www.bundesnetzagentur.de/DE/Sachgebiete/ElektrizitaetundGas/Unternehmen_Institutionen/ErneuerbareEnergien/ZahlenDatenInformationen/EEG_Registerdaten/EEG_Registerdaten_node.html </t>
  </si>
  <si>
    <t xml:space="preserve">https://www.solarwirtschaft.de/eeg.html </t>
  </si>
  <si>
    <t xml:space="preserve">  können mit dem Programm nicht gerechnet werden.</t>
  </si>
  <si>
    <t>EEG 2014   und   EEG 2017  und   EEG 2021</t>
  </si>
  <si>
    <r>
      <t xml:space="preserve">EEG 2021:  </t>
    </r>
    <r>
      <rPr>
        <sz val="10"/>
        <rFont val="Arial"/>
        <family val="2"/>
      </rPr>
      <t xml:space="preserve">Anlagen bis 30 kWp (und max. 30.000 kWh Eigenstromverbrauch) </t>
    </r>
  </si>
  <si>
    <t>Sorgfalt  und nach bestem Wissen und Gewissen erstellt und getestet. Das Programm kann</t>
  </si>
  <si>
    <t>nach kurzer Zeit, z.B. nach Änderung von Gesetzen oder anderen Rahmenbedingungen nicht</t>
  </si>
  <si>
    <t>mehr aktuell sein. Für Aktualität, Korrektheit, Vollständigkeit oder Qualität wird</t>
  </si>
  <si>
    <t>keine Gewähr übernommen. Haftungsansprüche für Schäden materieller oder</t>
  </si>
  <si>
    <t>gibt es folgende Änderungen (nicht abschließende Liste):</t>
  </si>
  <si>
    <r>
      <t xml:space="preserve"> Anspruch auf null. </t>
    </r>
    <r>
      <rPr>
        <b/>
        <sz val="10"/>
        <color rgb="FFFF0000"/>
        <rFont val="Arial"/>
        <family val="2"/>
      </rPr>
      <t>Diese Regelung gilt erst für Anlagen ab Inbetriebnahmedatum 01.April 2021</t>
    </r>
    <r>
      <rPr>
        <sz val="10"/>
        <color rgb="FFFF0000"/>
        <rFont val="Arial"/>
        <family val="2"/>
      </rPr>
      <t xml:space="preserve"> (§100 Abs.9).
</t>
    </r>
  </si>
  <si>
    <r>
      <t xml:space="preserve">B) Die </t>
    </r>
    <r>
      <rPr>
        <b/>
        <sz val="10"/>
        <color rgb="FF0000FF"/>
        <rFont val="Arial"/>
        <family val="2"/>
      </rPr>
      <t>Befreiungsgrenze von der EEG-Umlage</t>
    </r>
    <r>
      <rPr>
        <sz val="10"/>
        <color rgb="FF0000FF"/>
        <rFont val="Arial"/>
        <family val="2"/>
      </rPr>
      <t xml:space="preserve"> bei Eigenversorgungen wurde von 10 kWp auf </t>
    </r>
    <r>
      <rPr>
        <b/>
        <sz val="10"/>
        <color rgb="FF0000FF"/>
        <rFont val="Arial"/>
        <family val="2"/>
      </rPr>
      <t>30 kWp</t>
    </r>
    <r>
      <rPr>
        <sz val="10"/>
        <color rgb="FF0000FF"/>
        <rFont val="Arial"/>
        <family val="2"/>
      </rPr>
      <t xml:space="preserve"> angehoben. </t>
    </r>
  </si>
  <si>
    <t>Ab dem Jahr 2021 wird die EEG-Umlage gedeckelt. Nach aktuellem Stand gelten folgende Werte:</t>
  </si>
  <si>
    <t>für 2021:</t>
  </si>
  <si>
    <t>6,50 Cent/kWh</t>
  </si>
  <si>
    <t>ab 2022:</t>
  </si>
  <si>
    <t>bitte beachten Sie die jeweils gültige Rechtssprechung!</t>
  </si>
  <si>
    <t>Seite 1</t>
  </si>
  <si>
    <t>Seite 2</t>
  </si>
  <si>
    <t>Seite 3</t>
  </si>
  <si>
    <t>Seite 4</t>
  </si>
  <si>
    <t>Seite 5</t>
  </si>
  <si>
    <t>Seite 6</t>
  </si>
  <si>
    <t>Seite 7</t>
  </si>
  <si>
    <t>Seite 8</t>
  </si>
  <si>
    <t>Seite 9</t>
  </si>
  <si>
    <t>Seite 10</t>
  </si>
  <si>
    <t>Navigation:</t>
  </si>
  <si>
    <t>"</t>
  </si>
  <si>
    <t>NEU: Der Datei liegt ein Artikel zum Thema "Photovoltaikstrom und Energiewende - Quo vadis ?" bei.</t>
  </si>
  <si>
    <t>(Achtung !)</t>
  </si>
  <si>
    <t>Mai 2021  (ab 01.05.)</t>
  </si>
  <si>
    <t>Jun 2021  (ab 01.06.)</t>
  </si>
  <si>
    <t>Jul 2021  (ab 01.07.)</t>
  </si>
  <si>
    <t>,</t>
  </si>
  <si>
    <t xml:space="preserve">Bei Dach- und Fassadenanlagen größer 300 bis 750 kWp  wird </t>
  </si>
  <si>
    <t>der Anspruch auf Marktprämie auf 50% der erzeugten Strom-</t>
  </si>
  <si>
    <t>menge begrenzt. Gilt nicht für Freilandanlagen !</t>
  </si>
  <si>
    <t>Aug 2021  (ab 01.08.)</t>
  </si>
  <si>
    <t>Sep 2021  (ab 01.09.)</t>
  </si>
  <si>
    <t>Okt 2021  (ab 01.10)</t>
  </si>
  <si>
    <t xml:space="preserve">Bei Dach- und Fassadenanlagen größer 300 bis 750 kWp wird die Vergütung nach EEG </t>
  </si>
  <si>
    <r>
      <t xml:space="preserve">  </t>
    </r>
    <r>
      <rPr>
        <b/>
        <sz val="10"/>
        <color rgb="FFFF0000"/>
        <rFont val="Arial"/>
        <family val="2"/>
      </rPr>
      <t>Alternativ</t>
    </r>
    <r>
      <rPr>
        <sz val="10"/>
        <color rgb="FFFF0000"/>
        <rFont val="Arial"/>
        <family val="2"/>
      </rPr>
      <t xml:space="preserve"> dazu können diese Anlagen am Ausschreibungsverfahren teilnehmen.</t>
    </r>
  </si>
  <si>
    <t xml:space="preserve">  Hinweis: Ausschreibungsanlagen (größer 750 kWp bis max. 20 MW) und Mieterstromanlagen</t>
  </si>
  <si>
    <r>
      <t xml:space="preserve"> 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>EEG 2021:</t>
    </r>
    <r>
      <rPr>
        <b/>
        <sz val="10"/>
        <color rgb="FFFF0000"/>
        <rFont val="Arial"/>
        <family val="2"/>
      </rPr>
      <t xml:space="preserve"> Achtung:</t>
    </r>
    <r>
      <rPr>
        <sz val="10"/>
        <color rgb="FFFF0000"/>
        <rFont val="Arial"/>
        <family val="2"/>
      </rPr>
      <t xml:space="preserve"> Bei Dach- und Fassadenanlagen größer 300 bis 750 kWp wird der Anspruch </t>
    </r>
  </si>
  <si>
    <t xml:space="preserve">  auf Marktprämie auf 50% der erzeugten Strommenge begrenzt.</t>
  </si>
  <si>
    <r>
      <t xml:space="preserve"> -</t>
    </r>
    <r>
      <rPr>
        <b/>
        <i/>
        <sz val="10"/>
        <color indexed="57"/>
        <rFont val="Arial"/>
        <family val="2"/>
      </rPr>
      <t>installierte Leistung gesamt</t>
    </r>
    <r>
      <rPr>
        <sz val="10"/>
        <rFont val="Arial"/>
        <family val="2"/>
      </rPr>
      <t xml:space="preserve">: Erfassung in kWp (Kilowatt Peak; entspricht  ca. der maximalen </t>
    </r>
  </si>
  <si>
    <t xml:space="preserve">    (gilt für süddeutsche Verhältnisse, siehe auch: "Artikel Energiewende")</t>
  </si>
  <si>
    <r>
      <t xml:space="preserve">EEG 2021:  </t>
    </r>
    <r>
      <rPr>
        <sz val="10"/>
        <rFont val="Arial"/>
        <family val="2"/>
      </rPr>
      <t>Anlagen bis 30 kWp sind von der EEG-Umlage - Zahlungspflicht befreit.</t>
    </r>
  </si>
  <si>
    <t>Nov 2021  (ab 01.11.)</t>
  </si>
  <si>
    <t>Dez 2021  (ab 01.12.)</t>
  </si>
  <si>
    <t>Jan 2022  (ab 01.01.)</t>
  </si>
  <si>
    <t>Feb 2022  (ab 01.02.)</t>
  </si>
  <si>
    <t>Mrz 2022  (ab 01.03.)</t>
  </si>
  <si>
    <t>Apr 2022  (ab 01.04.)</t>
  </si>
  <si>
    <t xml:space="preserve">  Überschussmenge eingespeist werden. Diese wird jedoch nicht nach EEG vergütet, sondern erhält einen </t>
  </si>
  <si>
    <t xml:space="preserve">  Markterlös vom Netzbetreiber. Diese Regelung gilt nicht für Freilandanlagen.</t>
  </si>
  <si>
    <t>Markterlös Netzbetreiber für Überschussstrom bei Dachanlagen &gt; 300 kWp (ab April 2021)</t>
  </si>
  <si>
    <t>(Voreinstellung: 2,5 Cent/kWh   Markterlös ab 04/2021)</t>
  </si>
  <si>
    <t>Mai 2022  (ab 01.05.)</t>
  </si>
  <si>
    <t>Jun 2022  (ab 01.06.)</t>
  </si>
  <si>
    <t>EEG 2021 / 2023</t>
  </si>
  <si>
    <t>ab 01.01.2017</t>
  </si>
  <si>
    <t>40 kWp - 750 kWp</t>
  </si>
  <si>
    <r>
      <t>7)</t>
    </r>
    <r>
      <rPr>
        <sz val="8"/>
        <rFont val="Arial"/>
        <family val="2"/>
      </rPr>
      <t xml:space="preserve">  Ab 01.01.2017: EEG schreibt verbindlich Ausschreibungen für Anlagen &gt;750 kWp vor. Programm rechnet nur bis 750 kWp. Ausschreibungsanlagen können nicht gerechnet werden.</t>
    </r>
  </si>
  <si>
    <r>
      <t xml:space="preserve">ab 01.01.2017 </t>
    </r>
    <r>
      <rPr>
        <b/>
        <vertAlign val="superscript"/>
        <sz val="10"/>
        <rFont val="Arial"/>
        <family val="2"/>
      </rPr>
      <t>7)</t>
    </r>
  </si>
  <si>
    <t>bis 750 kWp</t>
  </si>
  <si>
    <r>
      <t>ab 01.01.2021</t>
    </r>
    <r>
      <rPr>
        <b/>
        <vertAlign val="superscript"/>
        <sz val="10"/>
        <rFont val="Arial"/>
        <family val="2"/>
      </rPr>
      <t xml:space="preserve"> 8)</t>
    </r>
  </si>
  <si>
    <r>
      <t>8)</t>
    </r>
    <r>
      <rPr>
        <sz val="8"/>
        <rFont val="Arial"/>
        <family val="2"/>
      </rPr>
      <t xml:space="preserve">  Ab 01.01.2021: EEG-Umlage: Befreiung bis 30 kWp (vorher 10 kWp); nur 50% Vergütung bei Anlagen  zwischen 300 bis 750 kWp (Eigenverbrauchsanreiz). Max. Anlagengröße = 20 MWp (Ausschreibung)</t>
    </r>
  </si>
  <si>
    <r>
      <t>ab 01.08.2022</t>
    </r>
    <r>
      <rPr>
        <b/>
        <vertAlign val="superscript"/>
        <sz val="10"/>
        <rFont val="Arial"/>
        <family val="2"/>
      </rPr>
      <t xml:space="preserve"> 9)</t>
    </r>
  </si>
  <si>
    <r>
      <t>9)</t>
    </r>
    <r>
      <rPr>
        <sz val="8"/>
        <rFont val="Arial"/>
        <family val="2"/>
      </rPr>
      <t xml:space="preserve">  Ab 01.08.2022: Beschluß Osterpaket: Gesetz zu Sofortmaßnahmen..beschleunigter Ausbau EE; neue Vergütungssätze Einspeise-/Eigenverbrauchsanlagen; 80% Vergütung zwischen 300 - 750 kWp</t>
    </r>
  </si>
  <si>
    <r>
      <t>ab 01.01.2023</t>
    </r>
    <r>
      <rPr>
        <b/>
        <vertAlign val="superscript"/>
        <sz val="10"/>
        <rFont val="Arial"/>
        <family val="2"/>
      </rPr>
      <t xml:space="preserve"> 10)</t>
    </r>
  </si>
  <si>
    <t>Eigenverbrauchsanlagen</t>
  </si>
  <si>
    <t>(anzulegender Wert)</t>
  </si>
  <si>
    <t>reine Einspeiseanlagen</t>
  </si>
  <si>
    <t>Sep 2022 (Osterpaket)</t>
  </si>
  <si>
    <t>Okt 2022 (Osterpaket)</t>
  </si>
  <si>
    <t>Nov 2022 (Osterpaket)</t>
  </si>
  <si>
    <t>Dez 2022 (Osterpaket)</t>
  </si>
  <si>
    <t>Jan 2023  (EEG 2023)</t>
  </si>
  <si>
    <t>Feb 2023  (EEG 2023)</t>
  </si>
  <si>
    <t>Mrz 2023  (EEG 2023)</t>
  </si>
  <si>
    <t>Apr 2023  (EEG 2023)</t>
  </si>
  <si>
    <t>Mai 2023  (EEG 2023)</t>
  </si>
  <si>
    <t>Jun 2023  (EEG 2023)</t>
  </si>
  <si>
    <t>Jul 2023  (EEG 2023)</t>
  </si>
  <si>
    <t>Aug 2023 (EEG 2023)</t>
  </si>
  <si>
    <t>Sep 2023 (EEG 2023)</t>
  </si>
  <si>
    <t>Okt 2023 (EEG 2023)</t>
  </si>
  <si>
    <t>Nov 2023 (EEG 2023)</t>
  </si>
  <si>
    <t>Dez 2023 (EEG 2023)</t>
  </si>
  <si>
    <t>Jan 2024  (EEG 2023)</t>
  </si>
  <si>
    <t>Osterpaket &amp; EEG2023</t>
  </si>
  <si>
    <r>
      <t xml:space="preserve">ab 01.01.2023 </t>
    </r>
    <r>
      <rPr>
        <vertAlign val="superscript"/>
        <sz val="10"/>
        <rFont val="Arial"/>
        <family val="2"/>
      </rPr>
      <t>10)</t>
    </r>
  </si>
  <si>
    <r>
      <t>10)</t>
    </r>
    <r>
      <rPr>
        <sz val="8"/>
        <rFont val="Arial"/>
        <family val="2"/>
      </rPr>
      <t xml:space="preserve">  Ab 01.01.2023: EEG 2023: lt. Gesetz zu Sofortmaßnahmen..beschleunigter Ausbau EE; neue Vergütungssätze Einspeise-/Eigenverbrauchsanlagen; 300 - 750 kWp Einschränkung fällt weg</t>
    </r>
  </si>
  <si>
    <t>Feb 2024  (EEG 2023)</t>
  </si>
  <si>
    <t>Mrz 2024  (EEG 2023)</t>
  </si>
  <si>
    <t>Apr 2024  (EEG 2023)</t>
  </si>
  <si>
    <t>Mai 2024  (EEG 2023)</t>
  </si>
  <si>
    <t>Jun 2024  (EEG 2023)</t>
  </si>
  <si>
    <t>Jul 2024  (EEG 2023)</t>
  </si>
  <si>
    <t>Aug 2024 (EEG 2023)</t>
  </si>
  <si>
    <t>Sep 2024 (EEG 2023)</t>
  </si>
  <si>
    <t>Okt 2024 (EEG 2023)</t>
  </si>
  <si>
    <t>Nov 2024 (EEG 2023)</t>
  </si>
  <si>
    <t>Dez 2024 (EEG 2023)</t>
  </si>
  <si>
    <t>Gültige Vergütungswerte:</t>
  </si>
  <si>
    <t xml:space="preserve">(EEG 2023):  </t>
  </si>
  <si>
    <t>I:</t>
  </si>
  <si>
    <t>II:</t>
  </si>
  <si>
    <t>III:</t>
  </si>
  <si>
    <t>IV:</t>
  </si>
  <si>
    <t>Der PV-Rechner ab Vers. 5.0 eignet sich für die Kalkulation von PV-Anlagen ab dem 01.04.2012.
Mit dem Rechner ab Vers. 8.0.1 können sowohl Anlagen gerechnet werden, die den Anspruch auf Einspeisevergütung geltend machen  als auch Marktprämienmodell - Anlagen.
Ausschreibungspflichtige Anlagen (&gt;750 bzw. 1.000 kWp) und Mieterstromanlagen können mit dem Programm  nicht gerechnet werden.</t>
  </si>
  <si>
    <r>
      <rPr>
        <b/>
        <sz val="7"/>
        <color rgb="FFFF0000"/>
        <rFont val="Arial"/>
        <family val="2"/>
      </rPr>
      <t>EEG 2023 &amp; Osterpaket:</t>
    </r>
    <r>
      <rPr>
        <sz val="7"/>
        <color rgb="FFFF0000"/>
        <rFont val="Arial"/>
        <family val="2"/>
      </rPr>
      <t xml:space="preserve">
1) Die Vergütungssätze/anzu-legende Werte wurden neu geregelt. Es gibt unterschiedliche Sätze für Eigenverbrauchs- bzw. reine Einspeiseanlagen. 
2) Anlagen mit mehr als 300 bis 750 kWp haben von 08/22 bis 12/22 nur für 80% der erzeugten Strommenge einen Vergütungsanspruch.</t>
    </r>
  </si>
  <si>
    <t>PV-Eigenstromrechner Vers. 4.3.4. (Stand 01.08.2022)</t>
  </si>
  <si>
    <r>
      <t>Osterpaket</t>
    </r>
    <r>
      <rPr>
        <u/>
        <sz val="10"/>
        <color rgb="FFFF0000"/>
        <rFont val="Arial"/>
        <family val="2"/>
      </rPr>
      <t xml:space="preserve"> (2022) und </t>
    </r>
    <r>
      <rPr>
        <b/>
        <u/>
        <sz val="10"/>
        <color rgb="FFFF0000"/>
        <rFont val="Arial"/>
        <family val="2"/>
      </rPr>
      <t>EEG 2023</t>
    </r>
    <r>
      <rPr>
        <u/>
        <sz val="10"/>
        <color rgb="FFFF0000"/>
        <rFont val="Arial"/>
        <family val="2"/>
      </rPr>
      <t xml:space="preserve"> ab 01.01.2023</t>
    </r>
  </si>
  <si>
    <t xml:space="preserve">Das Osterpaket und das EEG 2023 haben das Ziel, den Ausbau der Erneuerbaren Energien zu fördern und </t>
  </si>
  <si>
    <t>zu beschleunigen. Darüber hinaus soll das Thema "Grüner Wasserstoff" forciert werden.</t>
  </si>
  <si>
    <r>
      <t xml:space="preserve">-  </t>
    </r>
    <r>
      <rPr>
        <b/>
        <sz val="11"/>
        <rFont val="Calibri"/>
        <family val="2"/>
      </rPr>
      <t>EEG-Umlage</t>
    </r>
    <r>
      <rPr>
        <sz val="11"/>
        <rFont val="Calibri"/>
        <family val="2"/>
      </rPr>
      <t>:</t>
    </r>
  </si>
  <si>
    <t xml:space="preserve">   Die EEG-Umlage wird vom 01.07.22 bis 31.12.22 auf 0 Cent/kWh abgesenkt (Gesetz zur Absenkung der Kostenbelastung durch die </t>
  </si>
  <si>
    <t xml:space="preserve">   EEG-Umlage ... vom 23.05.2022).</t>
  </si>
  <si>
    <t xml:space="preserve">   Im EEG 2023 soll die EEG-Umlage  vollständig gestrichen werden.  </t>
  </si>
  <si>
    <t>Nachbesserung des EEG 2021 für den Zeitraum 08/22 bis 12/22. Anschließend EEG 2023 (ab 01.01.2023)</t>
  </si>
  <si>
    <t>von 50% auf 80% abgehoben. Im EEG 2023 soll diese Beschränkung ersatzlos wegfallen.</t>
  </si>
  <si>
    <t xml:space="preserve">B) Die Beschränkung der Vergütung für Anlagen zwischen 300 bis 750 kWp wird zwischen 08/22 bis 12/22  </t>
  </si>
  <si>
    <t>von 750 auf 1.000 kWp (1 MWp) vor.</t>
  </si>
  <si>
    <r>
      <t xml:space="preserve">C) Das EEG 2023 sieht zum 01.01.2023 eine Anhebung der </t>
    </r>
    <r>
      <rPr>
        <b/>
        <sz val="10"/>
        <color rgb="FFFF0000"/>
        <rFont val="Arial"/>
        <family val="2"/>
      </rPr>
      <t>Grenze für nicht ausschreibungspflichtigen Anlagen</t>
    </r>
  </si>
  <si>
    <r>
      <t xml:space="preserve">D) Die </t>
    </r>
    <r>
      <rPr>
        <b/>
        <sz val="10"/>
        <color rgb="FF0000FF"/>
        <rFont val="Arial"/>
        <family val="2"/>
      </rPr>
      <t>EEG-Umlage</t>
    </r>
    <r>
      <rPr>
        <sz val="10"/>
        <color rgb="FF0000FF"/>
        <rFont val="Arial"/>
        <family val="2"/>
      </rPr>
      <t xml:space="preserve"> wird vom 01.07.22 bis 31.12.22 auf 0 Cent/kWh abgesenkt</t>
    </r>
  </si>
  <si>
    <t>(Gesetz zur Absenkung der Kostenbelastung durch die EEG-Umlage ... vom 23.05.2022).</t>
  </si>
  <si>
    <t>NEU:  Osterpaket &amp; EEG 2023</t>
  </si>
  <si>
    <t>Wichtige Neuregelungen sind ( nicht abschließende Liste; detaillierte Angaben entnehmen Sie bitte den Gesetzestexten):</t>
  </si>
  <si>
    <t xml:space="preserve">  Alle Anlagen größer 750 kWp (ab 01.01.2023: 1.000 kWp) sind nach den Bestimmungen des EEG verpflichtet an </t>
  </si>
  <si>
    <t xml:space="preserve">  Hinweis: Ausschreibungspflichtige Anlagen (&gt;750 bzw. 1.000 kWp) können mit dem Programm nicht gerechnet werden.</t>
  </si>
  <si>
    <t xml:space="preserve">  Alle Anlagen größer 100 kWp sind nach den Bestimmungen des EEG zur Direktvermarktung des</t>
  </si>
  <si>
    <t xml:space="preserve">  PV-Stroms verpflichtet. </t>
  </si>
  <si>
    <t xml:space="preserve">  (siehe oben:  Ausschreibungspflichtige Anlagen; ab 1-1-23: 1.000 kWp)</t>
  </si>
  <si>
    <t xml:space="preserve">  auf Marktprämie für den zeitraum 08/22 bis 12/22 auf 80% der erzeugten Strommenge begrenzt.</t>
  </si>
  <si>
    <t xml:space="preserve">  Mit dem EEG 2023 soll diese Begrenzung entfallen.</t>
  </si>
  <si>
    <r>
      <t xml:space="preserve"> 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 xml:space="preserve">Osterpaket &amp; EEG 2023: </t>
    </r>
    <r>
      <rPr>
        <sz val="10"/>
        <color rgb="FFFF0000"/>
        <rFont val="Arial"/>
        <family val="2"/>
      </rPr>
      <t xml:space="preserve">Bei Dach- und Fassadenanlagen größer 300 bis 750 kWp wird der Anspruch </t>
    </r>
  </si>
  <si>
    <r>
      <rPr>
        <b/>
        <sz val="10"/>
        <rFont val="Arial"/>
        <family val="2"/>
      </rPr>
      <t xml:space="preserve">  </t>
    </r>
    <r>
      <rPr>
        <b/>
        <u/>
        <sz val="10"/>
        <rFont val="Arial"/>
        <family val="2"/>
      </rPr>
      <t>EEG 2017, 2021 und 2023: Einspeisevergütungs - Anlage nach §21 (max. 100 kWp)</t>
    </r>
  </si>
  <si>
    <t xml:space="preserve">  Anlagen bis max. 100 kWp haben nach den Bestimmungen des EEG Anspruch auf  die gesetzlich </t>
  </si>
  <si>
    <t xml:space="preserve">  festgelegte "Einspeisevergütung". Diese errechnet sich wie folgt:</t>
  </si>
  <si>
    <t xml:space="preserve">  garantiert auch in der derzeitigen Fassung eine Vergütung für einen Zeitraum von</t>
  </si>
  <si>
    <t xml:space="preserve">  Sie erhalten daher höhere "anzulegende Werte" bzw "Einspeisevergütungen" als Eigenverbrauchsanlagen.</t>
  </si>
  <si>
    <t xml:space="preserve">  Im Programm wird damit eine entsprechende Differenzierung erforderlich.</t>
  </si>
  <si>
    <t>Osterpaket: Einspeisevergütungs - Anlage (max. 100 kWp)</t>
  </si>
  <si>
    <r>
      <t xml:space="preserve"> -</t>
    </r>
    <r>
      <rPr>
        <b/>
        <i/>
        <sz val="10"/>
        <color indexed="57"/>
        <rFont val="Arial"/>
        <family val="2"/>
      </rPr>
      <t>Nutzu</t>
    </r>
    <r>
      <rPr>
        <b/>
        <i/>
        <sz val="10"/>
        <color rgb="FF339966"/>
        <rFont val="Arial"/>
        <family val="2"/>
      </rPr>
      <t>ng</t>
    </r>
    <r>
      <rPr>
        <b/>
        <i/>
        <sz val="10"/>
        <color indexed="57"/>
        <rFont val="Arial"/>
        <family val="2"/>
      </rPr>
      <t>sdauer</t>
    </r>
    <r>
      <rPr>
        <sz val="10"/>
        <rFont val="Arial"/>
        <family val="2"/>
      </rPr>
      <t>: In der Regel 20 Jahre.  Das Erneuerbare Energien Gesetz (EEG)</t>
    </r>
  </si>
  <si>
    <r>
      <rPr>
        <b/>
        <sz val="10"/>
        <color rgb="FF339966"/>
        <rFont val="Arial"/>
        <family val="2"/>
      </rPr>
      <t xml:space="preserve">  -Vergütungstyp: </t>
    </r>
    <r>
      <rPr>
        <b/>
        <u/>
        <sz val="10"/>
        <rFont val="Arial"/>
        <family val="2"/>
      </rPr>
      <t>EEG 2017, 2021 und 2023: MARKTPRÄMIEN-Modell - Anlage (&lt;= 750 kWp; ab 1.1.23: 1.000 kWp)</t>
    </r>
  </si>
  <si>
    <t>(Voreinstellung: Osterpaket: Einspeisevergütungs - Anlage (max. 100 kWp))</t>
  </si>
  <si>
    <r>
      <t xml:space="preserve">   </t>
    </r>
    <r>
      <rPr>
        <b/>
        <u/>
        <sz val="10"/>
        <color indexed="8"/>
        <rFont val="Arial"/>
        <family val="2"/>
      </rPr>
      <t>EEG 2017, 2021 und 2023: Ausschreibungspflichtige Anlage:</t>
    </r>
    <r>
      <rPr>
        <sz val="10"/>
        <color indexed="8"/>
        <rFont val="Arial"/>
        <family val="2"/>
      </rPr>
      <t xml:space="preserve"> </t>
    </r>
  </si>
  <si>
    <t>(Voreinstellung: EIGENVERBRAUCHs - Anlage)</t>
  </si>
  <si>
    <t xml:space="preserve">  beim Marktstammdatenregister / Netzbetreiber an. Die Angebote lassen sich auf Basis der Größe </t>
  </si>
  <si>
    <t xml:space="preserve">   -Die Neigung der Module gegen die Waagerechte sollte möglichst rund 30° (+) betragen.</t>
  </si>
  <si>
    <t xml:space="preserve">   -Höchste Winter-Tagesrträge lassen sich mit steilen Modulen von 70° (+) erzielen.</t>
  </si>
  <si>
    <r>
      <t xml:space="preserve">  Vergütung für Strom aus Photovoltaikanlagen für den Zeitraum </t>
    </r>
    <r>
      <rPr>
        <b/>
        <sz val="10"/>
        <rFont val="Arial"/>
        <family val="2"/>
      </rPr>
      <t>Inbetriebnahmejahr + 20 Jahre</t>
    </r>
    <r>
      <rPr>
        <sz val="10"/>
        <rFont val="Arial"/>
        <family val="2"/>
      </rPr>
      <t xml:space="preserve">. </t>
    </r>
  </si>
  <si>
    <t xml:space="preserve">  Ab dem 01.04.2012 wurden die Einspeisevergütungen monatlich, beginnend ab Mai 2012, abge-</t>
  </si>
  <si>
    <t xml:space="preserve">  Ab 01.08.2014, dem 01.01.2017, dem 01.01.2021 sowie August 2022 ergaben sich im EEG </t>
  </si>
  <si>
    <t xml:space="preserve">  im Bereich der Vergütungen weitere Neuerungen (siehe Kapitel 2.5.1 Leistungen)</t>
  </si>
  <si>
    <t xml:space="preserve">  Die LEL empfiehlt diese Form der Finanzierung i.d. Regel nicht.</t>
  </si>
  <si>
    <r>
      <t xml:space="preserve">   Eine </t>
    </r>
    <r>
      <rPr>
        <sz val="10"/>
        <color indexed="10"/>
        <rFont val="Arial"/>
        <family val="2"/>
      </rPr>
      <t>Einspeisevergütung</t>
    </r>
    <r>
      <rPr>
        <sz val="10"/>
        <rFont val="Arial"/>
        <family val="2"/>
      </rPr>
      <t xml:space="preserve"> kann nur  für "</t>
    </r>
    <r>
      <rPr>
        <sz val="10"/>
        <color indexed="10"/>
        <rFont val="Arial"/>
        <family val="2"/>
      </rPr>
      <t>kleine Anlagen</t>
    </r>
    <r>
      <rPr>
        <sz val="10"/>
        <rFont val="Arial"/>
        <family val="2"/>
      </rPr>
      <t>" bis max. 500 kWp (vor 01.01.2016)</t>
    </r>
  </si>
  <si>
    <r>
      <t xml:space="preserve"> -</t>
    </r>
    <r>
      <rPr>
        <b/>
        <i/>
        <sz val="10"/>
        <color indexed="57"/>
        <rFont val="Arial"/>
        <family val="2"/>
      </rPr>
      <t xml:space="preserve"> EEG 2017, 2021 und Osterpaket &amp; EEG 2023: Einspeisevergütungs - Anlage nach §21 (max. 100 kWp)</t>
    </r>
  </si>
  <si>
    <r>
      <t xml:space="preserve">EEG 2014,  2017,  2021, Osgterpaket &amp; EEG 2023                             </t>
    </r>
    <r>
      <rPr>
        <b/>
        <sz val="10"/>
        <color theme="0"/>
        <rFont val="Arial"/>
        <family val="2"/>
      </rPr>
      <t xml:space="preserve"> .  </t>
    </r>
  </si>
  <si>
    <r>
      <t xml:space="preserve"> -</t>
    </r>
    <r>
      <rPr>
        <b/>
        <i/>
        <sz val="10"/>
        <color indexed="57"/>
        <rFont val="Arial"/>
        <family val="2"/>
      </rPr>
      <t xml:space="preserve"> Osterpaket &amp; EEG 2023: "Eigenverbrauch" oder "reine Einspeisung"</t>
    </r>
  </si>
  <si>
    <r>
      <t xml:space="preserve">A) Anhebung der </t>
    </r>
    <r>
      <rPr>
        <b/>
        <sz val="10"/>
        <color rgb="FFFF0000"/>
        <rFont val="Arial"/>
        <family val="2"/>
      </rPr>
      <t>Vergütungssätze.</t>
    </r>
    <r>
      <rPr>
        <sz val="10"/>
        <color rgb="FFFF0000"/>
        <rFont val="Arial"/>
        <family val="2"/>
      </rPr>
      <t xml:space="preserve"> Differenzierte Sätze für Eigenverbrauchs- und Volleinspeisungsanlagen. </t>
    </r>
  </si>
  <si>
    <r>
      <t xml:space="preserve">  </t>
    </r>
    <r>
      <rPr>
        <b/>
        <sz val="10"/>
        <color rgb="FF339966"/>
        <rFont val="Arial"/>
        <family val="2"/>
      </rPr>
      <t>-EEG 2023: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Osterpaket &amp; EEG 2023: Eigenverbrauchs- oder Volleinspeisungsanlage</t>
    </r>
  </si>
  <si>
    <t xml:space="preserve">  Die Wirtschaftlichkeit von Volleinspeisungsanlagen ist in den zurückliegenden Jahren ins Negative gefallen.</t>
  </si>
  <si>
    <t xml:space="preserve">   Die Neuregelungen bringen eine Differenzierung der Anlagen in "Eigenverbrauchs-" bzw. "Volleinspeisungsanlagen"</t>
  </si>
  <si>
    <r>
      <t xml:space="preserve">   Laut EEG beträgt die feste Einspeisevergütung für </t>
    </r>
    <r>
      <rPr>
        <b/>
        <sz val="10"/>
        <rFont val="Arial"/>
        <family val="2"/>
      </rPr>
      <t xml:space="preserve">Dachanlagen </t>
    </r>
    <r>
      <rPr>
        <b/>
        <sz val="10"/>
        <rFont val="Arial"/>
        <family val="2"/>
      </rPr>
      <t>im August 2022:</t>
    </r>
    <r>
      <rPr>
        <sz val="10"/>
        <rFont val="Arial"/>
        <family val="2"/>
      </rPr>
      <t xml:space="preserve">  </t>
    </r>
  </si>
  <si>
    <t xml:space="preserve">   (Eigenverbrauchsanlage mit Anspruch auf Einspeisevergütung (&lt;=100 kWp))</t>
  </si>
  <si>
    <r>
      <t xml:space="preserve">  </t>
    </r>
    <r>
      <rPr>
        <sz val="10"/>
        <rFont val="Arial"/>
        <family val="2"/>
      </rPr>
      <t xml:space="preserve"> &gt;</t>
    </r>
    <r>
      <rPr>
        <b/>
        <sz val="10"/>
        <rFont val="Arial"/>
        <family val="2"/>
      </rPr>
      <t xml:space="preserve"> 0 bis10 kWp = 8,20 ct/kWh; &gt;10 bis 40 kWp = 7,10 ct/kWh; &gt;40 bis 100 kWp = 5,80 ct/kWh</t>
    </r>
  </si>
  <si>
    <t xml:space="preserve">  (D.h. eine Anlage mit 100,0 kWp erhält zu 10,0 % eine Vergütung von 8,20 ct/kWh, </t>
  </si>
  <si>
    <t xml:space="preserve">  zu 30,0% eine Vergütung von 7,10 ct/kWh und zu 60% eine Vergütung von 5,80 ct/ kWh.</t>
  </si>
  <si>
    <t xml:space="preserve">  Bei den genannten Vergütungen handelt es sich um Beträge ohne Mwst.</t>
  </si>
  <si>
    <t xml:space="preserve">  Neue, nach dem 31.12.2015  in Betrieb genommene Anlagen über 100 kWp haben keinen Anspruch</t>
  </si>
  <si>
    <t xml:space="preserve">  Dies gilt auch für PV-Anlagen nach EEG 2017, EEG 2021 sowie dem Osterpaket &amp; EEG 2023. </t>
  </si>
  <si>
    <r>
      <t xml:space="preserve"> -</t>
    </r>
    <r>
      <rPr>
        <b/>
        <i/>
        <sz val="10"/>
        <color indexed="57"/>
        <rFont val="Arial"/>
        <family val="2"/>
      </rPr>
      <t>EEG 2017, 2021, Osterpaket &amp; EEG 2023: MARKTPRÄMIEN-Modell - Anlage (max. 750 kWp; ab 1.1.23: 1.000)</t>
    </r>
  </si>
  <si>
    <t xml:space="preserve">  &gt; Verpflichtung zur Ausschreibung für alle Anlagen über 750 kWp (ab 1.1.2023: 1.000 kWp)</t>
  </si>
  <si>
    <r>
      <t xml:space="preserve"> -</t>
    </r>
    <r>
      <rPr>
        <b/>
        <i/>
        <u/>
        <sz val="10"/>
        <color rgb="FF339966"/>
        <rFont val="Arial"/>
        <family val="2"/>
      </rPr>
      <t>EEG 2021</t>
    </r>
    <r>
      <rPr>
        <sz val="10"/>
        <color rgb="FF339966"/>
        <rFont val="Arial"/>
        <family val="2"/>
      </rPr>
      <t>:</t>
    </r>
  </si>
  <si>
    <t xml:space="preserve">   auf max. 50% des erzeugten Strom begrenzt ($48 Abs.5; siehe oben &gt; EEG 2021). Diese</t>
  </si>
  <si>
    <r>
      <t xml:space="preserve"> -</t>
    </r>
    <r>
      <rPr>
        <b/>
        <i/>
        <u/>
        <sz val="10"/>
        <color rgb="FF339966"/>
        <rFont val="Arial"/>
        <family val="2"/>
      </rPr>
      <t>Osterpaket &amp; EEG 2023:</t>
    </r>
  </si>
  <si>
    <t xml:space="preserve">   für den Zeitraum 08/22 bis 12/22 auf max. 80% des erzeugten Strom begrenzt ($48 Abs.5). Diese</t>
  </si>
  <si>
    <t xml:space="preserve">   Regelung tritt ab 01.04.2021 in Kraft (EEG 2021: §100; Abs.9). Gilt nicht für Freilandanlagen größer 300 bis 750 kWp.</t>
  </si>
  <si>
    <t xml:space="preserve">   Regelung soll ab 01.01.2023 mit dem EEG 2023 wegfallen.</t>
  </si>
  <si>
    <r>
      <t xml:space="preserve">   Laut EEG beträgt der gesetzlich festgelegte "anzulegende Wert" im August 2022</t>
    </r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 </t>
    </r>
  </si>
  <si>
    <t xml:space="preserve">   (Eigenverbrauchsanlage; Marktprämienmodell(&lt;=750 kWp))</t>
  </si>
  <si>
    <r>
      <t xml:space="preserve">  </t>
    </r>
    <r>
      <rPr>
        <sz val="10"/>
        <rFont val="Arial"/>
        <family val="2"/>
      </rPr>
      <t xml:space="preserve"> &gt; </t>
    </r>
    <r>
      <rPr>
        <b/>
        <sz val="10"/>
        <rFont val="Arial"/>
        <family val="2"/>
      </rPr>
      <t>0 bis 10 kWp = 8,60 ct/kWh; &gt;10 bis 40 kWp = 7,50 ct/kWh; &gt;40 bis 750 kWp = 6,20 ct/kWh</t>
    </r>
  </si>
  <si>
    <t xml:space="preserve">  (D.h. eine Anlage mit 300 kWp erzielt voraussichtlich zu 3,33 % einen Erlös von 8,60 ct/kWh, </t>
  </si>
  <si>
    <t xml:space="preserve">  zu 10,0% einen Erlös von 7,50 c/kWh, zu 86,67 % einen Erlös von 6,20 ct/ kWh</t>
  </si>
  <si>
    <r>
      <t xml:space="preserve">  </t>
    </r>
    <r>
      <rPr>
        <sz val="10"/>
        <color rgb="FFFF0000"/>
        <rFont val="Arial"/>
        <family val="2"/>
      </rPr>
      <t xml:space="preserve"> &gt; </t>
    </r>
    <r>
      <rPr>
        <b/>
        <sz val="10"/>
        <color rgb="FFFF0000"/>
        <rFont val="Arial"/>
        <family val="2"/>
      </rPr>
      <t>Osterpaket und EEG 2023:</t>
    </r>
    <r>
      <rPr>
        <sz val="10"/>
        <color rgb="FFFF0000"/>
        <rFont val="Arial"/>
        <family val="2"/>
      </rPr>
      <t xml:space="preserve"> Dach- und Fassadenanlagen mit </t>
    </r>
    <r>
      <rPr>
        <b/>
        <sz val="10"/>
        <color rgb="FFFF0000"/>
        <rFont val="Arial"/>
        <family val="2"/>
      </rPr>
      <t xml:space="preserve">300-750 kWp </t>
    </r>
    <r>
      <rPr>
        <sz val="10"/>
        <color rgb="FFFF0000"/>
        <rFont val="Arial"/>
        <family val="2"/>
      </rPr>
      <t xml:space="preserve">erhalten die Vergütung lediglich für 80% </t>
    </r>
  </si>
  <si>
    <t xml:space="preserve">  der erzeugten Strommenge. Die restlichen 20% sollten selbst verbraucht werden. Gelingt dies nicht kann die </t>
  </si>
  <si>
    <t>Einspeisevergütungssätze, gültig für Inbetriebnahme im August 2022; Dachanlage )</t>
  </si>
  <si>
    <t>EIGENVERBRAUCHs - Anlage)</t>
  </si>
  <si>
    <r>
      <t xml:space="preserve">(Voreinstellung: Preiserwartung für verkauften Strom (ab 21. Jahr) = </t>
    </r>
    <r>
      <rPr>
        <b/>
        <i/>
        <sz val="8"/>
        <color rgb="FF0000FF"/>
        <rFont val="Arial"/>
        <family val="2"/>
      </rPr>
      <t>0,0500 €/kWh</t>
    </r>
    <r>
      <rPr>
        <i/>
        <sz val="8"/>
        <color rgb="FF0000FF"/>
        <rFont val="Arial"/>
        <family val="2"/>
      </rPr>
      <t>)</t>
    </r>
  </si>
  <si>
    <r>
      <t>(Voreinstellung: Inflationsrate für den Strom-Verkaufspreis nach dem 21. Jahr:</t>
    </r>
    <r>
      <rPr>
        <b/>
        <i/>
        <sz val="8"/>
        <color rgb="FF0000FF"/>
        <rFont val="Arial"/>
        <family val="2"/>
      </rPr>
      <t xml:space="preserve"> 0,00 %</t>
    </r>
    <r>
      <rPr>
        <i/>
        <sz val="8"/>
        <color rgb="FF0000FF"/>
        <rFont val="Arial"/>
        <family val="2"/>
      </rPr>
      <t>; d.h. Berechnung ohne Inflationskomponente)</t>
    </r>
  </si>
  <si>
    <t xml:space="preserve">  Die Ø Leistung aus Stromverkauf setzt sich bei Laufzeiten von mehr als 20 Jahren aus 2 Komponenten</t>
  </si>
  <si>
    <t>( Schätzwert zur Höhe der EEG-Umlage: Orientierungswert ist der gültige Wert für 1.7.2022 = 0,00 Cent/kWh)</t>
  </si>
  <si>
    <t xml:space="preserve">Das vorliegende Programm beinhaltet den Stand vom August 2022 und wurde mit äußerster  </t>
  </si>
  <si>
    <t>Aug 2022 (ab 29.7.22)</t>
  </si>
  <si>
    <t>Jul 2022  (bis 28.7.22.)</t>
  </si>
  <si>
    <r>
      <t xml:space="preserve">  Laut EEG 2021 beträgt die feste Einspeisevergütung im August 2022 für </t>
    </r>
    <r>
      <rPr>
        <b/>
        <sz val="10"/>
        <rFont val="Arial"/>
        <family val="2"/>
      </rPr>
      <t>Sonstige Anlagen:</t>
    </r>
    <r>
      <rPr>
        <sz val="10"/>
        <rFont val="Arial"/>
        <family val="2"/>
      </rPr>
      <t xml:space="preserve">  </t>
    </r>
  </si>
  <si>
    <t xml:space="preserve">   0-100 kWp = 4,20 ct/kWh</t>
  </si>
  <si>
    <r>
      <t xml:space="preserve">  </t>
    </r>
    <r>
      <rPr>
        <sz val="10"/>
        <rFont val="Arial"/>
        <family val="2"/>
      </rPr>
      <t xml:space="preserve"> &gt; </t>
    </r>
    <r>
      <rPr>
        <b/>
        <sz val="10"/>
        <rFont val="Arial"/>
        <family val="2"/>
      </rPr>
      <t>Sonstige Anlagen</t>
    </r>
    <r>
      <rPr>
        <sz val="10"/>
        <rFont val="Arial"/>
        <family val="2"/>
      </rPr>
      <t xml:space="preserve"> (Freiland, Außenbereich; EEG 2021):</t>
    </r>
    <r>
      <rPr>
        <b/>
        <sz val="10"/>
        <rFont val="Arial"/>
        <family val="2"/>
      </rPr>
      <t xml:space="preserve"> 0 bis 750 kWp = 4,60 ct/kWh</t>
    </r>
  </si>
  <si>
    <t>ab 29.07.2022 Erhöhung auf 80% !</t>
  </si>
  <si>
    <t>Durch das "Gesetz zur Absenkung der Kostenbelastung durch die EEG-Umlage und</t>
  </si>
  <si>
    <t>zur Weitergabe dieser Absenkung an die Letztverbraucher" (vom 23.05.2022; BGBl. 2022;</t>
  </si>
  <si>
    <t>Teil I; Nr. 17; S. 747 ff) wird:</t>
  </si>
  <si>
    <t>&gt; die EEG-Umlage ab 01.07.2022 bis 31.12.2022 auf Null 0 abgesenkt.</t>
  </si>
  <si>
    <t>&gt; mit dem EEG 2023 soll die EEG-Umlage vollständig abgeschafft werden.</t>
  </si>
  <si>
    <t>Stand: 01.08.2022</t>
  </si>
  <si>
    <t xml:space="preserve">Mit dem "Gesetz zu Sofortmaßnahmen für einen beschleunigten Ausbau der erneuerbaren </t>
  </si>
  <si>
    <t>Energien";  Veröffentlichung 28.07.2022 BGBl 2022; Teil I Nr. 28; S. 1237 ff</t>
  </si>
  <si>
    <t>gelten für Dach- und Fassadenanlagen abweichend von §48 Abs. 2 folgende</t>
  </si>
  <si>
    <t>§100; Ziff. d)</t>
  </si>
  <si>
    <t>anzulegende Werte (Inkrafttreten ab 29.07.2022):</t>
  </si>
  <si>
    <t>anzulegender</t>
  </si>
  <si>
    <t>Wert</t>
  </si>
  <si>
    <t>Einspeise-</t>
  </si>
  <si>
    <t>vergütung</t>
  </si>
  <si>
    <t>8,2 ct/kWh</t>
  </si>
  <si>
    <t>8,6 ct/kWh</t>
  </si>
  <si>
    <t>7,5 ct/kWh</t>
  </si>
  <si>
    <t>7,1 ct/kWh</t>
  </si>
  <si>
    <t>6,2 ct/kWh</t>
  </si>
  <si>
    <t>5,8 ct/kWh</t>
  </si>
  <si>
    <t>Erhöhung der anzulegenden Werte bei Volleinspeiseanlagen:</t>
  </si>
  <si>
    <t>4,8 ct/kWh</t>
  </si>
  <si>
    <t>3,8 ct/kWh</t>
  </si>
  <si>
    <t>bis 100 kWp</t>
  </si>
  <si>
    <t>5,1 ct/kWh</t>
  </si>
  <si>
    <t>bis 300 kWp</t>
  </si>
  <si>
    <t>3,2 ct/kWh</t>
  </si>
  <si>
    <t>(§48</t>
  </si>
  <si>
    <t>(§49</t>
  </si>
  <si>
    <t>Absenkung/Erhöhung der anzulegenden Werte )</t>
  </si>
  <si>
    <t>Solare Strahlungsenergie (siehe Tabelle rechts) )</t>
  </si>
  <si>
    <t>Die monatliche Absenkung entfällt für den Zeitraum 29.07.22 bis 31.12.22</t>
  </si>
  <si>
    <t xml:space="preserve">Mit dem EEG 2023 ist zum 01.01.2023 eine vollständige Neuregelung des EEG </t>
  </si>
  <si>
    <t>vorgesehen. Die Vergütungen für Dach-/Fassadenanlagen (anzulegende Werte)</t>
  </si>
  <si>
    <t>werden bereits im Vorgriff durch Änderung des §100 im EEG 2021 neu geregelt.-</t>
  </si>
  <si>
    <t>- bitte prüfen Sie die Aussagen anhand der Original-Gesetzestexte</t>
  </si>
  <si>
    <t>Download: 02.08.2022</t>
  </si>
  <si>
    <t>Festschreibung der Vergütungssätze bis Januar 2024 geplant. Ab Februar 2024 halbjährliche Absenkung um 1%.</t>
  </si>
  <si>
    <r>
      <t xml:space="preserve">Das EEG 2023 soll eine vollständige </t>
    </r>
    <r>
      <rPr>
        <b/>
        <sz val="10"/>
        <color rgb="FF0000FF"/>
        <rFont val="Arial"/>
        <family val="2"/>
      </rPr>
      <t>Abschaffung der EEG-Umlage</t>
    </r>
    <r>
      <rPr>
        <sz val="10"/>
        <color rgb="FF0000FF"/>
        <rFont val="Arial"/>
        <family val="2"/>
      </rPr>
      <t xml:space="preserve"> bringen.</t>
    </r>
  </si>
  <si>
    <t xml:space="preserve">  Die Vergütung des Stromverkaufs wird vom EEG lediglich für den Zeitraum Inbetriebnahmejahr + 20 Jahre</t>
  </si>
  <si>
    <t xml:space="preserve">  garantiert. Ab dem vollständigen 21. Jahr muss der Strom selbst vermarktet werden.</t>
  </si>
  <si>
    <t xml:space="preserve">   Für "Volleinspeisungsanlagen" werden höhere Vergütungssätze gewährt, um deren Wirtschafltichkeit/Attraktivität zu erhöhen.</t>
  </si>
  <si>
    <t>3,723 Cent/kWh</t>
  </si>
  <si>
    <t>+ Ø Wert des Eigenstromverbrauch  abzgl. EEG-Umlage für Stromeigenverbrauch</t>
  </si>
  <si>
    <r>
      <t xml:space="preserve">&gt; Ist Anlagenbetreiber und Letztverbraucher </t>
    </r>
    <r>
      <rPr>
        <b/>
        <u/>
        <sz val="10"/>
        <rFont val="Arial"/>
        <family val="2"/>
      </rPr>
      <t>nicht identisch</t>
    </r>
    <r>
      <rPr>
        <sz val="10"/>
        <rFont val="Arial"/>
        <family val="2"/>
      </rPr>
      <t xml:space="preserve">, ist die </t>
    </r>
    <r>
      <rPr>
        <b/>
        <u/>
        <sz val="10"/>
        <rFont val="Arial"/>
        <family val="2"/>
      </rPr>
      <t>volle EEG-Umlage</t>
    </r>
    <r>
      <rPr>
        <sz val="10"/>
        <rFont val="Arial"/>
        <family val="2"/>
      </rPr>
      <t xml:space="preserve"> fällig.
</t>
    </r>
  </si>
  <si>
    <r>
      <t xml:space="preserve">&gt; Ist Anlagenbetreiber und Letztverbraucher </t>
    </r>
    <r>
      <rPr>
        <b/>
        <u/>
        <sz val="10"/>
        <rFont val="Arial"/>
        <family val="2"/>
      </rPr>
      <t>identisch,</t>
    </r>
    <r>
      <rPr>
        <sz val="10"/>
        <rFont val="Arial"/>
        <family val="2"/>
      </rPr>
      <t xml:space="preserve"> ist eine </t>
    </r>
    <r>
      <rPr>
        <b/>
        <u/>
        <sz val="10"/>
        <rFont val="Arial"/>
        <family val="2"/>
      </rPr>
      <t>anteilige EEG-Umlage</t>
    </r>
    <r>
      <rPr>
        <sz val="10"/>
        <rFont val="Arial"/>
        <family val="2"/>
      </rPr>
      <t xml:space="preserve"> fällig.</t>
    </r>
  </si>
  <si>
    <r>
      <rPr>
        <b/>
        <sz val="10"/>
        <rFont val="Arial"/>
        <family val="2"/>
      </rPr>
      <t>PROBLEM</t>
    </r>
    <r>
      <rPr>
        <sz val="10"/>
        <rFont val="Arial"/>
        <family val="2"/>
      </rPr>
      <t xml:space="preserve">: Die </t>
    </r>
    <r>
      <rPr>
        <b/>
        <sz val="10"/>
        <rFont val="Arial"/>
        <family val="2"/>
      </rPr>
      <t xml:space="preserve">Höhe der </t>
    </r>
    <r>
      <rPr>
        <sz val="10"/>
        <rFont val="Arial"/>
        <family val="2"/>
      </rPr>
      <t xml:space="preserve">voraussichtlich durchschnittlichen </t>
    </r>
    <r>
      <rPr>
        <b/>
        <sz val="10"/>
        <rFont val="Arial"/>
        <family val="2"/>
      </rPr>
      <t>EEG-Umlage</t>
    </r>
    <r>
      <rPr>
        <sz val="10"/>
        <rFont val="Arial"/>
        <family val="2"/>
      </rPr>
      <t xml:space="preserve"> der nächsten</t>
    </r>
  </si>
  <si>
    <r>
      <t xml:space="preserve">20 (bis 25) Jahre </t>
    </r>
    <r>
      <rPr>
        <b/>
        <sz val="10"/>
        <rFont val="Arial"/>
        <family val="2"/>
      </rPr>
      <t>muss selbst eingeschätzt werden</t>
    </r>
    <r>
      <rPr>
        <sz val="10"/>
        <rFont val="Arial"/>
        <family val="2"/>
      </rPr>
      <t>, da sich der Abzug in jedem Jahr direkt</t>
    </r>
  </si>
  <si>
    <r>
      <t xml:space="preserve">Osterpaket &amp; EEG 2023: </t>
    </r>
    <r>
      <rPr>
        <sz val="10"/>
        <color rgb="FFFF0000"/>
        <rFont val="Arial"/>
        <family val="2"/>
      </rPr>
      <t>Die EEG-Umlage wurde für 07/22 bis 12/22 auf 0 reduziert und soll zum 1.1.23 wegfallen.</t>
    </r>
  </si>
  <si>
    <t>07. September 2022; Vers. 10.0.8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</si>
</sst>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5">
    <numFmt numFmtId="5" formatCode="#,##0\ &quot;€&quot;;\-#,##0\ &quot;€&quot;"/>
    <numFmt numFmtId="44" formatCode="_-* #,##0.00\ &quot;€&quot;_-;\-* #,##0.00\ &quot;€&quot;_-;_-* &quot;-&quot;??\ &quot;€&quot;_-;_-@_-"/>
    <numFmt numFmtId="164" formatCode="#,##0\ &quot;€&quot;"/>
    <numFmt numFmtId="165" formatCode="0.0"/>
    <numFmt numFmtId="166" formatCode="#,##0.00__"/>
    <numFmt numFmtId="167" formatCode="#,##0____"/>
    <numFmt numFmtId="168" formatCode="0&quot;.&quot;"/>
    <numFmt numFmtId="169" formatCode="#,##0__"/>
    <numFmt numFmtId="170" formatCode="0__"/>
    <numFmt numFmtId="171" formatCode="0.00&quot;%&quot;"/>
    <numFmt numFmtId="172" formatCode="0;[White]0;[Black]0"/>
    <numFmt numFmtId="173" formatCode="0.00;[White]0.00;[Black]0.00"/>
    <numFmt numFmtId="174" formatCode="#,##0.00&quot;%&quot;"/>
    <numFmt numFmtId="175" formatCode="0.00__"/>
    <numFmt numFmtId="176" formatCode="0.00____"/>
    <numFmt numFmtId="177" formatCode="0.00\ &quot;%&quot;;[White]0.00;[Black]0.00\ &quot;%&quot;"/>
    <numFmt numFmtId="178" formatCode="0\ &quot;€&quot;"/>
    <numFmt numFmtId="179" formatCode="d/m/yyyy"/>
    <numFmt numFmtId="180" formatCode="0.000"/>
    <numFmt numFmtId="181" formatCode="0.0%"/>
    <numFmt numFmtId="182" formatCode="###0__"/>
    <numFmt numFmtId="183" formatCode="#,##0.0000__"/>
    <numFmt numFmtId="184" formatCode="#,##0.000"/>
    <numFmt numFmtId="185" formatCode="#,##0.0"/>
    <numFmt numFmtId="186" formatCode="&quot;(&quot;\ 0.00%\ &quot;)&quot;"/>
    <numFmt numFmtId="187" formatCode="&quot;(&quot;\ 0%\ &quot;)&quot;"/>
    <numFmt numFmtId="188" formatCode="#,##0.0000"/>
    <numFmt numFmtId="189" formatCode="#,##0_ ;\-#,##0\ "/>
    <numFmt numFmtId="190" formatCode="0.0%;0.0%;[Black]0.0%"/>
    <numFmt numFmtId="191" formatCode="#,##0.000&quot;%&quot;"/>
    <numFmt numFmtId="192" formatCode="0;0;[Black]0"/>
    <numFmt numFmtId="193" formatCode="#,##0.0000_ ;[Red]\-#,##0.0000\ "/>
    <numFmt numFmtId="194" formatCode="&quot;( x &quot;#,##0\ &quot;kWh )&quot;"/>
    <numFmt numFmtId="195" formatCode="&quot;0 - &quot;0\ &quot;%&quot;"/>
    <numFmt numFmtId="196" formatCode="&quot;über &quot;0\ &quot;%&quot;"/>
    <numFmt numFmtId="197" formatCode="#,##0&quot; &quot;;\-#,##0&quot; &quot;"/>
    <numFmt numFmtId="198" formatCode="\-#,##0&quot; &quot;;\+#,##0&quot; &quot;"/>
    <numFmt numFmtId="199" formatCode="&quot;-&quot;#,##0&quot; &quot;\ ;&quot;+&quot;#,##0&quot; &quot;\ "/>
    <numFmt numFmtId="200" formatCode="&quot;incl: &quot;0.0%&quot; Preissteig./J.&quot;"/>
    <numFmt numFmtId="201" formatCode="0.0000"/>
    <numFmt numFmtId="202" formatCode="0.0\ &quot;%&quot;;[Red]\-\ 0.0\ &quot;%&quot;;[Black]0.0\ &quot;%&quot;"/>
    <numFmt numFmtId="203" formatCode="0.0000\ &quot;€/kWh&quot;"/>
    <numFmt numFmtId="204" formatCode="0\ &quot;%&quot;"/>
    <numFmt numFmtId="205" formatCode="&quot;0 bis &quot;0\ &quot;kWp&quot;"/>
    <numFmt numFmtId="206" formatCode="0.0%\ &quot;Stromverkauf&quot;"/>
    <numFmt numFmtId="207" formatCode="0.0%\ &quot;Eigenstrom&quot;"/>
    <numFmt numFmtId="208" formatCode="&quot;Wert =&quot;\ #,##0.0000\ &quot;€/kWh&quot;"/>
    <numFmt numFmtId="209" formatCode="&quot;durchschn.&quot;\ 0\ &quot;kWh&quot;"/>
    <numFmt numFmtId="210" formatCode="&quot;10 bis &quot;#,##0\ &quot;kWp&quot;"/>
    <numFmt numFmtId="211" formatCode="&quot;(mindestens&quot;\ 0%\ &quot;)&quot;;&quot;(mindestens&quot;\ 0%\ &quot;)&quot;;[Black]&quot;(mindestens&quot;\ 0%\ &quot;)&quot;"/>
    <numFmt numFmtId="212" formatCode="&quot;&gt; &quot;#,##0\ &quot;kWp &amp; Freiland&quot;"/>
    <numFmt numFmtId="213" formatCode="#,##0\ &quot;Jahre&quot;"/>
    <numFmt numFmtId="214" formatCode="0.0%;[Red]\-\ 0.0%;[Black]0.0%"/>
    <numFmt numFmtId="215" formatCode="0.00%;[Red]\-\ 0.00%;[Black]0.00%"/>
    <numFmt numFmtId="216" formatCode="#,##0\ &quot;€/Jahr&quot;"/>
    <numFmt numFmtId="217" formatCode="#,##0\ &quot;€&quot;&quot; )&quot;"/>
    <numFmt numFmtId="218" formatCode="&quot;x&quot;\ \ 0.0%\ &quot;(Gewichtung)&quot;"/>
    <numFmt numFmtId="219" formatCode="0.000\ &quot;%&quot;;[Red]0.000;[Black]0.000\ &quot;%&quot;"/>
    <numFmt numFmtId="220" formatCode="\ 0%\ &quot;)&quot;;0%\ &quot;)&quot;;[Black]0%\ &quot;)&quot;"/>
    <numFmt numFmtId="221" formatCode="#,##0.0000;[Red]\-#,##0.0000;[Black]#,##0.0000"/>
    <numFmt numFmtId="222" formatCode="0&quot;. Jahr&quot;;0&quot;. Jahr&quot;;[Black]0&quot;. Jahr&quot;"/>
    <numFmt numFmtId="223" formatCode="0.0%\ &quot;abgezinst&quot;;0.0%\ &quot;abgezinst&quot;;[Black]0.0%\ &quot;abgezinst&quot;"/>
    <numFmt numFmtId="224" formatCode="#,##0.00000"/>
    <numFmt numFmtId="225" formatCode="#,##0.0\ &quot;Jahre&quot;"/>
    <numFmt numFmtId="226" formatCode="#,##0;[White]#,##0;[Black]#,##0"/>
    <numFmt numFmtId="227" formatCode="#,##0;[Black]#,##0;[Black]#,##0"/>
    <numFmt numFmtId="228" formatCode="0.000000"/>
    <numFmt numFmtId="229" formatCode="#,##0;#,##0;[Black]#,##0"/>
    <numFmt numFmtId="230" formatCode="#,##0.00;#,##0.00;[Black]#,##0"/>
    <numFmt numFmtId="231" formatCode="&quot; &quot;#,##0.00\ &quot;Cent/kWh&quot;"/>
    <numFmt numFmtId="232" formatCode="0%;0%;[Black]0%"/>
    <numFmt numFmtId="233" formatCode="&quot;EEG-Umlage:&quot;\ 0.00&quot; Cent/kWh)&quot;"/>
    <numFmt numFmtId="234" formatCode="&quot;+&quot;\ 0.00%"/>
    <numFmt numFmtId="235" formatCode="0.00000"/>
    <numFmt numFmtId="236" formatCode="#,##\+\ 0.0000;[Red]\-#,##0.0000;[Red]#,##0.0000"/>
    <numFmt numFmtId="237" formatCode="&quot;( &quot;0.0000\ &quot;€ / kWh ) *&quot;"/>
    <numFmt numFmtId="238" formatCode="#,##0__;[Red]\-\ #,##0__;#,##0__"/>
    <numFmt numFmtId="239" formatCode="&quot;erfasst: &quot;0.00\ &quot;kWp&quot;"/>
    <numFmt numFmtId="240" formatCode="&quot;nicht zulässig:  &lt;= &quot;0\ "/>
    <numFmt numFmtId="241" formatCode="&quot;Pflicht ab &gt;&quot;0.00\ &quot;kWp&quot;"/>
    <numFmt numFmtId="242" formatCode="&quot;&gt;&quot;0&quot; kWp&quot;"/>
    <numFmt numFmtId="243" formatCode="&quot;&lt;=&quot;0&quot; %&quot;"/>
    <numFmt numFmtId="244" formatCode="#,##0;[Red]\-#,##0;[Red]#,##0"/>
    <numFmt numFmtId="245" formatCode="0.00\ &quot;%&quot;;[White]0.00;0.00\ &quot;%&quot;"/>
    <numFmt numFmtId="246" formatCode="&quot; &quot;#,##0.00\ &quot;Cent/kWh&quot;;&quot; &quot;#,##0.00\ &quot;Cent/kWh&quot;;&quot; &quot;#,##0.00\ &quot;Cent/kWh&quot;"/>
    <numFmt numFmtId="247" formatCode="&quot;0 bis &quot;0"/>
    <numFmt numFmtId="248" formatCode="&quot;10 bis &quot;0"/>
    <numFmt numFmtId="249" formatCode="&quot;40 bis &quot;0"/>
    <numFmt numFmtId="250" formatCode="&quot;100 bis &quot;0"/>
    <numFmt numFmtId="251" formatCode="&quot;400 bis &quot;0"/>
    <numFmt numFmtId="252" formatCode="0\ &quot;kWp&quot;"/>
    <numFmt numFmtId="253" formatCode="&quot;bis &quot;0"/>
    <numFmt numFmtId="254" formatCode="0;[Red]0;[Black]0"/>
    <numFmt numFmtId="255" formatCode="&quot;1000 bis &quot;0"/>
    <numFmt numFmtId="256" formatCode="#,##0;[Red]#,##0"/>
  </numFmts>
  <fonts count="133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20"/>
      <name val="BernhardMod BT"/>
      <family val="1"/>
    </font>
    <font>
      <b/>
      <i/>
      <sz val="10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6"/>
      <name val="Arial"/>
      <family val="2"/>
    </font>
    <font>
      <b/>
      <sz val="10"/>
      <color indexed="43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i/>
      <sz val="16"/>
      <name val="Arial"/>
      <family val="2"/>
    </font>
    <font>
      <sz val="10"/>
      <color indexed="12"/>
      <name val="Arial"/>
      <family val="2"/>
    </font>
    <font>
      <b/>
      <sz val="18"/>
      <name val="BernhardMod BT"/>
      <family val="1"/>
    </font>
    <font>
      <b/>
      <sz val="10"/>
      <name val="Arial Narrow"/>
      <family val="2"/>
    </font>
    <font>
      <sz val="9"/>
      <color indexed="10"/>
      <name val="Arial"/>
      <family val="2"/>
    </font>
    <font>
      <b/>
      <sz val="9"/>
      <color indexed="10"/>
      <name val="Arial"/>
      <family val="2"/>
    </font>
    <font>
      <sz val="8"/>
      <color indexed="13"/>
      <name val="Arial"/>
      <family val="2"/>
    </font>
    <font>
      <b/>
      <sz val="6"/>
      <color indexed="13"/>
      <name val="Arial"/>
      <family val="2"/>
    </font>
    <font>
      <b/>
      <sz val="12"/>
      <name val="Arial"/>
      <family val="2"/>
    </font>
    <font>
      <b/>
      <sz val="16"/>
      <name val="Comic Sans MS"/>
      <family val="4"/>
    </font>
    <font>
      <b/>
      <i/>
      <sz val="10"/>
      <color indexed="57"/>
      <name val="Arial"/>
      <family val="2"/>
    </font>
    <font>
      <b/>
      <sz val="10"/>
      <name val="Comic Sans MS"/>
      <family val="4"/>
    </font>
    <font>
      <b/>
      <sz val="12"/>
      <name val="Comic Sans MS"/>
      <family val="4"/>
    </font>
    <font>
      <b/>
      <sz val="10"/>
      <color indexed="12"/>
      <name val="Arial"/>
      <family val="2"/>
    </font>
    <font>
      <i/>
      <sz val="10"/>
      <color indexed="57"/>
      <name val="Arial"/>
      <family val="2"/>
    </font>
    <font>
      <sz val="8"/>
      <name val="Comic Sans MS"/>
      <family val="4"/>
    </font>
    <font>
      <b/>
      <u/>
      <sz val="8"/>
      <color indexed="12"/>
      <name val="Arial"/>
      <family val="2"/>
    </font>
    <font>
      <sz val="10"/>
      <name val="Comic Sans MS"/>
      <family val="4"/>
    </font>
    <font>
      <i/>
      <sz val="8"/>
      <name val="Arial"/>
      <family val="2"/>
    </font>
    <font>
      <sz val="16"/>
      <color indexed="12"/>
      <name val="Comic Sans MS"/>
      <family val="4"/>
    </font>
    <font>
      <b/>
      <sz val="8"/>
      <name val="Comic Sans MS"/>
      <family val="4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 Narrow"/>
      <family val="2"/>
    </font>
    <font>
      <sz val="10"/>
      <name val="Arial Narrow"/>
      <family val="2"/>
    </font>
    <font>
      <b/>
      <sz val="12"/>
      <color indexed="9"/>
      <name val="Arial Narrow"/>
      <family val="2"/>
    </font>
    <font>
      <b/>
      <i/>
      <sz val="10"/>
      <color indexed="10"/>
      <name val="Arial"/>
      <family val="2"/>
    </font>
    <font>
      <sz val="10"/>
      <color indexed="23"/>
      <name val="Arial"/>
      <family val="2"/>
    </font>
    <font>
      <sz val="8"/>
      <color indexed="23"/>
      <name val="Arial"/>
      <family val="2"/>
    </font>
    <font>
      <b/>
      <sz val="10"/>
      <color indexed="23"/>
      <name val="Arial"/>
      <family val="2"/>
    </font>
    <font>
      <sz val="14"/>
      <name val="Arial"/>
      <family val="2"/>
    </font>
    <font>
      <b/>
      <sz val="9"/>
      <color indexed="12"/>
      <name val="Arial"/>
      <family val="2"/>
    </font>
    <font>
      <b/>
      <i/>
      <sz val="8"/>
      <color indexed="10"/>
      <name val="Arial"/>
      <family val="2"/>
    </font>
    <font>
      <sz val="28"/>
      <color indexed="10"/>
      <name val="Arial"/>
      <family val="2"/>
    </font>
    <font>
      <sz val="5"/>
      <color indexed="41"/>
      <name val="Arial"/>
      <family val="2"/>
    </font>
    <font>
      <vertAlign val="superscript"/>
      <sz val="10"/>
      <name val="Arial"/>
      <family val="2"/>
    </font>
    <font>
      <vertAlign val="superscript"/>
      <sz val="8"/>
      <name val="Arial"/>
      <family val="2"/>
    </font>
    <font>
      <sz val="7"/>
      <name val="Arial"/>
      <family val="2"/>
    </font>
    <font>
      <b/>
      <u/>
      <sz val="10"/>
      <name val="Arial"/>
      <family val="2"/>
    </font>
    <font>
      <vertAlign val="superscript"/>
      <sz val="10"/>
      <name val="Arial Narrow"/>
      <family val="2"/>
    </font>
    <font>
      <sz val="7"/>
      <color indexed="23"/>
      <name val="Arial"/>
      <family val="2"/>
    </font>
    <font>
      <b/>
      <sz val="7"/>
      <color indexed="23"/>
      <name val="Arial"/>
      <family val="2"/>
    </font>
    <font>
      <sz val="10"/>
      <color indexed="23"/>
      <name val="Arial"/>
      <family val="2"/>
    </font>
    <font>
      <sz val="9"/>
      <name val="Arial"/>
      <family val="2"/>
    </font>
    <font>
      <b/>
      <i/>
      <sz val="12"/>
      <name val="Arial Narrow"/>
      <family val="2"/>
    </font>
    <font>
      <vertAlign val="superscript"/>
      <sz val="12"/>
      <name val="Arial"/>
      <family val="2"/>
    </font>
    <font>
      <sz val="10"/>
      <color indexed="55"/>
      <name val="Arial"/>
      <family val="2"/>
    </font>
    <font>
      <sz val="10"/>
      <color indexed="55"/>
      <name val="Arial"/>
      <family val="2"/>
    </font>
    <font>
      <b/>
      <u/>
      <sz val="14"/>
      <name val="Arial"/>
      <family val="2"/>
    </font>
    <font>
      <sz val="7"/>
      <name val="Comic Sans MS"/>
      <family val="4"/>
    </font>
    <font>
      <b/>
      <vertAlign val="superscript"/>
      <sz val="10"/>
      <name val="Arial"/>
      <family val="2"/>
    </font>
    <font>
      <b/>
      <sz val="12"/>
      <color indexed="12"/>
      <name val="Comic Sans MS"/>
      <family val="4"/>
    </font>
    <font>
      <sz val="8"/>
      <name val="Arial Narrow"/>
      <family val="2"/>
    </font>
    <font>
      <b/>
      <i/>
      <u/>
      <sz val="10"/>
      <color indexed="57"/>
      <name val="Arial"/>
      <family val="2"/>
    </font>
    <font>
      <b/>
      <i/>
      <sz val="10"/>
      <color indexed="12"/>
      <name val="Arial"/>
      <family val="2"/>
    </font>
    <font>
      <b/>
      <u/>
      <sz val="11"/>
      <name val="Arial"/>
      <family val="2"/>
    </font>
    <font>
      <b/>
      <u/>
      <sz val="8"/>
      <name val="Arial"/>
      <family val="2"/>
    </font>
    <font>
      <u/>
      <sz val="10"/>
      <color indexed="10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b/>
      <u/>
      <sz val="14"/>
      <color indexed="12"/>
      <name val="Arial"/>
      <family val="2"/>
    </font>
    <font>
      <sz val="10"/>
      <color indexed="8"/>
      <name val="Arial"/>
      <family val="2"/>
    </font>
    <font>
      <b/>
      <u/>
      <sz val="10"/>
      <color indexed="8"/>
      <name val="Arial"/>
      <family val="2"/>
    </font>
    <font>
      <vertAlign val="subscript"/>
      <sz val="10"/>
      <name val="Arial"/>
      <family val="2"/>
    </font>
    <font>
      <b/>
      <sz val="24"/>
      <name val="Arial"/>
      <family val="2"/>
    </font>
    <font>
      <b/>
      <sz val="14"/>
      <color indexed="10"/>
      <name val="Arial"/>
      <family val="2"/>
    </font>
    <font>
      <b/>
      <sz val="9"/>
      <color rgb="FFFF0000"/>
      <name val="Arial"/>
      <family val="2"/>
    </font>
    <font>
      <b/>
      <u/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rgb="FF0000CC"/>
      <name val="Arial"/>
      <family val="2"/>
    </font>
    <font>
      <sz val="10"/>
      <color theme="0"/>
      <name val="Arial"/>
      <family val="2"/>
    </font>
    <font>
      <sz val="8"/>
      <color rgb="FFFF0000"/>
      <name val="Arial"/>
      <family val="2"/>
    </font>
    <font>
      <sz val="14"/>
      <color rgb="FFFF0000"/>
      <name val="Arial"/>
      <family val="2"/>
    </font>
    <font>
      <b/>
      <sz val="7"/>
      <color rgb="FF0000FF"/>
      <name val="Arial"/>
      <family val="2"/>
    </font>
    <font>
      <b/>
      <sz val="10"/>
      <color rgb="FF0000FF"/>
      <name val="Arial"/>
      <family val="2"/>
    </font>
    <font>
      <sz val="10"/>
      <color rgb="FFC00000"/>
      <name val="Arial"/>
      <family val="2"/>
    </font>
    <font>
      <b/>
      <u/>
      <sz val="11"/>
      <color rgb="FFFF0000"/>
      <name val="Arial"/>
      <family val="2"/>
    </font>
    <font>
      <b/>
      <sz val="8"/>
      <color rgb="FFFF000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u/>
      <sz val="11"/>
      <color rgb="FF006600"/>
      <name val="Arial"/>
      <family val="2"/>
    </font>
    <font>
      <b/>
      <sz val="11"/>
      <color rgb="FFFF0000"/>
      <name val="Arial"/>
      <family val="2"/>
    </font>
    <font>
      <sz val="11"/>
      <color rgb="FF0000FF"/>
      <name val="Arial"/>
      <family val="2"/>
    </font>
    <font>
      <b/>
      <sz val="14"/>
      <color rgb="FF0033CC"/>
      <name val="Arial"/>
      <family val="2"/>
    </font>
    <font>
      <u/>
      <sz val="10"/>
      <color rgb="FFFF0000"/>
      <name val="Arial"/>
      <family val="2"/>
    </font>
    <font>
      <i/>
      <sz val="9"/>
      <color rgb="FFFF0000"/>
      <name val="Arial"/>
      <family val="2"/>
    </font>
    <font>
      <sz val="20"/>
      <color rgb="FFFF0000"/>
      <name val="Arial"/>
      <family val="2"/>
    </font>
    <font>
      <b/>
      <sz val="14"/>
      <color theme="0"/>
      <name val="Arial"/>
      <family val="2"/>
    </font>
    <font>
      <sz val="7"/>
      <color rgb="FFFF0000"/>
      <name val="Arial Narrow"/>
      <family val="2"/>
    </font>
    <font>
      <sz val="7"/>
      <color rgb="FFFF0000"/>
      <name val="Arial"/>
      <family val="2"/>
    </font>
    <font>
      <sz val="8"/>
      <color rgb="FF0000FF"/>
      <name val="Arial"/>
      <family val="2"/>
    </font>
    <font>
      <b/>
      <sz val="8"/>
      <color rgb="FF0000FF"/>
      <name val="Arial"/>
      <family val="2"/>
    </font>
    <font>
      <sz val="7"/>
      <color theme="1"/>
      <name val="Arial"/>
      <family val="2"/>
    </font>
    <font>
      <b/>
      <sz val="7"/>
      <color rgb="FFFF0000"/>
      <name val="Arial"/>
      <family val="2"/>
    </font>
    <font>
      <b/>
      <sz val="9"/>
      <color indexed="81"/>
      <name val="Segoe UI"/>
      <family val="2"/>
    </font>
    <font>
      <b/>
      <sz val="14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C0000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i/>
      <sz val="8"/>
      <color rgb="FF0000FF"/>
      <name val="Arial"/>
      <family val="2"/>
    </font>
    <font>
      <b/>
      <i/>
      <sz val="10"/>
      <color rgb="FF339966"/>
      <name val="Arial"/>
      <family val="2"/>
    </font>
    <font>
      <b/>
      <u/>
      <sz val="10"/>
      <color rgb="FF339966"/>
      <name val="Arial"/>
      <family val="2"/>
    </font>
    <font>
      <b/>
      <sz val="10"/>
      <color rgb="FF339966"/>
      <name val="Arial"/>
      <family val="2"/>
    </font>
    <font>
      <b/>
      <i/>
      <u/>
      <sz val="10"/>
      <color rgb="FF339966"/>
      <name val="Arial"/>
      <family val="2"/>
    </font>
    <font>
      <sz val="10"/>
      <color rgb="FF339966"/>
      <name val="Arial"/>
      <family val="2"/>
    </font>
    <font>
      <b/>
      <i/>
      <sz val="8"/>
      <color rgb="FF0000FF"/>
      <name val="Arial"/>
      <family val="2"/>
    </font>
    <font>
      <strike/>
      <sz val="14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lightTrellis">
        <bgColor indexed="41"/>
      </patternFill>
    </fill>
    <fill>
      <patternFill patternType="solid">
        <fgColor indexed="4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249977111117893"/>
        <bgColor indexed="64"/>
      </patternFill>
    </fill>
    <fill>
      <gradientFill type="path" left="0.5" right="0.5" top="0.5" bottom="0.5">
        <stop position="0">
          <color rgb="FF339966"/>
        </stop>
        <stop position="1">
          <color theme="0"/>
        </stop>
      </gradientFill>
    </fill>
  </fills>
  <borders count="25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11"/>
      </left>
      <right/>
      <top style="thin">
        <color indexed="11"/>
      </top>
      <bottom/>
      <diagonal/>
    </border>
    <border>
      <left/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/>
      <top/>
      <bottom/>
      <diagonal/>
    </border>
    <border>
      <left/>
      <right style="thin">
        <color indexed="11"/>
      </right>
      <top/>
      <bottom/>
      <diagonal/>
    </border>
    <border>
      <left style="thin">
        <color indexed="11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1"/>
      </right>
      <top/>
      <bottom style="thin">
        <color indexed="1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ck">
        <color indexed="58"/>
      </left>
      <right/>
      <top/>
      <bottom/>
      <diagonal/>
    </border>
    <border>
      <left/>
      <right style="thick">
        <color indexed="58"/>
      </right>
      <top/>
      <bottom/>
      <diagonal/>
    </border>
    <border>
      <left style="thick">
        <color indexed="58"/>
      </left>
      <right/>
      <top style="thick">
        <color indexed="58"/>
      </top>
      <bottom/>
      <diagonal/>
    </border>
    <border>
      <left/>
      <right/>
      <top style="thick">
        <color indexed="58"/>
      </top>
      <bottom/>
      <diagonal/>
    </border>
    <border>
      <left/>
      <right style="thick">
        <color indexed="58"/>
      </right>
      <top style="thick">
        <color indexed="58"/>
      </top>
      <bottom/>
      <diagonal/>
    </border>
    <border>
      <left style="thick">
        <color indexed="58"/>
      </left>
      <right/>
      <top/>
      <bottom style="thick">
        <color indexed="58"/>
      </bottom>
      <diagonal/>
    </border>
    <border>
      <left/>
      <right/>
      <top/>
      <bottom style="thick">
        <color indexed="58"/>
      </bottom>
      <diagonal/>
    </border>
    <border>
      <left/>
      <right style="thick">
        <color indexed="58"/>
      </right>
      <top/>
      <bottom style="thick">
        <color indexed="5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 style="thick">
        <color indexed="51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53"/>
      </right>
      <top style="medium">
        <color indexed="64"/>
      </top>
      <bottom/>
      <diagonal/>
    </border>
    <border>
      <left style="thick">
        <color indexed="22"/>
      </left>
      <right style="thick">
        <color indexed="22"/>
      </right>
      <top/>
      <bottom style="thick">
        <color indexed="22"/>
      </bottom>
      <diagonal/>
    </border>
    <border>
      <left style="thick">
        <color indexed="22"/>
      </left>
      <right style="thick">
        <color indexed="22"/>
      </right>
      <top style="thick">
        <color indexed="22"/>
      </top>
      <bottom style="thick">
        <color indexed="22"/>
      </bottom>
      <diagonal/>
    </border>
    <border>
      <left style="thick">
        <color indexed="22"/>
      </left>
      <right/>
      <top/>
      <bottom style="thick">
        <color indexed="22"/>
      </bottom>
      <diagonal/>
    </border>
    <border>
      <left/>
      <right style="thick">
        <color indexed="52"/>
      </right>
      <top/>
      <bottom style="thick">
        <color indexed="52"/>
      </bottom>
      <diagonal/>
    </border>
    <border>
      <left/>
      <right style="thick">
        <color indexed="53"/>
      </right>
      <top/>
      <bottom style="thick">
        <color indexed="53"/>
      </bottom>
      <diagonal/>
    </border>
    <border>
      <left style="thick">
        <color indexed="22"/>
      </left>
      <right/>
      <top style="thick">
        <color indexed="22"/>
      </top>
      <bottom style="thick">
        <color indexed="22"/>
      </bottom>
      <diagonal/>
    </border>
    <border>
      <left style="thick">
        <color indexed="43"/>
      </left>
      <right style="thick">
        <color indexed="43"/>
      </right>
      <top style="thick">
        <color indexed="43"/>
      </top>
      <bottom style="thick">
        <color indexed="43"/>
      </bottom>
      <diagonal/>
    </border>
    <border>
      <left style="thick">
        <color indexed="13"/>
      </left>
      <right style="thick">
        <color indexed="13"/>
      </right>
      <top style="thick">
        <color indexed="13"/>
      </top>
      <bottom style="thick">
        <color indexed="13"/>
      </bottom>
      <diagonal/>
    </border>
    <border>
      <left style="thick">
        <color indexed="47"/>
      </left>
      <right style="thick">
        <color indexed="47"/>
      </right>
      <top style="thick">
        <color indexed="47"/>
      </top>
      <bottom style="thick">
        <color indexed="47"/>
      </bottom>
      <diagonal/>
    </border>
    <border>
      <left style="thick">
        <color indexed="51"/>
      </left>
      <right style="thick">
        <color indexed="51"/>
      </right>
      <top style="thick">
        <color indexed="51"/>
      </top>
      <bottom style="thick">
        <color indexed="51"/>
      </bottom>
      <diagonal/>
    </border>
    <border>
      <left style="thick">
        <color indexed="52"/>
      </left>
      <right style="thick">
        <color indexed="52"/>
      </right>
      <top style="thick">
        <color indexed="52"/>
      </top>
      <bottom style="thick">
        <color indexed="52"/>
      </bottom>
      <diagonal/>
    </border>
    <border>
      <left style="thick">
        <color indexed="53"/>
      </left>
      <right style="thick">
        <color indexed="53"/>
      </right>
      <top style="thick">
        <color indexed="53"/>
      </top>
      <bottom style="thick">
        <color indexed="53"/>
      </bottom>
      <diagonal/>
    </border>
    <border>
      <left style="thin">
        <color indexed="64"/>
      </left>
      <right style="thick">
        <color indexed="22"/>
      </right>
      <top style="thick">
        <color indexed="22"/>
      </top>
      <bottom style="thick">
        <color indexed="22"/>
      </bottom>
      <diagonal/>
    </border>
    <border>
      <left style="thick">
        <color indexed="22"/>
      </left>
      <right style="thin">
        <color indexed="64"/>
      </right>
      <top style="thick">
        <color indexed="22"/>
      </top>
      <bottom style="thick">
        <color indexed="22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ck">
        <color indexed="9"/>
      </left>
      <right/>
      <top/>
      <bottom style="thick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43"/>
      </left>
      <right style="thick">
        <color indexed="43"/>
      </right>
      <top style="thick">
        <color indexed="43"/>
      </top>
      <bottom/>
      <diagonal/>
    </border>
    <border>
      <left style="thick">
        <color indexed="47"/>
      </left>
      <right style="thick">
        <color indexed="47"/>
      </right>
      <top style="thick">
        <color indexed="47"/>
      </top>
      <bottom/>
      <diagonal/>
    </border>
    <border>
      <left style="thick">
        <color indexed="51"/>
      </left>
      <right style="thick">
        <color indexed="51"/>
      </right>
      <top style="thick">
        <color indexed="51"/>
      </top>
      <bottom/>
      <diagonal/>
    </border>
    <border>
      <left style="thick">
        <color indexed="52"/>
      </left>
      <right style="thick">
        <color indexed="52"/>
      </right>
      <top style="thick">
        <color indexed="52"/>
      </top>
      <bottom/>
      <diagonal/>
    </border>
    <border>
      <left style="thick">
        <color indexed="53"/>
      </left>
      <right style="thick">
        <color indexed="53"/>
      </right>
      <top style="thick">
        <color indexed="5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22"/>
      </right>
      <top style="thick">
        <color indexed="22"/>
      </top>
      <bottom style="thick">
        <color indexed="22"/>
      </bottom>
      <diagonal/>
    </border>
    <border>
      <left style="thick">
        <color indexed="43"/>
      </left>
      <right style="thick">
        <color indexed="43"/>
      </right>
      <top/>
      <bottom style="thick">
        <color indexed="43"/>
      </bottom>
      <diagonal/>
    </border>
    <border>
      <left style="thick">
        <color indexed="43"/>
      </left>
      <right style="thick">
        <color indexed="43"/>
      </right>
      <top/>
      <bottom/>
      <diagonal/>
    </border>
    <border>
      <left style="thick">
        <color indexed="51"/>
      </left>
      <right style="thick">
        <color indexed="51"/>
      </right>
      <top/>
      <bottom/>
      <diagonal/>
    </border>
    <border>
      <left style="thick">
        <color indexed="52"/>
      </left>
      <right style="thick">
        <color indexed="52"/>
      </right>
      <top/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/>
      <right style="thick">
        <color indexed="52"/>
      </right>
      <top/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ck">
        <color indexed="22"/>
      </right>
      <top/>
      <bottom style="thick">
        <color indexed="22"/>
      </bottom>
      <diagonal/>
    </border>
    <border>
      <left style="medium">
        <color indexed="64"/>
      </left>
      <right style="thick">
        <color indexed="22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22"/>
      </right>
      <top style="medium">
        <color indexed="64"/>
      </top>
      <bottom/>
      <diagonal/>
    </border>
    <border>
      <left style="medium">
        <color indexed="64"/>
      </left>
      <right style="thick">
        <color indexed="22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43"/>
      </right>
      <top style="thick">
        <color indexed="43"/>
      </top>
      <bottom/>
      <diagonal/>
    </border>
    <border>
      <left style="thick">
        <color indexed="22"/>
      </left>
      <right style="thick">
        <color indexed="22"/>
      </right>
      <top style="thick">
        <color indexed="22"/>
      </top>
      <bottom/>
      <diagonal/>
    </border>
    <border>
      <left/>
      <right/>
      <top style="thick">
        <color indexed="22"/>
      </top>
      <bottom/>
      <diagonal/>
    </border>
    <border>
      <left style="thick">
        <color indexed="12"/>
      </left>
      <right/>
      <top style="thick">
        <color indexed="12"/>
      </top>
      <bottom/>
      <diagonal/>
    </border>
    <border>
      <left/>
      <right/>
      <top style="thick">
        <color indexed="12"/>
      </top>
      <bottom/>
      <diagonal/>
    </border>
    <border>
      <left/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/>
      <top/>
      <bottom/>
      <diagonal/>
    </border>
    <border>
      <left/>
      <right style="thick">
        <color indexed="12"/>
      </right>
      <top/>
      <bottom/>
      <diagonal/>
    </border>
    <border>
      <left style="thick">
        <color indexed="12"/>
      </left>
      <right/>
      <top/>
      <bottom style="thick">
        <color indexed="12"/>
      </bottom>
      <diagonal/>
    </border>
    <border>
      <left/>
      <right/>
      <top/>
      <bottom style="thick">
        <color indexed="12"/>
      </bottom>
      <diagonal/>
    </border>
    <border>
      <left/>
      <right style="thick">
        <color indexed="12"/>
      </right>
      <top/>
      <bottom style="thick">
        <color indexed="1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/>
      <top style="medium">
        <color indexed="12"/>
      </top>
      <bottom style="medium">
        <color indexed="12"/>
      </bottom>
      <diagonal/>
    </border>
    <border>
      <left/>
      <right/>
      <top style="medium">
        <color indexed="12"/>
      </top>
      <bottom style="medium">
        <color indexed="12"/>
      </bottom>
      <diagonal/>
    </border>
    <border>
      <left/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hair">
        <color indexed="64"/>
      </left>
      <right/>
      <top style="hair">
        <color indexed="64"/>
      </top>
      <bottom style="dotted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hair">
        <color indexed="64"/>
      </right>
      <top style="hair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22"/>
      </bottom>
      <diagonal/>
    </border>
    <border>
      <left/>
      <right style="thin">
        <color indexed="64"/>
      </right>
      <top style="medium">
        <color indexed="64"/>
      </top>
      <bottom style="thick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ck">
        <color rgb="FFFFCC99"/>
      </left>
      <right style="thick">
        <color rgb="FFFFCC99"/>
      </right>
      <top/>
      <bottom style="thick">
        <color rgb="FFFFCC99"/>
      </bottom>
      <diagonal/>
    </border>
    <border>
      <left style="thick">
        <color rgb="FFFFCC99"/>
      </left>
      <right style="thick">
        <color rgb="FFFFCC99"/>
      </right>
      <top style="thick">
        <color rgb="FFFFCC99"/>
      </top>
      <bottom style="thick">
        <color rgb="FFFFCC99"/>
      </bottom>
      <diagonal/>
    </border>
    <border>
      <left style="medium">
        <color indexed="64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medium">
        <color rgb="FF333333"/>
      </left>
      <right/>
      <top style="medium">
        <color rgb="FF333333"/>
      </top>
      <bottom/>
      <diagonal/>
    </border>
    <border>
      <left/>
      <right/>
      <top style="medium">
        <color rgb="FF333333"/>
      </top>
      <bottom/>
      <diagonal/>
    </border>
    <border>
      <left/>
      <right style="medium">
        <color rgb="FF333333"/>
      </right>
      <top style="medium">
        <color rgb="FF333333"/>
      </top>
      <bottom/>
      <diagonal/>
    </border>
    <border>
      <left style="medium">
        <color rgb="FF333333"/>
      </left>
      <right/>
      <top/>
      <bottom/>
      <diagonal/>
    </border>
    <border>
      <left/>
      <right style="medium">
        <color rgb="FF333333"/>
      </right>
      <top/>
      <bottom/>
      <diagonal/>
    </border>
    <border>
      <left/>
      <right/>
      <top/>
      <bottom style="medium">
        <color rgb="FF333333"/>
      </bottom>
      <diagonal/>
    </border>
    <border>
      <left/>
      <right style="medium">
        <color rgb="FF333333"/>
      </right>
      <top/>
      <bottom style="medium">
        <color rgb="FF333333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 style="thick">
        <color rgb="FF0000FF"/>
      </left>
      <right style="thick">
        <color rgb="FF0000FF"/>
      </right>
      <top style="thick">
        <color rgb="FF0000FF"/>
      </top>
      <bottom style="thick">
        <color rgb="FF0000FF"/>
      </bottom>
      <diagonal/>
    </border>
    <border>
      <left style="thin">
        <color rgb="FF008000"/>
      </left>
      <right style="thin">
        <color rgb="FF008000"/>
      </right>
      <top style="thin">
        <color rgb="FF008000"/>
      </top>
      <bottom style="thin">
        <color rgb="FF008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indexed="64"/>
      </bottom>
      <diagonal/>
    </border>
    <border>
      <left style="thick">
        <color rgb="FF0000FF"/>
      </left>
      <right style="thick">
        <color rgb="FF0000FF"/>
      </right>
      <top style="thick">
        <color rgb="FF0000FF"/>
      </top>
      <bottom style="thin">
        <color indexed="64"/>
      </bottom>
      <diagonal/>
    </border>
    <border>
      <left style="thick">
        <color rgb="FFFFCC99"/>
      </left>
      <right style="thick">
        <color rgb="FFFFCC99"/>
      </right>
      <top style="thick">
        <color rgb="FFFFCC99"/>
      </top>
      <bottom/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thin">
        <color indexed="64"/>
      </right>
      <top style="medium">
        <color rgb="FFC00000"/>
      </top>
      <bottom/>
      <diagonal/>
    </border>
    <border>
      <left style="thin">
        <color indexed="64"/>
      </left>
      <right/>
      <top style="medium">
        <color rgb="FFC00000"/>
      </top>
      <bottom style="medium">
        <color rgb="FFC00000"/>
      </bottom>
      <diagonal/>
    </border>
    <border>
      <left style="thick">
        <color rgb="FF0000FF"/>
      </left>
      <right/>
      <top style="thick">
        <color rgb="FF0000FF"/>
      </top>
      <bottom/>
      <diagonal/>
    </border>
    <border>
      <left/>
      <right/>
      <top style="thick">
        <color rgb="FF0000FF"/>
      </top>
      <bottom/>
      <diagonal/>
    </border>
    <border>
      <left/>
      <right style="thick">
        <color rgb="FF0000FF"/>
      </right>
      <top style="thick">
        <color rgb="FF0000FF"/>
      </top>
      <bottom/>
      <diagonal/>
    </border>
    <border>
      <left style="thick">
        <color rgb="FF0000FF"/>
      </left>
      <right/>
      <top/>
      <bottom/>
      <diagonal/>
    </border>
    <border>
      <left/>
      <right style="thick">
        <color rgb="FF0000FF"/>
      </right>
      <top/>
      <bottom/>
      <diagonal/>
    </border>
    <border>
      <left style="thick">
        <color rgb="FF0000FF"/>
      </left>
      <right/>
      <top/>
      <bottom style="thick">
        <color rgb="FF0000FF"/>
      </bottom>
      <diagonal/>
    </border>
    <border>
      <left/>
      <right/>
      <top/>
      <bottom style="thick">
        <color rgb="FF0000FF"/>
      </bottom>
      <diagonal/>
    </border>
    <border>
      <left/>
      <right style="thick">
        <color rgb="FF0000FF"/>
      </right>
      <top/>
      <bottom style="thick">
        <color rgb="FF0000FF"/>
      </bottom>
      <diagonal/>
    </border>
    <border>
      <left style="hair">
        <color indexed="64"/>
      </left>
      <right/>
      <top style="thick">
        <color rgb="FF00B050"/>
      </top>
      <bottom style="thin">
        <color indexed="64"/>
      </bottom>
      <diagonal/>
    </border>
    <border>
      <left style="medium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/>
      <top style="medium">
        <color rgb="FF0000FF"/>
      </top>
      <bottom style="medium">
        <color rgb="FF0000FF"/>
      </bottom>
      <diagonal/>
    </border>
    <border>
      <left/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thick">
        <color rgb="FFFFC000"/>
      </left>
      <right/>
      <top style="thick">
        <color rgb="FFFFC000"/>
      </top>
      <bottom/>
      <diagonal/>
    </border>
    <border>
      <left/>
      <right/>
      <top style="thick">
        <color rgb="FFFFC000"/>
      </top>
      <bottom/>
      <diagonal/>
    </border>
    <border>
      <left/>
      <right style="thick">
        <color rgb="FFFFC000"/>
      </right>
      <top style="thick">
        <color rgb="FFFFC000"/>
      </top>
      <bottom/>
      <diagonal/>
    </border>
    <border>
      <left style="thick">
        <color rgb="FFFFC000"/>
      </left>
      <right/>
      <top/>
      <bottom/>
      <diagonal/>
    </border>
    <border>
      <left/>
      <right style="thick">
        <color rgb="FFFFC000"/>
      </right>
      <top/>
      <bottom/>
      <diagonal/>
    </border>
    <border>
      <left style="thick">
        <color rgb="FFFFC000"/>
      </left>
      <right/>
      <top/>
      <bottom style="thick">
        <color rgb="FFFFC000"/>
      </bottom>
      <diagonal/>
    </border>
    <border>
      <left/>
      <right/>
      <top/>
      <bottom style="thick">
        <color rgb="FFFFC000"/>
      </bottom>
      <diagonal/>
    </border>
    <border>
      <left/>
      <right style="thick">
        <color rgb="FFFFC000"/>
      </right>
      <top/>
      <bottom style="thick">
        <color rgb="FFFFC000"/>
      </bottom>
      <diagonal/>
    </border>
    <border>
      <left style="medium">
        <color indexed="64"/>
      </left>
      <right style="thin">
        <color indexed="64"/>
      </right>
      <top style="thick">
        <color rgb="FF00B050"/>
      </top>
      <bottom style="thick">
        <color rgb="FF00B050"/>
      </bottom>
      <diagonal/>
    </border>
    <border>
      <left/>
      <right/>
      <top style="thick">
        <color rgb="FF00B050"/>
      </top>
      <bottom style="thick">
        <color rgb="FF00B050"/>
      </bottom>
      <diagonal/>
    </border>
    <border>
      <left style="thin">
        <color indexed="64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thick">
        <color rgb="FF00B050"/>
      </left>
      <right/>
      <top style="thick">
        <color rgb="FF00B050"/>
      </top>
      <bottom style="thick">
        <color rgb="FF00B050"/>
      </bottom>
      <diagonal/>
    </border>
    <border>
      <left/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medium">
        <color indexed="64"/>
      </left>
      <right/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/>
      <right style="medium">
        <color indexed="64"/>
      </right>
      <top/>
      <bottom style="thick">
        <color rgb="FF00B050"/>
      </bottom>
      <diagonal/>
    </border>
    <border>
      <left/>
      <right style="medium">
        <color indexed="64"/>
      </right>
      <top style="thick">
        <color rgb="FF00B050"/>
      </top>
      <bottom style="thick">
        <color rgb="FF00B050"/>
      </bottom>
      <diagonal/>
    </border>
    <border>
      <left style="medium">
        <color indexed="64"/>
      </left>
      <right/>
      <top style="thick">
        <color rgb="FF00B050"/>
      </top>
      <bottom style="thick">
        <color rgb="FF00B050"/>
      </bottom>
      <diagonal/>
    </border>
    <border>
      <left style="thin">
        <color indexed="64"/>
      </left>
      <right style="medium">
        <color indexed="64"/>
      </right>
      <top style="thick">
        <color rgb="FF00B050"/>
      </top>
      <bottom style="thick">
        <color rgb="FF00B050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ck">
        <color rgb="FF00B050"/>
      </left>
      <right style="medium">
        <color indexed="64"/>
      </right>
      <top style="thick">
        <color rgb="FF00B050"/>
      </top>
      <bottom style="thick">
        <color rgb="FF00B050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thick">
        <color indexed="22"/>
      </top>
      <bottom style="thick">
        <color indexed="22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ck">
        <color rgb="FF00B050"/>
      </left>
      <right style="medium">
        <color theme="1"/>
      </right>
      <top style="thick">
        <color rgb="FF00B050"/>
      </top>
      <bottom/>
      <diagonal/>
    </border>
    <border>
      <left style="thick">
        <color rgb="FF00B050"/>
      </left>
      <right style="medium">
        <color theme="1"/>
      </right>
      <top/>
      <bottom style="thick">
        <color rgb="FF00B050"/>
      </bottom>
      <diagonal/>
    </border>
    <border>
      <left/>
      <right style="thick">
        <color indexed="43"/>
      </right>
      <top/>
      <bottom/>
      <diagonal/>
    </border>
    <border>
      <left style="medium">
        <color theme="1"/>
      </left>
      <right/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/>
      <right style="medium">
        <color theme="1"/>
      </right>
      <top style="thick">
        <color rgb="FF00B050"/>
      </top>
      <bottom/>
      <diagonal/>
    </border>
    <border>
      <left style="medium">
        <color theme="1"/>
      </left>
      <right/>
      <top/>
      <bottom style="thick">
        <color rgb="FF00B050"/>
      </bottom>
      <diagonal/>
    </border>
    <border>
      <left/>
      <right style="medium">
        <color theme="1"/>
      </right>
      <top/>
      <bottom style="thick">
        <color rgb="FF00B050"/>
      </bottom>
      <diagonal/>
    </border>
    <border>
      <left style="thick">
        <color rgb="FFFFCC99"/>
      </left>
      <right style="thick">
        <color rgb="FFFFCC99"/>
      </right>
      <top/>
      <bottom/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/>
      <right style="thick">
        <color indexed="22"/>
      </right>
      <top style="thick">
        <color indexed="22"/>
      </top>
      <bottom/>
      <diagonal/>
    </border>
    <border>
      <left/>
      <right/>
      <top/>
      <bottom style="thick">
        <color indexed="22"/>
      </bottom>
      <diagonal/>
    </border>
    <border>
      <left/>
      <right/>
      <top style="medium">
        <color indexed="64"/>
      </top>
      <bottom style="thick">
        <color indexed="22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 style="thick">
        <color rgb="FFC00000"/>
      </right>
      <top/>
      <bottom style="thick">
        <color rgb="FFC00000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</cellStyleXfs>
  <cellXfs count="2141"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0" fontId="0" fillId="2" borderId="0" xfId="0" applyFill="1" applyBorder="1"/>
    <xf numFmtId="0" fontId="0" fillId="0" borderId="0" xfId="0" applyFill="1" applyBorder="1"/>
    <xf numFmtId="0" fontId="0" fillId="0" borderId="1" xfId="0" applyBorder="1"/>
    <xf numFmtId="0" fontId="0" fillId="0" borderId="1" xfId="0" applyFill="1" applyBorder="1"/>
    <xf numFmtId="0" fontId="0" fillId="0" borderId="0" xfId="0" applyFill="1"/>
    <xf numFmtId="0" fontId="0" fillId="0" borderId="0" xfId="0" applyProtection="1">
      <protection locked="0"/>
    </xf>
    <xf numFmtId="0" fontId="0" fillId="2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/>
    <xf numFmtId="172" fontId="0" fillId="3" borderId="2" xfId="0" applyNumberFormat="1" applyFill="1" applyBorder="1" applyAlignment="1">
      <alignment horizontal="center"/>
    </xf>
    <xf numFmtId="0" fontId="0" fillId="4" borderId="0" xfId="0" applyFill="1"/>
    <xf numFmtId="0" fontId="0" fillId="0" borderId="0" xfId="0" applyFill="1" applyAlignment="1">
      <alignment horizontal="right"/>
    </xf>
    <xf numFmtId="0" fontId="9" fillId="4" borderId="0" xfId="0" applyFont="1" applyFill="1"/>
    <xf numFmtId="0" fontId="0" fillId="2" borderId="1" xfId="0" applyFill="1" applyBorder="1"/>
    <xf numFmtId="0" fontId="0" fillId="2" borderId="3" xfId="0" applyFill="1" applyBorder="1"/>
    <xf numFmtId="0" fontId="0" fillId="0" borderId="3" xfId="0" applyFill="1" applyBorder="1"/>
    <xf numFmtId="0" fontId="0" fillId="0" borderId="3" xfId="0" applyBorder="1"/>
    <xf numFmtId="0" fontId="0" fillId="0" borderId="0" xfId="0" applyProtection="1"/>
    <xf numFmtId="0" fontId="5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 vertical="center" wrapText="1"/>
    </xf>
    <xf numFmtId="0" fontId="5" fillId="0" borderId="0" xfId="0" applyFont="1" applyAlignment="1" applyProtection="1">
      <alignment horizontal="center" vertical="center" wrapText="1"/>
    </xf>
    <xf numFmtId="0" fontId="0" fillId="0" borderId="0" xfId="0" applyFill="1" applyBorder="1" applyProtection="1"/>
    <xf numFmtId="0" fontId="0" fillId="0" borderId="0" xfId="0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6" fillId="5" borderId="4" xfId="0" applyFont="1" applyFill="1" applyBorder="1" applyAlignment="1" applyProtection="1">
      <alignment horizontal="left" vertical="center"/>
    </xf>
    <xf numFmtId="0" fontId="6" fillId="5" borderId="5" xfId="0" applyFont="1" applyFill="1" applyBorder="1" applyAlignment="1" applyProtection="1">
      <alignment horizontal="left" vertical="center"/>
    </xf>
    <xf numFmtId="0" fontId="6" fillId="3" borderId="6" xfId="0" applyFont="1" applyFill="1" applyBorder="1" applyAlignment="1" applyProtection="1">
      <alignment horizontal="left" vertical="center"/>
    </xf>
    <xf numFmtId="0" fontId="0" fillId="6" borderId="0" xfId="0" applyFill="1" applyAlignment="1" applyProtection="1">
      <alignment horizontal="right"/>
    </xf>
    <xf numFmtId="0" fontId="5" fillId="5" borderId="4" xfId="0" applyFont="1" applyFill="1" applyBorder="1" applyAlignment="1" applyProtection="1">
      <alignment horizontal="left" vertical="center"/>
    </xf>
    <xf numFmtId="0" fontId="5" fillId="5" borderId="5" xfId="0" applyFont="1" applyFill="1" applyBorder="1" applyAlignment="1" applyProtection="1">
      <alignment horizontal="left" vertical="center"/>
    </xf>
    <xf numFmtId="0" fontId="0" fillId="0" borderId="0" xfId="0" applyBorder="1" applyProtection="1"/>
    <xf numFmtId="0" fontId="29" fillId="0" borderId="0" xfId="0" applyFont="1" applyAlignment="1" applyProtection="1">
      <alignment horizontal="left"/>
    </xf>
    <xf numFmtId="0" fontId="0" fillId="6" borderId="0" xfId="0" applyFill="1" applyAlignment="1" applyProtection="1">
      <alignment horizontal="left"/>
    </xf>
    <xf numFmtId="0" fontId="14" fillId="0" borderId="0" xfId="0" applyFont="1" applyBorder="1"/>
    <xf numFmtId="0" fontId="0" fillId="2" borderId="0" xfId="0" applyFill="1" applyBorder="1" applyAlignment="1"/>
    <xf numFmtId="0" fontId="0" fillId="5" borderId="0" xfId="0" applyFill="1" applyAlignment="1" applyProtection="1">
      <alignment horizontal="left"/>
    </xf>
    <xf numFmtId="0" fontId="32" fillId="6" borderId="0" xfId="0" applyFont="1" applyFill="1" applyAlignment="1" applyProtection="1">
      <alignment horizontal="left"/>
    </xf>
    <xf numFmtId="0" fontId="8" fillId="6" borderId="0" xfId="0" applyFont="1" applyFill="1" applyAlignment="1" applyProtection="1">
      <alignment horizontal="left"/>
    </xf>
    <xf numFmtId="0" fontId="0" fillId="0" borderId="7" xfId="0" applyFill="1" applyBorder="1" applyAlignment="1" applyProtection="1">
      <alignment horizontal="left"/>
    </xf>
    <xf numFmtId="0" fontId="0" fillId="0" borderId="8" xfId="0" applyFill="1" applyBorder="1" applyAlignment="1" applyProtection="1">
      <alignment horizontal="left"/>
    </xf>
    <xf numFmtId="0" fontId="0" fillId="0" borderId="9" xfId="0" applyFill="1" applyBorder="1" applyAlignment="1" applyProtection="1">
      <alignment horizontal="left"/>
    </xf>
    <xf numFmtId="0" fontId="0" fillId="0" borderId="10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left"/>
    </xf>
    <xf numFmtId="0" fontId="0" fillId="0" borderId="11" xfId="0" applyFill="1" applyBorder="1" applyAlignment="1" applyProtection="1">
      <alignment horizontal="left"/>
    </xf>
    <xf numFmtId="0" fontId="29" fillId="6" borderId="0" xfId="0" applyFont="1" applyFill="1" applyAlignment="1" applyProtection="1">
      <alignment horizontal="left"/>
    </xf>
    <xf numFmtId="0" fontId="0" fillId="0" borderId="12" xfId="0" applyFill="1" applyBorder="1" applyAlignment="1" applyProtection="1">
      <alignment horizontal="left"/>
    </xf>
    <xf numFmtId="0" fontId="0" fillId="0" borderId="13" xfId="0" applyFill="1" applyBorder="1" applyAlignment="1" applyProtection="1">
      <alignment horizontal="left"/>
    </xf>
    <xf numFmtId="0" fontId="0" fillId="0" borderId="14" xfId="0" applyFill="1" applyBorder="1" applyAlignment="1" applyProtection="1">
      <alignment horizontal="left"/>
    </xf>
    <xf numFmtId="0" fontId="26" fillId="6" borderId="0" xfId="0" applyFont="1" applyFill="1" applyAlignment="1" applyProtection="1">
      <alignment horizontal="left" wrapText="1"/>
    </xf>
    <xf numFmtId="0" fontId="26" fillId="0" borderId="0" xfId="0" applyFont="1" applyFill="1" applyAlignment="1" applyProtection="1">
      <alignment horizontal="left" wrapText="1"/>
    </xf>
    <xf numFmtId="0" fontId="8" fillId="0" borderId="0" xfId="0" applyFont="1" applyAlignment="1" applyProtection="1">
      <alignment horizontal="left"/>
    </xf>
    <xf numFmtId="0" fontId="0" fillId="2" borderId="0" xfId="0" applyFill="1" applyAlignment="1" applyProtection="1">
      <alignment horizontal="left"/>
    </xf>
    <xf numFmtId="0" fontId="29" fillId="2" borderId="0" xfId="0" applyFont="1" applyFill="1" applyAlignment="1" applyProtection="1">
      <alignment horizontal="left"/>
    </xf>
    <xf numFmtId="0" fontId="8" fillId="0" borderId="0" xfId="0" applyFont="1" applyFill="1" applyAlignment="1" applyProtection="1">
      <alignment horizontal="left"/>
    </xf>
    <xf numFmtId="0" fontId="28" fillId="0" borderId="0" xfId="0" applyFont="1" applyAlignment="1" applyProtection="1">
      <alignment horizontal="left"/>
    </xf>
    <xf numFmtId="0" fontId="35" fillId="0" borderId="0" xfId="0" applyFont="1" applyAlignment="1" applyProtection="1">
      <alignment horizontal="left"/>
    </xf>
    <xf numFmtId="0" fontId="35" fillId="0" borderId="0" xfId="0" applyFont="1" applyAlignment="1" applyProtection="1">
      <alignment horizontal="right"/>
    </xf>
    <xf numFmtId="0" fontId="4" fillId="0" borderId="0" xfId="0" applyFont="1" applyAlignment="1" applyProtection="1">
      <alignment horizontal="left"/>
    </xf>
    <xf numFmtId="0" fontId="0" fillId="0" borderId="0" xfId="0" applyAlignment="1" applyProtection="1">
      <alignment horizontal="left" vertical="center"/>
    </xf>
    <xf numFmtId="168" fontId="0" fillId="0" borderId="0" xfId="0" applyNumberFormat="1" applyAlignment="1" applyProtection="1">
      <alignment horizontal="center" vertical="center"/>
    </xf>
    <xf numFmtId="49" fontId="0" fillId="0" borderId="0" xfId="0" applyNumberFormat="1" applyAlignment="1" applyProtection="1">
      <alignment horizontal="left"/>
    </xf>
    <xf numFmtId="49" fontId="0" fillId="0" borderId="0" xfId="0" applyNumberFormat="1" applyAlignment="1" applyProtection="1">
      <alignment horizontal="left" vertical="center"/>
    </xf>
    <xf numFmtId="0" fontId="28" fillId="0" borderId="0" xfId="0" applyFont="1" applyAlignment="1" applyProtection="1">
      <alignment horizontal="left" vertical="center"/>
    </xf>
    <xf numFmtId="0" fontId="33" fillId="0" borderId="0" xfId="2" applyFont="1" applyFill="1" applyBorder="1" applyAlignment="1" applyProtection="1">
      <alignment horizontal="center" vertical="center" textRotation="90"/>
    </xf>
    <xf numFmtId="0" fontId="9" fillId="0" borderId="0" xfId="0" applyFont="1" applyAlignment="1" applyProtection="1">
      <alignment horizontal="left"/>
    </xf>
    <xf numFmtId="0" fontId="32" fillId="0" borderId="0" xfId="0" applyFont="1" applyAlignment="1" applyProtection="1">
      <alignment horizontal="left"/>
    </xf>
    <xf numFmtId="0" fontId="34" fillId="0" borderId="0" xfId="0" applyFont="1" applyAlignment="1" applyProtection="1">
      <alignment horizontal="left"/>
    </xf>
    <xf numFmtId="0" fontId="0" fillId="0" borderId="0" xfId="0" applyFill="1" applyAlignment="1" applyProtection="1">
      <alignment horizontal="left"/>
      <protection locked="0"/>
    </xf>
    <xf numFmtId="0" fontId="0" fillId="0" borderId="0" xfId="0" applyFill="1" applyProtection="1">
      <protection locked="0"/>
    </xf>
    <xf numFmtId="0" fontId="0" fillId="4" borderId="0" xfId="0" applyFill="1" applyProtection="1"/>
    <xf numFmtId="0" fontId="0" fillId="4" borderId="0" xfId="0" applyFill="1" applyBorder="1" applyProtection="1"/>
    <xf numFmtId="0" fontId="0" fillId="0" borderId="1" xfId="0" applyFill="1" applyBorder="1" applyProtection="1"/>
    <xf numFmtId="0" fontId="0" fillId="0" borderId="3" xfId="0" applyFill="1" applyBorder="1" applyProtection="1"/>
    <xf numFmtId="0" fontId="0" fillId="7" borderId="0" xfId="0" applyFill="1" applyBorder="1" applyProtection="1"/>
    <xf numFmtId="0" fontId="0" fillId="4" borderId="0" xfId="0" applyFill="1" applyBorder="1" applyAlignment="1" applyProtection="1"/>
    <xf numFmtId="0" fontId="42" fillId="4" borderId="0" xfId="0" applyFont="1" applyFill="1" applyBorder="1" applyAlignment="1" applyProtection="1">
      <alignment horizontal="right"/>
    </xf>
    <xf numFmtId="0" fontId="2" fillId="4" borderId="0" xfId="0" applyFont="1" applyFill="1" applyBorder="1" applyProtection="1"/>
    <xf numFmtId="0" fontId="0" fillId="4" borderId="5" xfId="0" applyFill="1" applyBorder="1" applyProtection="1"/>
    <xf numFmtId="0" fontId="0" fillId="4" borderId="5" xfId="0" applyFill="1" applyBorder="1" applyAlignment="1" applyProtection="1"/>
    <xf numFmtId="0" fontId="42" fillId="4" borderId="5" xfId="0" applyFont="1" applyFill="1" applyBorder="1" applyAlignment="1" applyProtection="1">
      <alignment horizontal="right"/>
    </xf>
    <xf numFmtId="0" fontId="2" fillId="4" borderId="5" xfId="0" applyFont="1" applyFill="1" applyBorder="1" applyProtection="1"/>
    <xf numFmtId="0" fontId="0" fillId="7" borderId="0" xfId="0" applyFill="1" applyBorder="1" applyAlignment="1" applyProtection="1"/>
    <xf numFmtId="0" fontId="25" fillId="7" borderId="15" xfId="0" applyFont="1" applyFill="1" applyBorder="1" applyProtection="1"/>
    <xf numFmtId="0" fontId="0" fillId="7" borderId="16" xfId="0" applyFill="1" applyBorder="1" applyProtection="1"/>
    <xf numFmtId="0" fontId="0" fillId="7" borderId="16" xfId="0" applyFill="1" applyBorder="1" applyAlignment="1" applyProtection="1"/>
    <xf numFmtId="0" fontId="0" fillId="7" borderId="17" xfId="0" applyFill="1" applyBorder="1" applyAlignment="1" applyProtection="1">
      <alignment horizontal="center"/>
    </xf>
    <xf numFmtId="0" fontId="42" fillId="7" borderId="16" xfId="0" applyFont="1" applyFill="1" applyBorder="1" applyAlignment="1" applyProtection="1">
      <alignment horizontal="right"/>
    </xf>
    <xf numFmtId="0" fontId="2" fillId="4" borderId="18" xfId="0" applyFont="1" applyFill="1" applyBorder="1" applyProtection="1"/>
    <xf numFmtId="0" fontId="8" fillId="4" borderId="0" xfId="0" applyFont="1" applyFill="1" applyBorder="1" applyAlignment="1" applyProtection="1">
      <alignment horizontal="center"/>
    </xf>
    <xf numFmtId="0" fontId="0" fillId="7" borderId="0" xfId="0" applyFill="1" applyBorder="1" applyAlignment="1" applyProtection="1">
      <alignment horizontal="right"/>
    </xf>
    <xf numFmtId="0" fontId="25" fillId="7" borderId="0" xfId="0" applyFont="1" applyFill="1" applyBorder="1" applyProtection="1"/>
    <xf numFmtId="0" fontId="2" fillId="7" borderId="0" xfId="0" applyFont="1" applyFill="1" applyBorder="1" applyProtection="1"/>
    <xf numFmtId="0" fontId="4" fillId="4" borderId="0" xfId="0" applyFont="1" applyFill="1" applyBorder="1" applyAlignment="1" applyProtection="1">
      <alignment horizontal="center"/>
    </xf>
    <xf numFmtId="0" fontId="2" fillId="4" borderId="4" xfId="0" applyFont="1" applyFill="1" applyBorder="1" applyProtection="1"/>
    <xf numFmtId="0" fontId="2" fillId="4" borderId="19" xfId="0" applyFont="1" applyFill="1" applyBorder="1" applyProtection="1"/>
    <xf numFmtId="0" fontId="2" fillId="4" borderId="1" xfId="0" applyFont="1" applyFill="1" applyBorder="1" applyProtection="1"/>
    <xf numFmtId="0" fontId="2" fillId="4" borderId="3" xfId="0" applyFont="1" applyFill="1" applyBorder="1" applyProtection="1"/>
    <xf numFmtId="0" fontId="25" fillId="3" borderId="3" xfId="0" applyFont="1" applyFill="1" applyBorder="1" applyProtection="1"/>
    <xf numFmtId="0" fontId="25" fillId="3" borderId="20" xfId="0" applyFont="1" applyFill="1" applyBorder="1" applyProtection="1"/>
    <xf numFmtId="0" fontId="0" fillId="4" borderId="21" xfId="0" applyFill="1" applyBorder="1" applyProtection="1"/>
    <xf numFmtId="0" fontId="0" fillId="4" borderId="21" xfId="0" applyFill="1" applyBorder="1" applyAlignment="1" applyProtection="1"/>
    <xf numFmtId="0" fontId="42" fillId="4" borderId="21" xfId="0" applyFont="1" applyFill="1" applyBorder="1" applyAlignment="1" applyProtection="1">
      <alignment horizontal="right"/>
    </xf>
    <xf numFmtId="0" fontId="2" fillId="4" borderId="21" xfId="0" applyFont="1" applyFill="1" applyBorder="1" applyProtection="1"/>
    <xf numFmtId="0" fontId="2" fillId="4" borderId="22" xfId="0" applyFont="1" applyFill="1" applyBorder="1" applyProtection="1"/>
    <xf numFmtId="0" fontId="2" fillId="4" borderId="23" xfId="0" applyFont="1" applyFill="1" applyBorder="1" applyProtection="1"/>
    <xf numFmtId="0" fontId="0" fillId="4" borderId="24" xfId="0" applyFill="1" applyBorder="1" applyProtection="1"/>
    <xf numFmtId="0" fontId="0" fillId="4" borderId="24" xfId="0" applyFill="1" applyBorder="1" applyAlignment="1" applyProtection="1"/>
    <xf numFmtId="0" fontId="42" fillId="4" borderId="24" xfId="0" applyFont="1" applyFill="1" applyBorder="1" applyAlignment="1" applyProtection="1">
      <alignment horizontal="right"/>
    </xf>
    <xf numFmtId="0" fontId="2" fillId="4" borderId="24" xfId="0" applyFont="1" applyFill="1" applyBorder="1" applyProtection="1"/>
    <xf numFmtId="0" fontId="2" fillId="4" borderId="25" xfId="0" applyFont="1" applyFill="1" applyBorder="1" applyProtection="1"/>
    <xf numFmtId="0" fontId="2" fillId="4" borderId="26" xfId="0" applyFont="1" applyFill="1" applyBorder="1" applyProtection="1"/>
    <xf numFmtId="0" fontId="0" fillId="4" borderId="27" xfId="0" applyFill="1" applyBorder="1" applyProtection="1"/>
    <xf numFmtId="0" fontId="0" fillId="4" borderId="28" xfId="0" applyFill="1" applyBorder="1" applyProtection="1"/>
    <xf numFmtId="0" fontId="8" fillId="4" borderId="0" xfId="0" applyFont="1" applyFill="1" applyBorder="1" applyAlignment="1" applyProtection="1">
      <alignment horizontal="center" textRotation="90" wrapText="1"/>
    </xf>
    <xf numFmtId="0" fontId="0" fillId="4" borderId="29" xfId="0" applyFill="1" applyBorder="1" applyProtection="1"/>
    <xf numFmtId="0" fontId="0" fillId="4" borderId="30" xfId="0" applyFill="1" applyBorder="1" applyProtection="1"/>
    <xf numFmtId="0" fontId="0" fillId="4" borderId="31" xfId="0" applyFill="1" applyBorder="1" applyProtection="1"/>
    <xf numFmtId="0" fontId="0" fillId="4" borderId="32" xfId="0" applyFill="1" applyBorder="1" applyProtection="1"/>
    <xf numFmtId="0" fontId="0" fillId="4" borderId="33" xfId="0" applyFill="1" applyBorder="1" applyProtection="1"/>
    <xf numFmtId="0" fontId="0" fillId="4" borderId="34" xfId="0" applyFill="1" applyBorder="1" applyProtection="1"/>
    <xf numFmtId="0" fontId="7" fillId="7" borderId="0" xfId="0" applyFont="1" applyFill="1" applyBorder="1" applyProtection="1"/>
    <xf numFmtId="0" fontId="8" fillId="7" borderId="35" xfId="0" applyFont="1" applyFill="1" applyBorder="1" applyAlignment="1" applyProtection="1">
      <alignment textRotation="90" wrapText="1"/>
    </xf>
    <xf numFmtId="0" fontId="8" fillId="7" borderId="6" xfId="0" applyFont="1" applyFill="1" applyBorder="1" applyAlignment="1" applyProtection="1">
      <alignment textRotation="90" wrapText="1"/>
    </xf>
    <xf numFmtId="0" fontId="8" fillId="7" borderId="20" xfId="0" applyFont="1" applyFill="1" applyBorder="1" applyAlignment="1" applyProtection="1">
      <alignment textRotation="90" wrapText="1"/>
    </xf>
    <xf numFmtId="0" fontId="8" fillId="4" borderId="0" xfId="0" applyFont="1" applyFill="1" applyBorder="1" applyAlignment="1" applyProtection="1">
      <alignment vertical="center" wrapText="1"/>
    </xf>
    <xf numFmtId="172" fontId="0" fillId="3" borderId="3" xfId="0" applyNumberFormat="1" applyFill="1" applyBorder="1" applyAlignment="1" applyProtection="1">
      <alignment horizontal="center"/>
    </xf>
    <xf numFmtId="0" fontId="0" fillId="7" borderId="0" xfId="0" quotePrefix="1" applyFill="1" applyBorder="1" applyProtection="1"/>
    <xf numFmtId="0" fontId="2" fillId="0" borderId="0" xfId="0" quotePrefix="1" applyFont="1" applyAlignment="1" applyProtection="1">
      <alignment horizontal="left"/>
    </xf>
    <xf numFmtId="0" fontId="8" fillId="0" borderId="0" xfId="0" quotePrefix="1" applyFont="1" applyAlignment="1" applyProtection="1">
      <alignment horizontal="left"/>
    </xf>
    <xf numFmtId="0" fontId="47" fillId="0" borderId="0" xfId="0" applyFont="1" applyAlignment="1" applyProtection="1">
      <alignment horizontal="left"/>
    </xf>
    <xf numFmtId="0" fontId="2" fillId="8" borderId="0" xfId="0" applyFont="1" applyFill="1" applyProtection="1"/>
    <xf numFmtId="185" fontId="0" fillId="0" borderId="0" xfId="0" applyNumberFormat="1" applyProtection="1"/>
    <xf numFmtId="3" fontId="0" fillId="0" borderId="0" xfId="0" applyNumberFormat="1" applyProtection="1"/>
    <xf numFmtId="172" fontId="0" fillId="0" borderId="0" xfId="0" applyNumberFormat="1" applyProtection="1"/>
    <xf numFmtId="169" fontId="0" fillId="0" borderId="0" xfId="0" applyNumberFormat="1" applyProtection="1"/>
    <xf numFmtId="0" fontId="0" fillId="4" borderId="0" xfId="0" applyFill="1" applyProtection="1">
      <protection locked="0"/>
    </xf>
    <xf numFmtId="0" fontId="7" fillId="4" borderId="0" xfId="0" applyFont="1" applyFill="1" applyBorder="1" applyProtection="1"/>
    <xf numFmtId="0" fontId="7" fillId="7" borderId="0" xfId="0" applyFont="1" applyFill="1" applyBorder="1" applyAlignment="1" applyProtection="1">
      <alignment vertical="center"/>
    </xf>
    <xf numFmtId="0" fontId="25" fillId="7" borderId="0" xfId="0" applyFont="1" applyFill="1" applyBorder="1" applyAlignment="1" applyProtection="1">
      <alignment vertical="center"/>
    </xf>
    <xf numFmtId="0" fontId="0" fillId="7" borderId="0" xfId="0" applyFill="1" applyBorder="1" applyAlignment="1" applyProtection="1">
      <alignment vertical="center"/>
    </xf>
    <xf numFmtId="0" fontId="2" fillId="7" borderId="0" xfId="0" applyFont="1" applyFill="1" applyBorder="1" applyAlignment="1" applyProtection="1">
      <alignment vertical="center"/>
    </xf>
    <xf numFmtId="0" fontId="2" fillId="4" borderId="0" xfId="0" applyFont="1" applyFill="1" applyBorder="1" applyAlignment="1" applyProtection="1">
      <alignment vertical="center"/>
    </xf>
    <xf numFmtId="0" fontId="4" fillId="4" borderId="0" xfId="0" applyFont="1" applyFill="1" applyBorder="1" applyAlignment="1" applyProtection="1">
      <alignment horizontal="center" vertical="center"/>
    </xf>
    <xf numFmtId="0" fontId="2" fillId="4" borderId="3" xfId="0" applyFont="1" applyFill="1" applyBorder="1" applyAlignment="1" applyProtection="1">
      <alignment vertical="center"/>
    </xf>
    <xf numFmtId="0" fontId="0" fillId="4" borderId="21" xfId="0" applyFill="1" applyBorder="1" applyAlignment="1" applyProtection="1">
      <alignment vertical="center"/>
    </xf>
    <xf numFmtId="0" fontId="42" fillId="4" borderId="21" xfId="0" applyFont="1" applyFill="1" applyBorder="1" applyAlignment="1" applyProtection="1">
      <alignment horizontal="right" vertical="center"/>
    </xf>
    <xf numFmtId="0" fontId="2" fillId="4" borderId="21" xfId="0" applyFont="1" applyFill="1" applyBorder="1" applyAlignment="1" applyProtection="1">
      <alignment vertical="center"/>
    </xf>
    <xf numFmtId="0" fontId="2" fillId="4" borderId="23" xfId="0" applyFont="1" applyFill="1" applyBorder="1" applyAlignment="1" applyProtection="1">
      <alignment vertical="center"/>
    </xf>
    <xf numFmtId="0" fontId="0" fillId="4" borderId="24" xfId="0" applyFill="1" applyBorder="1" applyAlignment="1" applyProtection="1">
      <alignment vertical="center"/>
    </xf>
    <xf numFmtId="0" fontId="42" fillId="4" borderId="24" xfId="0" applyFont="1" applyFill="1" applyBorder="1" applyAlignment="1" applyProtection="1">
      <alignment horizontal="right" vertical="center"/>
    </xf>
    <xf numFmtId="0" fontId="2" fillId="4" borderId="24" xfId="0" applyFont="1" applyFill="1" applyBorder="1" applyAlignment="1" applyProtection="1">
      <alignment vertical="center"/>
    </xf>
    <xf numFmtId="0" fontId="2" fillId="4" borderId="26" xfId="0" applyFont="1" applyFill="1" applyBorder="1" applyAlignment="1" applyProtection="1">
      <alignment vertical="center"/>
    </xf>
    <xf numFmtId="0" fontId="25" fillId="3" borderId="3" xfId="0" applyFont="1" applyFill="1" applyBorder="1" applyAlignment="1" applyProtection="1">
      <alignment vertical="center"/>
    </xf>
    <xf numFmtId="0" fontId="0" fillId="4" borderId="0" xfId="0" applyFill="1" applyBorder="1" applyAlignment="1" applyProtection="1">
      <alignment vertical="center"/>
    </xf>
    <xf numFmtId="0" fontId="48" fillId="4" borderId="0" xfId="0" applyFont="1" applyFill="1" applyBorder="1" applyAlignment="1" applyProtection="1">
      <alignment vertical="center"/>
    </xf>
    <xf numFmtId="0" fontId="49" fillId="4" borderId="0" xfId="0" applyFont="1" applyFill="1" applyBorder="1" applyAlignment="1" applyProtection="1">
      <alignment horizontal="right" vertical="center"/>
    </xf>
    <xf numFmtId="0" fontId="50" fillId="4" borderId="0" xfId="0" applyFont="1" applyFill="1" applyBorder="1" applyAlignment="1" applyProtection="1">
      <alignment vertical="center"/>
    </xf>
    <xf numFmtId="0" fontId="42" fillId="4" borderId="0" xfId="0" applyFont="1" applyFill="1" applyBorder="1" applyAlignment="1" applyProtection="1">
      <alignment horizontal="right" vertical="center"/>
    </xf>
    <xf numFmtId="0" fontId="42" fillId="7" borderId="0" xfId="0" applyFont="1" applyFill="1" applyBorder="1" applyAlignment="1" applyProtection="1">
      <alignment horizontal="right" vertical="center"/>
    </xf>
    <xf numFmtId="0" fontId="25" fillId="7" borderId="3" xfId="0" applyFont="1" applyFill="1" applyBorder="1" applyAlignment="1" applyProtection="1">
      <alignment vertical="center"/>
    </xf>
    <xf numFmtId="0" fontId="51" fillId="7" borderId="0" xfId="0" applyFont="1" applyFill="1" applyBorder="1" applyAlignment="1" applyProtection="1">
      <alignment vertical="center"/>
    </xf>
    <xf numFmtId="0" fontId="25" fillId="4" borderId="0" xfId="0" applyFont="1" applyFill="1" applyBorder="1" applyAlignment="1" applyProtection="1">
      <alignment vertical="center"/>
    </xf>
    <xf numFmtId="0" fontId="48" fillId="4" borderId="0" xfId="0" applyFont="1" applyFill="1" applyBorder="1" applyAlignment="1" applyProtection="1">
      <alignment horizontal="right" vertical="center"/>
    </xf>
    <xf numFmtId="0" fontId="2" fillId="4" borderId="1" xfId="0" applyFont="1" applyFill="1" applyBorder="1" applyAlignment="1" applyProtection="1">
      <alignment vertical="center"/>
    </xf>
    <xf numFmtId="0" fontId="2" fillId="4" borderId="22" xfId="0" applyFont="1" applyFill="1" applyBorder="1" applyAlignment="1" applyProtection="1">
      <alignment vertical="center"/>
    </xf>
    <xf numFmtId="0" fontId="2" fillId="4" borderId="25" xfId="0" applyFont="1" applyFill="1" applyBorder="1" applyAlignment="1" applyProtection="1">
      <alignment vertical="center"/>
    </xf>
    <xf numFmtId="0" fontId="2" fillId="4" borderId="35" xfId="0" applyFont="1" applyFill="1" applyBorder="1" applyAlignment="1" applyProtection="1">
      <alignment vertical="center"/>
    </xf>
    <xf numFmtId="0" fontId="2" fillId="4" borderId="6" xfId="0" applyFont="1" applyFill="1" applyBorder="1" applyAlignment="1" applyProtection="1">
      <alignment vertical="center"/>
    </xf>
    <xf numFmtId="0" fontId="2" fillId="4" borderId="20" xfId="0" applyFont="1" applyFill="1" applyBorder="1" applyAlignment="1" applyProtection="1">
      <alignment vertical="center"/>
    </xf>
    <xf numFmtId="0" fontId="25" fillId="4" borderId="0" xfId="0" applyFont="1" applyFill="1" applyBorder="1" applyProtection="1"/>
    <xf numFmtId="0" fontId="25" fillId="3" borderId="0" xfId="0" applyFont="1" applyFill="1" applyBorder="1" applyProtection="1"/>
    <xf numFmtId="181" fontId="7" fillId="7" borderId="0" xfId="0" applyNumberFormat="1" applyFont="1" applyFill="1" applyBorder="1" applyAlignment="1" applyProtection="1">
      <alignment horizontal="center" vertical="center"/>
    </xf>
    <xf numFmtId="0" fontId="0" fillId="4" borderId="6" xfId="0" applyFill="1" applyBorder="1" applyAlignment="1" applyProtection="1">
      <alignment vertical="center"/>
    </xf>
    <xf numFmtId="0" fontId="42" fillId="4" borderId="6" xfId="0" applyFont="1" applyFill="1" applyBorder="1" applyAlignment="1" applyProtection="1">
      <alignment horizontal="right" vertical="center"/>
    </xf>
    <xf numFmtId="0" fontId="0" fillId="4" borderId="5" xfId="0" applyFill="1" applyBorder="1" applyAlignment="1" applyProtection="1">
      <alignment vertical="center"/>
    </xf>
    <xf numFmtId="0" fontId="42" fillId="4" borderId="5" xfId="0" applyFont="1" applyFill="1" applyBorder="1" applyAlignment="1" applyProtection="1">
      <alignment horizontal="right" vertical="center"/>
    </xf>
    <xf numFmtId="0" fontId="2" fillId="4" borderId="5" xfId="0" applyFont="1" applyFill="1" applyBorder="1" applyAlignment="1" applyProtection="1">
      <alignment vertical="center"/>
    </xf>
    <xf numFmtId="0" fontId="2" fillId="4" borderId="19" xfId="0" applyFont="1" applyFill="1" applyBorder="1" applyAlignment="1" applyProtection="1">
      <alignment vertical="center"/>
    </xf>
    <xf numFmtId="0" fontId="25" fillId="4" borderId="3" xfId="0" applyFont="1" applyFill="1" applyBorder="1" applyAlignment="1" applyProtection="1">
      <alignment vertical="center"/>
    </xf>
    <xf numFmtId="0" fontId="25" fillId="4" borderId="29" xfId="0" applyFont="1" applyFill="1" applyBorder="1" applyProtection="1"/>
    <xf numFmtId="0" fontId="25" fillId="4" borderId="30" xfId="0" applyFont="1" applyFill="1" applyBorder="1" applyProtection="1"/>
    <xf numFmtId="0" fontId="25" fillId="4" borderId="31" xfId="0" applyFont="1" applyFill="1" applyBorder="1" applyProtection="1"/>
    <xf numFmtId="0" fontId="25" fillId="4" borderId="27" xfId="0" applyFont="1" applyFill="1" applyBorder="1" applyProtection="1"/>
    <xf numFmtId="0" fontId="0" fillId="4" borderId="0" xfId="0" applyFill="1" applyBorder="1" applyAlignment="1" applyProtection="1">
      <alignment horizontal="center" vertical="center"/>
    </xf>
    <xf numFmtId="0" fontId="42" fillId="4" borderId="0" xfId="0" quotePrefix="1" applyFont="1" applyFill="1" applyBorder="1" applyAlignment="1" applyProtection="1">
      <alignment horizontal="right"/>
    </xf>
    <xf numFmtId="0" fontId="27" fillId="0" borderId="0" xfId="0" applyFont="1" applyAlignment="1" applyProtection="1">
      <alignment horizontal="left"/>
    </xf>
    <xf numFmtId="0" fontId="0" fillId="4" borderId="0" xfId="0" applyFill="1" applyAlignment="1" applyProtection="1">
      <alignment vertical="center"/>
    </xf>
    <xf numFmtId="0" fontId="0" fillId="4" borderId="27" xfId="0" applyFill="1" applyBorder="1" applyAlignment="1" applyProtection="1">
      <alignment vertical="center"/>
    </xf>
    <xf numFmtId="0" fontId="0" fillId="4" borderId="28" xfId="0" applyFill="1" applyBorder="1" applyAlignment="1" applyProtection="1">
      <alignment vertical="center"/>
    </xf>
    <xf numFmtId="0" fontId="0" fillId="0" borderId="0" xfId="0" applyAlignment="1" applyProtection="1">
      <alignment vertical="center"/>
    </xf>
    <xf numFmtId="3" fontId="0" fillId="4" borderId="0" xfId="0" applyNumberFormat="1" applyFill="1" applyProtection="1"/>
    <xf numFmtId="3" fontId="0" fillId="4" borderId="0" xfId="0" applyNumberFormat="1" applyFill="1" applyAlignment="1" applyProtection="1">
      <alignment vertical="center"/>
    </xf>
    <xf numFmtId="0" fontId="0" fillId="7" borderId="30" xfId="0" applyFill="1" applyBorder="1" applyProtection="1"/>
    <xf numFmtId="0" fontId="0" fillId="4" borderId="0" xfId="0" applyFill="1" applyBorder="1" applyAlignment="1" applyProtection="1">
      <alignment horizontal="right"/>
    </xf>
    <xf numFmtId="164" fontId="4" fillId="4" borderId="36" xfId="0" applyNumberFormat="1" applyFont="1" applyFill="1" applyBorder="1" applyAlignment="1" applyProtection="1">
      <alignment shrinkToFit="1"/>
    </xf>
    <xf numFmtId="164" fontId="2" fillId="4" borderId="36" xfId="0" applyNumberFormat="1" applyFont="1" applyFill="1" applyBorder="1" applyAlignment="1" applyProtection="1">
      <alignment shrinkToFit="1"/>
    </xf>
    <xf numFmtId="0" fontId="0" fillId="4" borderId="0" xfId="0" applyFill="1" applyBorder="1" applyAlignment="1" applyProtection="1">
      <alignment horizontal="center" shrinkToFit="1"/>
    </xf>
    <xf numFmtId="0" fontId="0" fillId="0" borderId="1" xfId="0" applyBorder="1" applyAlignment="1" applyProtection="1">
      <alignment shrinkToFit="1"/>
    </xf>
    <xf numFmtId="0" fontId="0" fillId="0" borderId="0" xfId="0" applyBorder="1" applyAlignment="1" applyProtection="1">
      <alignment shrinkToFit="1"/>
    </xf>
    <xf numFmtId="0" fontId="0" fillId="0" borderId="3" xfId="0" applyBorder="1" applyAlignment="1" applyProtection="1">
      <alignment shrinkToFit="1"/>
    </xf>
    <xf numFmtId="0" fontId="0" fillId="4" borderId="0" xfId="0" applyFill="1" applyBorder="1" applyAlignment="1" applyProtection="1">
      <alignment shrinkToFit="1"/>
    </xf>
    <xf numFmtId="0" fontId="53" fillId="0" borderId="0" xfId="0" quotePrefix="1" applyFont="1" applyAlignment="1" applyProtection="1">
      <alignment horizontal="left"/>
    </xf>
    <xf numFmtId="0" fontId="53" fillId="0" borderId="0" xfId="0" applyFont="1" applyAlignment="1" applyProtection="1">
      <alignment horizontal="left"/>
    </xf>
    <xf numFmtId="0" fontId="0" fillId="7" borderId="0" xfId="0" applyFill="1"/>
    <xf numFmtId="187" fontId="50" fillId="4" borderId="0" xfId="0" applyNumberFormat="1" applyFont="1" applyFill="1" applyBorder="1" applyAlignment="1" applyProtection="1">
      <alignment vertical="center" shrinkToFit="1"/>
    </xf>
    <xf numFmtId="0" fontId="50" fillId="4" borderId="0" xfId="0" applyFont="1" applyFill="1" applyBorder="1" applyAlignment="1" applyProtection="1">
      <alignment vertical="center" shrinkToFit="1"/>
    </xf>
    <xf numFmtId="0" fontId="0" fillId="7" borderId="0" xfId="0" applyFill="1" applyAlignment="1" applyProtection="1">
      <alignment horizontal="left"/>
    </xf>
    <xf numFmtId="0" fontId="40" fillId="7" borderId="0" xfId="0" applyFont="1" applyFill="1"/>
    <xf numFmtId="0" fontId="0" fillId="7" borderId="0" xfId="0" applyFill="1" applyAlignment="1">
      <alignment horizontal="center"/>
    </xf>
    <xf numFmtId="0" fontId="57" fillId="7" borderId="0" xfId="0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0" fontId="58" fillId="7" borderId="0" xfId="0" applyFont="1" applyFill="1" applyAlignment="1">
      <alignment horizontal="center"/>
    </xf>
    <xf numFmtId="0" fontId="58" fillId="0" borderId="0" xfId="0" applyFont="1" applyAlignment="1">
      <alignment horizontal="center"/>
    </xf>
    <xf numFmtId="0" fontId="0" fillId="0" borderId="0" xfId="0" applyAlignment="1"/>
    <xf numFmtId="0" fontId="2" fillId="7" borderId="37" xfId="0" applyFont="1" applyFill="1" applyBorder="1" applyAlignment="1"/>
    <xf numFmtId="0" fontId="0" fillId="7" borderId="38" xfId="0" applyFill="1" applyBorder="1" applyAlignment="1"/>
    <xf numFmtId="0" fontId="0" fillId="7" borderId="39" xfId="0" applyFill="1" applyBorder="1" applyAlignment="1"/>
    <xf numFmtId="0" fontId="0" fillId="2" borderId="40" xfId="0" applyFill="1" applyBorder="1" applyAlignment="1"/>
    <xf numFmtId="0" fontId="0" fillId="2" borderId="24" xfId="0" applyFill="1" applyBorder="1" applyAlignment="1"/>
    <xf numFmtId="0" fontId="0" fillId="2" borderId="41" xfId="0" applyFill="1" applyBorder="1" applyAlignment="1"/>
    <xf numFmtId="0" fontId="0" fillId="2" borderId="42" xfId="0" applyFill="1" applyBorder="1" applyAlignment="1"/>
    <xf numFmtId="0" fontId="0" fillId="2" borderId="43" xfId="0" applyFill="1" applyBorder="1" applyAlignment="1"/>
    <xf numFmtId="0" fontId="0" fillId="0" borderId="0" xfId="0" applyBorder="1" applyAlignment="1"/>
    <xf numFmtId="0" fontId="0" fillId="2" borderId="44" xfId="0" applyFill="1" applyBorder="1" applyAlignment="1"/>
    <xf numFmtId="0" fontId="0" fillId="2" borderId="21" xfId="0" applyFill="1" applyBorder="1" applyAlignment="1"/>
    <xf numFmtId="0" fontId="0" fillId="2" borderId="45" xfId="0" applyFill="1" applyBorder="1" applyAlignment="1"/>
    <xf numFmtId="0" fontId="0" fillId="2" borderId="40" xfId="0" applyFill="1" applyBorder="1"/>
    <xf numFmtId="0" fontId="0" fillId="2" borderId="24" xfId="0" applyFill="1" applyBorder="1"/>
    <xf numFmtId="0" fontId="0" fillId="2" borderId="41" xfId="0" applyFill="1" applyBorder="1"/>
    <xf numFmtId="0" fontId="0" fillId="2" borderId="42" xfId="0" applyFill="1" applyBorder="1"/>
    <xf numFmtId="0" fontId="25" fillId="0" borderId="0" xfId="0" applyFont="1" applyFill="1" applyBorder="1"/>
    <xf numFmtId="0" fontId="3" fillId="0" borderId="0" xfId="2" applyFill="1" applyBorder="1" applyAlignment="1" applyProtection="1"/>
    <xf numFmtId="0" fontId="0" fillId="2" borderId="43" xfId="0" applyFill="1" applyBorder="1"/>
    <xf numFmtId="0" fontId="14" fillId="0" borderId="0" xfId="0" applyFont="1" applyFill="1" applyBorder="1"/>
    <xf numFmtId="0" fontId="0" fillId="2" borderId="44" xfId="0" applyFill="1" applyBorder="1"/>
    <xf numFmtId="0" fontId="0" fillId="2" borderId="21" xfId="0" applyFill="1" applyBorder="1"/>
    <xf numFmtId="0" fontId="0" fillId="2" borderId="45" xfId="0" applyFill="1" applyBorder="1"/>
    <xf numFmtId="0" fontId="2" fillId="0" borderId="0" xfId="0" applyFont="1" applyBorder="1" applyAlignment="1"/>
    <xf numFmtId="0" fontId="2" fillId="6" borderId="0" xfId="0" applyFont="1" applyFill="1" applyAlignment="1" applyProtection="1">
      <alignment vertical="center"/>
    </xf>
    <xf numFmtId="0" fontId="2" fillId="0" borderId="6" xfId="0" applyFont="1" applyBorder="1" applyAlignment="1" applyProtection="1">
      <alignment horizontal="center" vertical="center"/>
    </xf>
    <xf numFmtId="0" fontId="61" fillId="6" borderId="0" xfId="0" applyFont="1" applyFill="1" applyAlignment="1" applyProtection="1">
      <alignment horizontal="center" vertical="center"/>
    </xf>
    <xf numFmtId="0" fontId="0" fillId="0" borderId="0" xfId="0" applyAlignment="1" applyProtection="1">
      <alignment vertical="center"/>
      <protection locked="0"/>
    </xf>
    <xf numFmtId="0" fontId="0" fillId="0" borderId="0" xfId="0" applyFill="1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6" borderId="4" xfId="0" applyFill="1" applyBorder="1" applyAlignment="1" applyProtection="1">
      <alignment vertical="center"/>
    </xf>
    <xf numFmtId="0" fontId="0" fillId="6" borderId="5" xfId="0" applyFill="1" applyBorder="1" applyAlignment="1" applyProtection="1">
      <alignment vertical="center"/>
    </xf>
    <xf numFmtId="0" fontId="0" fillId="6" borderId="19" xfId="0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14" fillId="0" borderId="0" xfId="0" applyFont="1" applyAlignment="1" applyProtection="1">
      <alignment horizontal="left" vertical="center"/>
    </xf>
    <xf numFmtId="0" fontId="0" fillId="6" borderId="1" xfId="0" applyFill="1" applyBorder="1" applyAlignment="1" applyProtection="1">
      <alignment horizontal="left" vertical="center"/>
    </xf>
    <xf numFmtId="0" fontId="0" fillId="6" borderId="0" xfId="0" applyFill="1" applyBorder="1" applyAlignment="1" applyProtection="1">
      <alignment horizontal="left" vertical="center"/>
    </xf>
    <xf numFmtId="0" fontId="0" fillId="6" borderId="3" xfId="0" applyFill="1" applyBorder="1" applyAlignment="1" applyProtection="1">
      <alignment horizontal="left" vertical="center"/>
    </xf>
    <xf numFmtId="0" fontId="0" fillId="0" borderId="0" xfId="0" applyAlignment="1">
      <alignment vertical="center"/>
    </xf>
    <xf numFmtId="0" fontId="14" fillId="0" borderId="0" xfId="0" applyFont="1" applyAlignment="1" applyProtection="1">
      <alignment vertical="center"/>
    </xf>
    <xf numFmtId="0" fontId="0" fillId="6" borderId="1" xfId="0" applyFill="1" applyBorder="1" applyAlignment="1" applyProtection="1">
      <alignment vertical="center"/>
    </xf>
    <xf numFmtId="0" fontId="0" fillId="6" borderId="0" xfId="0" applyFill="1" applyBorder="1" applyAlignment="1" applyProtection="1">
      <alignment vertical="center"/>
    </xf>
    <xf numFmtId="0" fontId="0" fillId="6" borderId="3" xfId="0" applyFill="1" applyBorder="1" applyAlignment="1" applyProtection="1">
      <alignment vertical="center"/>
    </xf>
    <xf numFmtId="0" fontId="14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horizontal="left" vertical="center"/>
    </xf>
    <xf numFmtId="0" fontId="8" fillId="0" borderId="0" xfId="0" applyFont="1" applyFill="1" applyAlignment="1" applyProtection="1">
      <alignment vertical="center"/>
    </xf>
    <xf numFmtId="0" fontId="0" fillId="6" borderId="0" xfId="0" applyFill="1" applyBorder="1" applyAlignment="1" applyProtection="1">
      <alignment horizontal="left" vertical="center" wrapText="1"/>
    </xf>
    <xf numFmtId="0" fontId="0" fillId="6" borderId="0" xfId="0" applyFill="1" applyBorder="1" applyAlignment="1" applyProtection="1">
      <alignment horizontal="center" vertical="center" wrapText="1"/>
    </xf>
    <xf numFmtId="0" fontId="0" fillId="6" borderId="35" xfId="0" applyFill="1" applyBorder="1" applyAlignment="1" applyProtection="1">
      <alignment vertical="center"/>
    </xf>
    <xf numFmtId="0" fontId="0" fillId="6" borderId="6" xfId="0" applyFill="1" applyBorder="1" applyAlignment="1" applyProtection="1">
      <alignment vertical="center"/>
    </xf>
    <xf numFmtId="0" fontId="0" fillId="6" borderId="20" xfId="0" applyFill="1" applyBorder="1" applyAlignment="1" applyProtection="1">
      <alignment vertical="center"/>
    </xf>
    <xf numFmtId="0" fontId="0" fillId="5" borderId="5" xfId="0" applyFill="1" applyBorder="1" applyAlignment="1" applyProtection="1">
      <alignment vertical="center"/>
    </xf>
    <xf numFmtId="0" fontId="0" fillId="5" borderId="19" xfId="0" applyFill="1" applyBorder="1" applyAlignment="1" applyProtection="1">
      <alignment vertical="center"/>
    </xf>
    <xf numFmtId="0" fontId="17" fillId="3" borderId="35" xfId="0" applyFont="1" applyFill="1" applyBorder="1" applyAlignment="1" applyProtection="1">
      <alignment vertical="center"/>
    </xf>
    <xf numFmtId="0" fontId="0" fillId="3" borderId="6" xfId="0" applyFill="1" applyBorder="1" applyAlignment="1" applyProtection="1">
      <alignment vertical="center"/>
    </xf>
    <xf numFmtId="0" fontId="0" fillId="3" borderId="20" xfId="0" applyFill="1" applyBorder="1" applyAlignment="1" applyProtection="1">
      <alignment vertical="center"/>
    </xf>
    <xf numFmtId="0" fontId="6" fillId="6" borderId="0" xfId="0" applyFont="1" applyFill="1" applyBorder="1" applyAlignment="1" applyProtection="1">
      <alignment horizontal="left" vertical="center"/>
    </xf>
    <xf numFmtId="0" fontId="0" fillId="6" borderId="0" xfId="0" applyFill="1" applyAlignment="1" applyProtection="1">
      <alignment vertical="center"/>
    </xf>
    <xf numFmtId="4" fontId="7" fillId="6" borderId="0" xfId="0" applyNumberFormat="1" applyFont="1" applyFill="1" applyBorder="1" applyAlignment="1" applyProtection="1">
      <alignment horizontal="right" vertical="center"/>
    </xf>
    <xf numFmtId="0" fontId="0" fillId="6" borderId="0" xfId="0" applyFill="1" applyAlignment="1" applyProtection="1">
      <alignment horizontal="right" vertical="center"/>
    </xf>
    <xf numFmtId="4" fontId="2" fillId="6" borderId="0" xfId="0" applyNumberFormat="1" applyFont="1" applyFill="1" applyBorder="1" applyAlignment="1" applyProtection="1">
      <alignment horizontal="right" vertical="center"/>
    </xf>
    <xf numFmtId="4" fontId="2" fillId="6" borderId="0" xfId="0" applyNumberFormat="1" applyFont="1" applyFill="1" applyBorder="1" applyAlignment="1" applyProtection="1">
      <alignment horizontal="left" vertical="center"/>
    </xf>
    <xf numFmtId="4" fontId="2" fillId="5" borderId="5" xfId="0" applyNumberFormat="1" applyFont="1" applyFill="1" applyBorder="1" applyAlignment="1" applyProtection="1">
      <alignment horizontal="right" vertical="center"/>
    </xf>
    <xf numFmtId="0" fontId="2" fillId="5" borderId="5" xfId="0" applyFont="1" applyFill="1" applyBorder="1" applyAlignment="1" applyProtection="1">
      <alignment vertical="center"/>
    </xf>
    <xf numFmtId="0" fontId="8" fillId="3" borderId="6" xfId="0" applyFont="1" applyFill="1" applyBorder="1" applyAlignment="1" applyProtection="1">
      <alignment vertical="center"/>
    </xf>
    <xf numFmtId="0" fontId="6" fillId="6" borderId="0" xfId="0" applyFont="1" applyFill="1" applyBorder="1" applyAlignment="1" applyProtection="1">
      <alignment vertical="center"/>
    </xf>
    <xf numFmtId="4" fontId="0" fillId="6" borderId="0" xfId="0" applyNumberFormat="1" applyFill="1" applyBorder="1" applyAlignment="1" applyProtection="1">
      <alignment horizontal="right" vertical="center"/>
    </xf>
    <xf numFmtId="0" fontId="2" fillId="3" borderId="0" xfId="0" applyFont="1" applyFill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2" fontId="0" fillId="6" borderId="0" xfId="0" applyNumberFormat="1" applyFill="1" applyBorder="1" applyAlignment="1" applyProtection="1">
      <alignment horizontal="right" vertical="center"/>
    </xf>
    <xf numFmtId="0" fontId="8" fillId="6" borderId="0" xfId="0" applyFont="1" applyFill="1" applyAlignment="1" applyProtection="1">
      <alignment vertical="center"/>
    </xf>
    <xf numFmtId="10" fontId="0" fillId="6" borderId="0" xfId="0" applyNumberFormat="1" applyFill="1" applyBorder="1" applyAlignment="1" applyProtection="1">
      <alignment horizontal="right" vertical="center"/>
    </xf>
    <xf numFmtId="168" fontId="2" fillId="6" borderId="0" xfId="0" applyNumberFormat="1" applyFont="1" applyFill="1" applyAlignment="1" applyProtection="1">
      <alignment horizontal="left" vertical="center"/>
    </xf>
    <xf numFmtId="0" fontId="2" fillId="6" borderId="0" xfId="0" applyFont="1" applyFill="1" applyAlignment="1" applyProtection="1">
      <alignment horizontal="left" vertical="center"/>
    </xf>
    <xf numFmtId="168" fontId="2" fillId="6" borderId="0" xfId="0" applyNumberFormat="1" applyFont="1" applyFill="1" applyAlignment="1" applyProtection="1">
      <alignment horizontal="right" vertical="center"/>
    </xf>
    <xf numFmtId="170" fontId="0" fillId="6" borderId="0" xfId="0" applyNumberFormat="1" applyFill="1" applyAlignment="1" applyProtection="1">
      <alignment vertical="center"/>
    </xf>
    <xf numFmtId="170" fontId="2" fillId="6" borderId="0" xfId="0" applyNumberFormat="1" applyFont="1" applyFill="1" applyAlignment="1" applyProtection="1">
      <alignment horizontal="right" vertical="center"/>
    </xf>
    <xf numFmtId="0" fontId="4" fillId="5" borderId="4" xfId="0" applyFont="1" applyFill="1" applyBorder="1" applyAlignment="1" applyProtection="1">
      <alignment vertical="center"/>
    </xf>
    <xf numFmtId="0" fontId="4" fillId="5" borderId="5" xfId="0" applyFont="1" applyFill="1" applyBorder="1" applyAlignment="1" applyProtection="1">
      <alignment vertical="center"/>
    </xf>
    <xf numFmtId="169" fontId="2" fillId="6" borderId="0" xfId="0" applyNumberFormat="1" applyFont="1" applyFill="1" applyAlignment="1" applyProtection="1">
      <alignment horizontal="right" vertical="center"/>
    </xf>
    <xf numFmtId="0" fontId="2" fillId="6" borderId="0" xfId="0" applyFont="1" applyFill="1" applyAlignment="1" applyProtection="1">
      <alignment horizontal="right" vertical="center"/>
    </xf>
    <xf numFmtId="0" fontId="2" fillId="3" borderId="0" xfId="0" applyFont="1" applyFill="1" applyBorder="1" applyAlignment="1" applyProtection="1">
      <alignment vertical="center"/>
    </xf>
    <xf numFmtId="0" fontId="6" fillId="6" borderId="46" xfId="0" applyFont="1" applyFill="1" applyBorder="1" applyAlignment="1" applyProtection="1">
      <alignment vertical="center"/>
    </xf>
    <xf numFmtId="0" fontId="0" fillId="6" borderId="46" xfId="0" applyFill="1" applyBorder="1" applyAlignment="1" applyProtection="1">
      <alignment vertical="center"/>
    </xf>
    <xf numFmtId="0" fontId="2" fillId="3" borderId="46" xfId="0" applyFont="1" applyFill="1" applyBorder="1" applyAlignment="1" applyProtection="1">
      <alignment vertical="center"/>
    </xf>
    <xf numFmtId="0" fontId="8" fillId="6" borderId="0" xfId="0" applyFont="1" applyFill="1" applyBorder="1" applyAlignment="1" applyProtection="1">
      <alignment horizontal="center" vertical="center"/>
    </xf>
    <xf numFmtId="0" fontId="8" fillId="6" borderId="0" xfId="0" applyFont="1" applyFill="1" applyBorder="1" applyAlignment="1" applyProtection="1">
      <alignment vertical="center"/>
    </xf>
    <xf numFmtId="0" fontId="8" fillId="6" borderId="47" xfId="0" applyFont="1" applyFill="1" applyBorder="1" applyAlignment="1" applyProtection="1">
      <alignment horizontal="center" vertical="center" wrapText="1"/>
    </xf>
    <xf numFmtId="0" fontId="9" fillId="6" borderId="6" xfId="0" applyFont="1" applyFill="1" applyBorder="1" applyAlignment="1" applyProtection="1">
      <alignment horizontal="center" vertical="center"/>
    </xf>
    <xf numFmtId="0" fontId="0" fillId="0" borderId="15" xfId="0" applyBorder="1" applyAlignment="1" applyProtection="1">
      <alignment vertical="center"/>
    </xf>
    <xf numFmtId="0" fontId="0" fillId="0" borderId="16" xfId="0" applyBorder="1" applyAlignment="1" applyProtection="1">
      <alignment vertical="center"/>
    </xf>
    <xf numFmtId="0" fontId="0" fillId="0" borderId="48" xfId="0" applyBorder="1" applyAlignment="1" applyProtection="1">
      <alignment vertical="center"/>
    </xf>
    <xf numFmtId="0" fontId="0" fillId="6" borderId="49" xfId="0" applyFill="1" applyBorder="1" applyAlignment="1" applyProtection="1">
      <alignment vertical="center"/>
    </xf>
    <xf numFmtId="0" fontId="0" fillId="6" borderId="50" xfId="0" applyFill="1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190" fontId="0" fillId="2" borderId="49" xfId="0" applyNumberFormat="1" applyFill="1" applyBorder="1" applyAlignment="1" applyProtection="1">
      <alignment vertical="center" shrinkToFit="1"/>
      <protection locked="0"/>
    </xf>
    <xf numFmtId="0" fontId="2" fillId="6" borderId="0" xfId="0" applyFont="1" applyFill="1" applyBorder="1" applyAlignment="1" applyProtection="1">
      <alignment vertical="center"/>
    </xf>
    <xf numFmtId="173" fontId="0" fillId="0" borderId="0" xfId="0" applyNumberFormat="1" applyBorder="1" applyAlignment="1" applyProtection="1">
      <alignment horizontal="right" vertical="center"/>
    </xf>
    <xf numFmtId="0" fontId="0" fillId="0" borderId="0" xfId="0" applyBorder="1" applyAlignment="1" applyProtection="1">
      <alignment horizontal="center" vertical="center"/>
    </xf>
    <xf numFmtId="190" fontId="0" fillId="2" borderId="51" xfId="0" applyNumberFormat="1" applyFill="1" applyBorder="1" applyAlignment="1" applyProtection="1">
      <alignment vertical="center" shrinkToFit="1"/>
      <protection locked="0"/>
    </xf>
    <xf numFmtId="0" fontId="2" fillId="3" borderId="2" xfId="0" applyFont="1" applyFill="1" applyBorder="1" applyAlignment="1" applyProtection="1">
      <alignment vertical="center"/>
    </xf>
    <xf numFmtId="0" fontId="0" fillId="0" borderId="1" xfId="0" applyFill="1" applyBorder="1" applyAlignment="1" applyProtection="1">
      <alignment vertical="center"/>
    </xf>
    <xf numFmtId="0" fontId="0" fillId="0" borderId="3" xfId="0" applyFill="1" applyBorder="1" applyAlignment="1" applyProtection="1">
      <alignment vertical="center"/>
    </xf>
    <xf numFmtId="0" fontId="8" fillId="6" borderId="2" xfId="0" applyFont="1" applyFill="1" applyBorder="1" applyAlignment="1" applyProtection="1">
      <alignment vertical="center"/>
    </xf>
    <xf numFmtId="0" fontId="0" fillId="0" borderId="35" xfId="0" applyBorder="1" applyAlignment="1" applyProtection="1">
      <alignment vertical="center"/>
    </xf>
    <xf numFmtId="0" fontId="0" fillId="0" borderId="6" xfId="0" applyBorder="1" applyAlignment="1">
      <alignment vertical="center"/>
    </xf>
    <xf numFmtId="189" fontId="8" fillId="6" borderId="0" xfId="0" applyNumberFormat="1" applyFont="1" applyFill="1" applyBorder="1" applyAlignment="1" applyProtection="1">
      <alignment horizontal="right" vertical="center" shrinkToFit="1"/>
    </xf>
    <xf numFmtId="5" fontId="8" fillId="6" borderId="0" xfId="0" applyNumberFormat="1" applyFont="1" applyFill="1" applyBorder="1" applyAlignment="1" applyProtection="1">
      <alignment horizontal="left" vertical="center"/>
    </xf>
    <xf numFmtId="0" fontId="2" fillId="7" borderId="5" xfId="0" applyFont="1" applyFill="1" applyBorder="1" applyAlignment="1" applyProtection="1">
      <alignment vertical="center"/>
    </xf>
    <xf numFmtId="0" fontId="0" fillId="7" borderId="5" xfId="0" applyFill="1" applyBorder="1" applyAlignment="1" applyProtection="1">
      <alignment vertical="center"/>
    </xf>
    <xf numFmtId="0" fontId="0" fillId="7" borderId="19" xfId="0" applyFill="1" applyBorder="1" applyAlignment="1" applyProtection="1">
      <alignment vertical="center"/>
    </xf>
    <xf numFmtId="0" fontId="8" fillId="7" borderId="0" xfId="0" applyFont="1" applyFill="1" applyBorder="1" applyAlignment="1" applyProtection="1">
      <alignment vertical="center"/>
    </xf>
    <xf numFmtId="0" fontId="0" fillId="7" borderId="3" xfId="0" applyFill="1" applyBorder="1" applyAlignment="1" applyProtection="1">
      <alignment vertical="center"/>
    </xf>
    <xf numFmtId="0" fontId="8" fillId="7" borderId="6" xfId="0" applyFont="1" applyFill="1" applyBorder="1" applyAlignment="1" applyProtection="1">
      <alignment vertical="center"/>
    </xf>
    <xf numFmtId="0" fontId="0" fillId="7" borderId="6" xfId="0" applyFill="1" applyBorder="1" applyAlignment="1" applyProtection="1">
      <alignment vertical="center"/>
    </xf>
    <xf numFmtId="0" fontId="0" fillId="7" borderId="20" xfId="0" applyFill="1" applyBorder="1" applyAlignment="1" applyProtection="1">
      <alignment vertical="center"/>
    </xf>
    <xf numFmtId="0" fontId="0" fillId="5" borderId="4" xfId="0" applyFill="1" applyBorder="1" applyAlignment="1" applyProtection="1">
      <alignment vertical="center"/>
    </xf>
    <xf numFmtId="0" fontId="4" fillId="6" borderId="0" xfId="0" applyFont="1" applyFill="1" applyAlignment="1" applyProtection="1">
      <alignment vertical="center"/>
    </xf>
    <xf numFmtId="169" fontId="4" fillId="6" borderId="0" xfId="0" applyNumberFormat="1" applyFont="1" applyFill="1" applyAlignment="1" applyProtection="1">
      <alignment horizontal="right" vertical="center"/>
    </xf>
    <xf numFmtId="0" fontId="0" fillId="6" borderId="0" xfId="0" applyFill="1" applyAlignment="1" applyProtection="1">
      <alignment horizontal="center" vertical="center"/>
      <protection locked="0"/>
    </xf>
    <xf numFmtId="0" fontId="61" fillId="6" borderId="0" xfId="0" applyFont="1" applyFill="1" applyAlignment="1" applyProtection="1">
      <alignment vertical="center"/>
    </xf>
    <xf numFmtId="0" fontId="8" fillId="6" borderId="0" xfId="0" applyFont="1" applyFill="1" applyAlignment="1" applyProtection="1">
      <alignment vertical="center" shrinkToFit="1"/>
    </xf>
    <xf numFmtId="169" fontId="4" fillId="6" borderId="0" xfId="0" applyNumberFormat="1" applyFont="1" applyFill="1" applyBorder="1" applyAlignment="1" applyProtection="1">
      <alignment vertical="center"/>
    </xf>
    <xf numFmtId="1" fontId="0" fillId="0" borderId="0" xfId="0" applyNumberFormat="1" applyBorder="1" applyAlignment="1" applyProtection="1">
      <alignment horizontal="right" vertical="center"/>
    </xf>
    <xf numFmtId="0" fontId="55" fillId="6" borderId="0" xfId="0" applyFont="1" applyFill="1" applyAlignment="1" applyProtection="1">
      <alignment vertical="center"/>
    </xf>
    <xf numFmtId="171" fontId="61" fillId="6" borderId="0" xfId="0" applyNumberFormat="1" applyFont="1" applyFill="1" applyBorder="1" applyAlignment="1" applyProtection="1">
      <alignment horizontal="center" vertical="center"/>
    </xf>
    <xf numFmtId="177" fontId="61" fillId="6" borderId="0" xfId="0" applyNumberFormat="1" applyFont="1" applyFill="1" applyBorder="1" applyAlignment="1" applyProtection="1">
      <alignment horizontal="center" vertical="center"/>
    </xf>
    <xf numFmtId="183" fontId="4" fillId="6" borderId="0" xfId="0" applyNumberFormat="1" applyFont="1" applyFill="1" applyBorder="1" applyAlignment="1" applyProtection="1">
      <alignment horizontal="right" vertical="center"/>
    </xf>
    <xf numFmtId="177" fontId="8" fillId="6" borderId="0" xfId="0" applyNumberFormat="1" applyFont="1" applyFill="1" applyBorder="1" applyAlignment="1" applyProtection="1">
      <alignment horizontal="right" vertical="center"/>
    </xf>
    <xf numFmtId="192" fontId="0" fillId="0" borderId="0" xfId="0" applyNumberFormat="1" applyBorder="1" applyAlignment="1" applyProtection="1">
      <alignment vertical="center"/>
    </xf>
    <xf numFmtId="0" fontId="0" fillId="9" borderId="0" xfId="0" applyFill="1" applyBorder="1" applyAlignment="1" applyProtection="1">
      <alignment vertical="center"/>
    </xf>
    <xf numFmtId="0" fontId="0" fillId="9" borderId="3" xfId="0" applyFill="1" applyBorder="1" applyAlignment="1" applyProtection="1">
      <alignment vertical="center"/>
    </xf>
    <xf numFmtId="0" fontId="2" fillId="0" borderId="6" xfId="0" applyFont="1" applyBorder="1" applyAlignment="1" applyProtection="1">
      <alignment vertical="center"/>
    </xf>
    <xf numFmtId="0" fontId="2" fillId="0" borderId="20" xfId="0" applyFont="1" applyBorder="1" applyAlignment="1" applyProtection="1">
      <alignment vertical="center"/>
    </xf>
    <xf numFmtId="0" fontId="0" fillId="6" borderId="2" xfId="0" applyFill="1" applyBorder="1" applyAlignment="1" applyProtection="1">
      <alignment vertical="center"/>
    </xf>
    <xf numFmtId="0" fontId="0" fillId="6" borderId="52" xfId="0" applyFill="1" applyBorder="1" applyAlignment="1" applyProtection="1">
      <alignment vertical="center"/>
    </xf>
    <xf numFmtId="0" fontId="0" fillId="3" borderId="0" xfId="0" applyFill="1" applyAlignment="1" applyProtection="1">
      <alignment vertical="center"/>
    </xf>
    <xf numFmtId="0" fontId="2" fillId="3" borderId="6" xfId="0" applyFont="1" applyFill="1" applyBorder="1" applyAlignment="1" applyProtection="1">
      <alignment vertical="center"/>
    </xf>
    <xf numFmtId="169" fontId="2" fillId="0" borderId="0" xfId="0" applyNumberFormat="1" applyFont="1" applyFill="1" applyBorder="1" applyAlignment="1" applyProtection="1">
      <alignment horizontal="right" vertical="center"/>
    </xf>
    <xf numFmtId="169" fontId="2" fillId="3" borderId="6" xfId="0" applyNumberFormat="1" applyFont="1" applyFill="1" applyBorder="1" applyAlignment="1" applyProtection="1">
      <alignment horizontal="center" vertical="center"/>
    </xf>
    <xf numFmtId="169" fontId="2" fillId="0" borderId="4" xfId="0" applyNumberFormat="1" applyFont="1" applyFill="1" applyBorder="1" applyAlignment="1" applyProtection="1">
      <alignment horizontal="center" vertical="center"/>
    </xf>
    <xf numFmtId="169" fontId="2" fillId="0" borderId="5" xfId="0" applyNumberFormat="1" applyFont="1" applyFill="1" applyBorder="1" applyAlignment="1" applyProtection="1">
      <alignment horizontal="center" vertical="center"/>
    </xf>
    <xf numFmtId="169" fontId="4" fillId="0" borderId="5" xfId="0" applyNumberFormat="1" applyFont="1" applyFill="1" applyBorder="1" applyAlignment="1" applyProtection="1">
      <alignment horizontal="left" vertical="center"/>
    </xf>
    <xf numFmtId="0" fontId="52" fillId="0" borderId="5" xfId="0" applyFont="1" applyFill="1" applyBorder="1" applyAlignment="1" applyProtection="1">
      <alignment horizontal="right" vertical="center"/>
    </xf>
    <xf numFmtId="0" fontId="10" fillId="0" borderId="19" xfId="0" applyFont="1" applyFill="1" applyBorder="1" applyAlignment="1" applyProtection="1">
      <alignment vertical="center"/>
    </xf>
    <xf numFmtId="169" fontId="2" fillId="0" borderId="35" xfId="0" applyNumberFormat="1" applyFont="1" applyFill="1" applyBorder="1" applyAlignment="1" applyProtection="1">
      <alignment horizontal="center" vertical="center"/>
    </xf>
    <xf numFmtId="169" fontId="2" fillId="0" borderId="6" xfId="0" applyNumberFormat="1" applyFont="1" applyFill="1" applyBorder="1" applyAlignment="1" applyProtection="1">
      <alignment horizontal="center" vertical="center"/>
    </xf>
    <xf numFmtId="169" fontId="4" fillId="0" borderId="6" xfId="0" applyNumberFormat="1" applyFont="1" applyFill="1" applyBorder="1" applyAlignment="1" applyProtection="1">
      <alignment horizontal="left" vertical="center"/>
    </xf>
    <xf numFmtId="0" fontId="14" fillId="0" borderId="6" xfId="0" applyFont="1" applyFill="1" applyBorder="1" applyAlignment="1" applyProtection="1">
      <alignment horizontal="right" vertical="center"/>
    </xf>
    <xf numFmtId="0" fontId="10" fillId="0" borderId="20" xfId="0" applyFont="1" applyFill="1" applyBorder="1" applyAlignment="1" applyProtection="1">
      <alignment vertical="center"/>
    </xf>
    <xf numFmtId="169" fontId="0" fillId="6" borderId="0" xfId="0" applyNumberFormat="1" applyFill="1" applyAlignment="1" applyProtection="1">
      <alignment vertical="center"/>
    </xf>
    <xf numFmtId="169" fontId="0" fillId="0" borderId="0" xfId="0" applyNumberFormat="1" applyFill="1" applyAlignment="1" applyProtection="1">
      <alignment horizontal="right" vertical="center"/>
    </xf>
    <xf numFmtId="0" fontId="0" fillId="0" borderId="0" xfId="0" applyAlignment="1" applyProtection="1">
      <alignment horizontal="right" vertical="center"/>
    </xf>
    <xf numFmtId="166" fontId="0" fillId="6" borderId="0" xfId="0" applyNumberFormat="1" applyFill="1" applyAlignment="1" applyProtection="1">
      <alignment vertical="center"/>
    </xf>
    <xf numFmtId="166" fontId="0" fillId="0" borderId="0" xfId="0" applyNumberFormat="1" applyFill="1" applyAlignment="1" applyProtection="1">
      <alignment horizontal="right" vertical="center"/>
    </xf>
    <xf numFmtId="0" fontId="0" fillId="0" borderId="0" xfId="0" applyFill="1" applyAlignment="1" applyProtection="1">
      <alignment horizontal="center" vertical="center"/>
    </xf>
    <xf numFmtId="169" fontId="0" fillId="6" borderId="53" xfId="0" applyNumberFormat="1" applyFill="1" applyBorder="1" applyAlignment="1" applyProtection="1">
      <alignment vertical="center"/>
    </xf>
    <xf numFmtId="0" fontId="0" fillId="0" borderId="54" xfId="0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 textRotation="88"/>
    </xf>
    <xf numFmtId="0" fontId="8" fillId="0" borderId="0" xfId="0" applyFont="1" applyAlignment="1" applyProtection="1">
      <alignment horizontal="center" vertical="center"/>
    </xf>
    <xf numFmtId="176" fontId="0" fillId="0" borderId="17" xfId="0" applyNumberFormat="1" applyBorder="1" applyAlignment="1" applyProtection="1">
      <alignment horizontal="right" vertical="center"/>
    </xf>
    <xf numFmtId="172" fontId="0" fillId="0" borderId="50" xfId="0" applyNumberFormat="1" applyBorder="1" applyAlignment="1" applyProtection="1">
      <alignment horizontal="center" vertical="center"/>
    </xf>
    <xf numFmtId="0" fontId="8" fillId="0" borderId="48" xfId="0" applyFont="1" applyBorder="1" applyAlignment="1" applyProtection="1">
      <alignment vertical="center"/>
    </xf>
    <xf numFmtId="0" fontId="8" fillId="0" borderId="17" xfId="0" applyFont="1" applyBorder="1" applyAlignment="1" applyProtection="1">
      <alignment vertical="center"/>
    </xf>
    <xf numFmtId="167" fontId="0" fillId="0" borderId="0" xfId="0" applyNumberFormat="1" applyBorder="1" applyAlignment="1" applyProtection="1">
      <alignment horizontal="right" vertical="center"/>
    </xf>
    <xf numFmtId="176" fontId="0" fillId="0" borderId="0" xfId="0" applyNumberFormat="1" applyBorder="1" applyAlignment="1" applyProtection="1">
      <alignment horizontal="right" vertical="center"/>
    </xf>
    <xf numFmtId="0" fontId="0" fillId="0" borderId="5" xfId="0" applyBorder="1" applyAlignment="1" applyProtection="1">
      <alignment horizontal="center" vertical="center"/>
    </xf>
    <xf numFmtId="172" fontId="0" fillId="0" borderId="49" xfId="0" applyNumberFormat="1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172" fontId="0" fillId="0" borderId="55" xfId="0" applyNumberFormat="1" applyBorder="1" applyAlignment="1" applyProtection="1">
      <alignment horizontal="center" vertical="center"/>
    </xf>
    <xf numFmtId="0" fontId="8" fillId="0" borderId="56" xfId="0" applyFont="1" applyBorder="1" applyAlignment="1" applyProtection="1">
      <alignment vertical="center"/>
    </xf>
    <xf numFmtId="0" fontId="8" fillId="0" borderId="57" xfId="0" applyFont="1" applyBorder="1" applyAlignment="1" applyProtection="1">
      <alignment vertical="center"/>
    </xf>
    <xf numFmtId="0" fontId="8" fillId="0" borderId="47" xfId="0" applyFont="1" applyBorder="1" applyAlignment="1" applyProtection="1">
      <alignment vertical="center"/>
    </xf>
    <xf numFmtId="0" fontId="8" fillId="0" borderId="17" xfId="0" applyFont="1" applyFill="1" applyBorder="1" applyAlignment="1" applyProtection="1">
      <alignment vertical="center"/>
    </xf>
    <xf numFmtId="0" fontId="8" fillId="0" borderId="20" xfId="0" applyFont="1" applyBorder="1" applyAlignment="1" applyProtection="1">
      <alignment vertical="center"/>
    </xf>
    <xf numFmtId="0" fontId="8" fillId="0" borderId="58" xfId="0" applyFont="1" applyBorder="1" applyAlignment="1" applyProtection="1">
      <alignment vertical="center"/>
    </xf>
    <xf numFmtId="0" fontId="0" fillId="0" borderId="4" xfId="0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0" fillId="0" borderId="5" xfId="0" applyFill="1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0" fontId="0" fillId="0" borderId="6" xfId="0" applyBorder="1" applyAlignment="1" applyProtection="1">
      <alignment vertical="center"/>
    </xf>
    <xf numFmtId="0" fontId="8" fillId="0" borderId="6" xfId="0" applyFont="1" applyBorder="1" applyAlignment="1" applyProtection="1">
      <alignment vertical="center"/>
    </xf>
    <xf numFmtId="0" fontId="0" fillId="0" borderId="6" xfId="0" applyFill="1" applyBorder="1" applyAlignment="1" applyProtection="1">
      <alignment vertical="center"/>
    </xf>
    <xf numFmtId="0" fontId="0" fillId="0" borderId="20" xfId="0" applyBorder="1" applyAlignment="1" applyProtection="1">
      <alignment vertical="center"/>
      <protection locked="0"/>
    </xf>
    <xf numFmtId="0" fontId="8" fillId="0" borderId="17" xfId="0" applyFont="1" applyBorder="1" applyAlignment="1" applyProtection="1">
      <alignment horizontal="center" vertical="center"/>
    </xf>
    <xf numFmtId="172" fontId="0" fillId="0" borderId="50" xfId="0" applyNumberFormat="1" applyFill="1" applyBorder="1" applyAlignment="1" applyProtection="1">
      <alignment horizontal="center" vertical="center"/>
    </xf>
    <xf numFmtId="0" fontId="16" fillId="0" borderId="0" xfId="0" applyFont="1" applyAlignment="1" applyProtection="1">
      <alignment vertical="center"/>
    </xf>
    <xf numFmtId="0" fontId="0" fillId="0" borderId="1" xfId="0" applyBorder="1" applyAlignment="1" applyProtection="1">
      <alignment horizontal="center" vertical="center"/>
    </xf>
    <xf numFmtId="172" fontId="4" fillId="0" borderId="50" xfId="0" applyNumberFormat="1" applyFont="1" applyBorder="1" applyAlignment="1" applyProtection="1">
      <alignment vertical="center"/>
    </xf>
    <xf numFmtId="172" fontId="4" fillId="0" borderId="1" xfId="0" applyNumberFormat="1" applyFont="1" applyBorder="1" applyAlignment="1" applyProtection="1">
      <alignment horizontal="center" vertical="center"/>
    </xf>
    <xf numFmtId="169" fontId="0" fillId="0" borderId="3" xfId="0" applyNumberFormat="1" applyBorder="1" applyAlignment="1" applyProtection="1">
      <alignment vertical="center"/>
    </xf>
    <xf numFmtId="0" fontId="0" fillId="0" borderId="49" xfId="0" applyBorder="1" applyAlignment="1" applyProtection="1">
      <alignment vertical="center"/>
    </xf>
    <xf numFmtId="0" fontId="0" fillId="0" borderId="47" xfId="0" applyBorder="1" applyAlignment="1" applyProtection="1">
      <alignment vertical="center"/>
    </xf>
    <xf numFmtId="0" fontId="0" fillId="0" borderId="35" xfId="0" applyBorder="1" applyAlignment="1" applyProtection="1">
      <alignment horizontal="center" vertical="center"/>
    </xf>
    <xf numFmtId="169" fontId="0" fillId="0" borderId="20" xfId="0" applyNumberFormat="1" applyBorder="1" applyAlignment="1" applyProtection="1">
      <alignment vertical="center"/>
    </xf>
    <xf numFmtId="49" fontId="42" fillId="0" borderId="50" xfId="0" applyNumberFormat="1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42" fillId="0" borderId="47" xfId="0" applyFont="1" applyBorder="1" applyAlignment="1" applyProtection="1">
      <alignment horizontal="center" vertical="center"/>
    </xf>
    <xf numFmtId="0" fontId="0" fillId="7" borderId="15" xfId="0" applyFill="1" applyBorder="1" applyAlignment="1" applyProtection="1">
      <alignment vertical="center"/>
    </xf>
    <xf numFmtId="0" fontId="0" fillId="7" borderId="16" xfId="0" applyFill="1" applyBorder="1" applyAlignment="1">
      <alignment horizontal="left" vertical="center"/>
    </xf>
    <xf numFmtId="0" fontId="0" fillId="7" borderId="16" xfId="0" applyFill="1" applyBorder="1" applyAlignment="1" applyProtection="1">
      <alignment vertical="center"/>
    </xf>
    <xf numFmtId="0" fontId="0" fillId="7" borderId="16" xfId="0" applyFill="1" applyBorder="1" applyAlignment="1" applyProtection="1">
      <alignment horizontal="center" vertical="center"/>
    </xf>
    <xf numFmtId="0" fontId="0" fillId="7" borderId="48" xfId="0" applyFill="1" applyBorder="1" applyAlignment="1" applyProtection="1">
      <alignment vertical="center"/>
    </xf>
    <xf numFmtId="0" fontId="39" fillId="7" borderId="16" xfId="0" applyFont="1" applyFill="1" applyBorder="1" applyAlignment="1">
      <alignment horizontal="left" vertical="center"/>
    </xf>
    <xf numFmtId="0" fontId="6" fillId="0" borderId="0" xfId="0" applyFont="1" applyAlignment="1" applyProtection="1">
      <alignment vertical="center"/>
    </xf>
    <xf numFmtId="0" fontId="0" fillId="0" borderId="1" xfId="0" applyBorder="1" applyAlignment="1" applyProtection="1">
      <alignment horizontal="right" vertical="center"/>
    </xf>
    <xf numFmtId="169" fontId="0" fillId="0" borderId="0" xfId="0" applyNumberFormat="1" applyBorder="1" applyAlignment="1" applyProtection="1">
      <alignment vertical="center"/>
    </xf>
    <xf numFmtId="172" fontId="0" fillId="0" borderId="0" xfId="0" applyNumberFormat="1" applyBorder="1" applyAlignment="1" applyProtection="1">
      <alignment vertical="center"/>
    </xf>
    <xf numFmtId="172" fontId="0" fillId="0" borderId="3" xfId="0" applyNumberFormat="1" applyBorder="1" applyAlignment="1" applyProtection="1">
      <alignment vertical="center"/>
    </xf>
    <xf numFmtId="0" fontId="0" fillId="10" borderId="0" xfId="0" applyFill="1" applyBorder="1" applyAlignment="1" applyProtection="1">
      <alignment vertical="center"/>
    </xf>
    <xf numFmtId="0" fontId="0" fillId="10" borderId="0" xfId="0" applyFill="1" applyAlignment="1" applyProtection="1">
      <alignment vertical="center"/>
    </xf>
    <xf numFmtId="0" fontId="0" fillId="11" borderId="17" xfId="0" applyFill="1" applyBorder="1" applyAlignment="1" applyProtection="1">
      <alignment vertical="center"/>
    </xf>
    <xf numFmtId="0" fontId="0" fillId="2" borderId="17" xfId="0" applyFill="1" applyBorder="1" applyAlignment="1" applyProtection="1">
      <alignment vertical="center"/>
    </xf>
    <xf numFmtId="0" fontId="0" fillId="2" borderId="0" xfId="0" applyFill="1" applyAlignment="1" applyProtection="1">
      <alignment vertical="center"/>
    </xf>
    <xf numFmtId="0" fontId="0" fillId="3" borderId="0" xfId="0" applyFill="1" applyBorder="1" applyAlignment="1" applyProtection="1">
      <alignment vertical="center"/>
    </xf>
    <xf numFmtId="169" fontId="0" fillId="0" borderId="6" xfId="0" applyNumberFormat="1" applyBorder="1" applyAlignment="1" applyProtection="1">
      <alignment vertical="center"/>
    </xf>
    <xf numFmtId="172" fontId="0" fillId="0" borderId="6" xfId="0" applyNumberFormat="1" applyBorder="1" applyAlignment="1" applyProtection="1">
      <alignment vertical="center"/>
    </xf>
    <xf numFmtId="172" fontId="0" fillId="0" borderId="20" xfId="0" applyNumberFormat="1" applyBorder="1" applyAlignment="1" applyProtection="1">
      <alignment vertical="center"/>
    </xf>
    <xf numFmtId="176" fontId="0" fillId="0" borderId="0" xfId="0" applyNumberFormat="1" applyAlignment="1" applyProtection="1">
      <alignment vertical="center"/>
    </xf>
    <xf numFmtId="0" fontId="8" fillId="6" borderId="0" xfId="0" applyFont="1" applyFill="1" applyBorder="1" applyAlignment="1" applyProtection="1">
      <alignment vertical="center" shrinkToFit="1"/>
    </xf>
    <xf numFmtId="0" fontId="4" fillId="6" borderId="0" xfId="0" applyFont="1" applyFill="1" applyBorder="1" applyAlignment="1" applyProtection="1">
      <alignment vertical="center"/>
    </xf>
    <xf numFmtId="172" fontId="8" fillId="6" borderId="0" xfId="0" applyNumberFormat="1" applyFont="1" applyFill="1" applyBorder="1" applyAlignment="1" applyProtection="1">
      <alignment vertical="center" shrinkToFit="1"/>
    </xf>
    <xf numFmtId="0" fontId="61" fillId="6" borderId="0" xfId="0" applyFont="1" applyFill="1" applyBorder="1" applyAlignment="1" applyProtection="1">
      <alignment vertical="center"/>
    </xf>
    <xf numFmtId="0" fontId="1" fillId="6" borderId="0" xfId="0" applyFont="1" applyFill="1" applyBorder="1" applyAlignment="1" applyProtection="1">
      <alignment vertical="center"/>
    </xf>
    <xf numFmtId="0" fontId="1" fillId="6" borderId="0" xfId="0" applyFont="1" applyFill="1" applyAlignment="1" applyProtection="1">
      <alignment vertical="center"/>
    </xf>
    <xf numFmtId="0" fontId="55" fillId="6" borderId="0" xfId="0" applyFont="1" applyFill="1" applyBorder="1" applyAlignment="1" applyProtection="1">
      <alignment vertical="center"/>
    </xf>
    <xf numFmtId="0" fontId="42" fillId="6" borderId="2" xfId="0" applyFont="1" applyFill="1" applyBorder="1" applyAlignment="1" applyProtection="1">
      <alignment vertical="center"/>
    </xf>
    <xf numFmtId="0" fontId="2" fillId="7" borderId="15" xfId="0" applyFont="1" applyFill="1" applyBorder="1" applyAlignment="1" applyProtection="1">
      <alignment vertical="center"/>
    </xf>
    <xf numFmtId="0" fontId="2" fillId="3" borderId="16" xfId="0" applyFont="1" applyFill="1" applyBorder="1" applyAlignment="1" applyProtection="1">
      <alignment vertical="center"/>
    </xf>
    <xf numFmtId="0" fontId="0" fillId="3" borderId="16" xfId="0" applyFill="1" applyBorder="1" applyAlignment="1" applyProtection="1">
      <alignment vertical="center"/>
    </xf>
    <xf numFmtId="198" fontId="0" fillId="6" borderId="59" xfId="0" applyNumberFormat="1" applyFill="1" applyBorder="1" applyAlignment="1" applyProtection="1">
      <alignment horizontal="right" vertical="center" shrinkToFit="1"/>
    </xf>
    <xf numFmtId="176" fontId="0" fillId="0" borderId="57" xfId="0" applyNumberFormat="1" applyBorder="1" applyAlignment="1" applyProtection="1">
      <alignment horizontal="right" vertical="center"/>
    </xf>
    <xf numFmtId="3" fontId="0" fillId="0" borderId="0" xfId="0" applyNumberFormat="1" applyBorder="1" applyAlignment="1" applyProtection="1">
      <alignment horizontal="center" vertical="center"/>
    </xf>
    <xf numFmtId="3" fontId="0" fillId="0" borderId="0" xfId="0" applyNumberFormat="1" applyAlignment="1" applyProtection="1">
      <alignment vertical="center"/>
    </xf>
    <xf numFmtId="176" fontId="0" fillId="0" borderId="0" xfId="0" applyNumberFormat="1"/>
    <xf numFmtId="0" fontId="0" fillId="6" borderId="0" xfId="0" applyFill="1" applyAlignment="1" applyProtection="1">
      <alignment vertical="center" shrinkToFit="1"/>
    </xf>
    <xf numFmtId="197" fontId="0" fillId="0" borderId="0" xfId="0" applyNumberFormat="1" applyBorder="1" applyAlignment="1" applyProtection="1">
      <alignment vertical="center"/>
    </xf>
    <xf numFmtId="192" fontId="0" fillId="0" borderId="0" xfId="0" applyNumberFormat="1"/>
    <xf numFmtId="0" fontId="42" fillId="0" borderId="0" xfId="0" applyFont="1" applyBorder="1" applyAlignment="1" applyProtection="1">
      <alignment horizontal="right" vertical="center"/>
    </xf>
    <xf numFmtId="170" fontId="0" fillId="2" borderId="49" xfId="0" applyNumberFormat="1" applyFill="1" applyBorder="1" applyAlignment="1" applyProtection="1">
      <alignment horizontal="right" vertical="center" shrinkToFit="1"/>
      <protection locked="0"/>
    </xf>
    <xf numFmtId="170" fontId="0" fillId="2" borderId="51" xfId="0" applyNumberFormat="1" applyFill="1" applyBorder="1" applyAlignment="1" applyProtection="1">
      <alignment horizontal="right" vertical="center" shrinkToFit="1"/>
      <protection locked="0"/>
    </xf>
    <xf numFmtId="0" fontId="42" fillId="2" borderId="0" xfId="0" applyFont="1" applyFill="1" applyAlignment="1">
      <alignment horizontal="center" shrinkToFit="1"/>
    </xf>
    <xf numFmtId="0" fontId="42" fillId="8" borderId="0" xfId="0" applyFont="1" applyFill="1" applyAlignment="1">
      <alignment horizontal="center" shrinkToFit="1"/>
    </xf>
    <xf numFmtId="0" fontId="42" fillId="12" borderId="0" xfId="0" applyFont="1" applyFill="1" applyAlignment="1">
      <alignment horizontal="center" shrinkToFit="1"/>
    </xf>
    <xf numFmtId="0" fontId="42" fillId="13" borderId="0" xfId="0" applyFont="1" applyFill="1" applyBorder="1" applyAlignment="1">
      <alignment horizontal="center" shrinkToFit="1"/>
    </xf>
    <xf numFmtId="0" fontId="42" fillId="13" borderId="60" xfId="0" applyFont="1" applyFill="1" applyBorder="1" applyAlignment="1">
      <alignment horizontal="center" shrinkToFit="1"/>
    </xf>
    <xf numFmtId="0" fontId="0" fillId="7" borderId="0" xfId="0" applyFill="1" applyAlignment="1">
      <alignment shrinkToFit="1"/>
    </xf>
    <xf numFmtId="0" fontId="42" fillId="11" borderId="0" xfId="0" applyFont="1" applyFill="1" applyAlignment="1">
      <alignment horizontal="center" shrinkToFit="1"/>
    </xf>
    <xf numFmtId="0" fontId="42" fillId="14" borderId="61" xfId="0" applyFont="1" applyFill="1" applyBorder="1" applyAlignment="1">
      <alignment horizontal="center" shrinkToFit="1"/>
    </xf>
    <xf numFmtId="0" fontId="42" fillId="14" borderId="62" xfId="0" applyFont="1" applyFill="1" applyBorder="1" applyAlignment="1">
      <alignment horizontal="center" shrinkToFit="1"/>
    </xf>
    <xf numFmtId="0" fontId="42" fillId="9" borderId="63" xfId="0" applyFont="1" applyFill="1" applyBorder="1" applyAlignment="1">
      <alignment horizontal="center" shrinkToFit="1"/>
    </xf>
    <xf numFmtId="0" fontId="42" fillId="14" borderId="0" xfId="0" applyFont="1" applyFill="1" applyBorder="1" applyAlignment="1">
      <alignment horizontal="center" shrinkToFit="1"/>
    </xf>
    <xf numFmtId="0" fontId="42" fillId="9" borderId="64" xfId="0" applyFont="1" applyFill="1" applyBorder="1" applyAlignment="1">
      <alignment horizontal="center" shrinkToFit="1"/>
    </xf>
    <xf numFmtId="0" fontId="42" fillId="9" borderId="65" xfId="0" applyFont="1" applyFill="1" applyBorder="1" applyAlignment="1">
      <alignment horizontal="center" shrinkToFit="1"/>
    </xf>
    <xf numFmtId="0" fontId="42" fillId="11" borderId="66" xfId="0" applyFont="1" applyFill="1" applyBorder="1" applyAlignment="1">
      <alignment horizontal="center" shrinkToFit="1"/>
    </xf>
    <xf numFmtId="0" fontId="42" fillId="14" borderId="67" xfId="0" applyFont="1" applyFill="1" applyBorder="1" applyAlignment="1">
      <alignment horizontal="center" shrinkToFit="1"/>
    </xf>
    <xf numFmtId="195" fontId="42" fillId="2" borderId="64" xfId="0" applyNumberFormat="1" applyFont="1" applyFill="1" applyBorder="1" applyAlignment="1">
      <alignment horizontal="center" shrinkToFit="1"/>
    </xf>
    <xf numFmtId="196" fontId="42" fillId="9" borderId="68" xfId="0" applyNumberFormat="1" applyFont="1" applyFill="1" applyBorder="1" applyAlignment="1">
      <alignment horizontal="center" shrinkToFit="1"/>
    </xf>
    <xf numFmtId="195" fontId="42" fillId="9" borderId="64" xfId="0" applyNumberFormat="1" applyFont="1" applyFill="1" applyBorder="1" applyAlignment="1">
      <alignment horizontal="center" shrinkToFit="1"/>
    </xf>
    <xf numFmtId="181" fontId="42" fillId="2" borderId="0" xfId="0" applyNumberFormat="1" applyFont="1" applyFill="1" applyAlignment="1">
      <alignment shrinkToFit="1"/>
    </xf>
    <xf numFmtId="188" fontId="0" fillId="7" borderId="69" xfId="0" applyNumberFormat="1" applyFill="1" applyBorder="1" applyAlignment="1">
      <alignment horizontal="center" shrinkToFit="1"/>
    </xf>
    <xf numFmtId="181" fontId="42" fillId="8" borderId="0" xfId="0" applyNumberFormat="1" applyFont="1" applyFill="1" applyAlignment="1">
      <alignment shrinkToFit="1"/>
    </xf>
    <xf numFmtId="188" fontId="0" fillId="7" borderId="70" xfId="0" applyNumberFormat="1" applyFill="1" applyBorder="1" applyAlignment="1">
      <alignment horizontal="center" shrinkToFit="1"/>
    </xf>
    <xf numFmtId="181" fontId="42" fillId="12" borderId="0" xfId="0" applyNumberFormat="1" applyFont="1" applyFill="1" applyAlignment="1">
      <alignment shrinkToFit="1"/>
    </xf>
    <xf numFmtId="188" fontId="0" fillId="7" borderId="71" xfId="0" applyNumberFormat="1" applyFill="1" applyBorder="1" applyAlignment="1">
      <alignment horizontal="center" shrinkToFit="1"/>
    </xf>
    <xf numFmtId="181" fontId="42" fillId="13" borderId="0" xfId="0" applyNumberFormat="1" applyFont="1" applyFill="1" applyAlignment="1">
      <alignment shrinkToFit="1"/>
    </xf>
    <xf numFmtId="188" fontId="0" fillId="13" borderId="72" xfId="0" applyNumberFormat="1" applyFill="1" applyBorder="1" applyAlignment="1">
      <alignment horizontal="center" shrinkToFit="1"/>
    </xf>
    <xf numFmtId="181" fontId="42" fillId="11" borderId="0" xfId="0" applyNumberFormat="1" applyFont="1" applyFill="1" applyAlignment="1">
      <alignment shrinkToFit="1"/>
    </xf>
    <xf numFmtId="188" fontId="0" fillId="7" borderId="73" xfId="0" applyNumberFormat="1" applyFill="1" applyBorder="1" applyAlignment="1">
      <alignment horizontal="center" shrinkToFit="1"/>
    </xf>
    <xf numFmtId="181" fontId="42" fillId="14" borderId="0" xfId="0" applyNumberFormat="1" applyFont="1" applyFill="1" applyAlignment="1">
      <alignment shrinkToFit="1"/>
    </xf>
    <xf numFmtId="188" fontId="0" fillId="14" borderId="74" xfId="0" applyNumberFormat="1" applyFill="1" applyBorder="1" applyAlignment="1">
      <alignment horizontal="center" shrinkToFit="1"/>
    </xf>
    <xf numFmtId="3" fontId="42" fillId="9" borderId="64" xfId="0" applyNumberFormat="1" applyFont="1" applyFill="1" applyBorder="1" applyAlignment="1">
      <alignment horizontal="center" shrinkToFit="1"/>
    </xf>
    <xf numFmtId="181" fontId="42" fillId="9" borderId="64" xfId="0" applyNumberFormat="1" applyFont="1" applyFill="1" applyBorder="1" applyAlignment="1">
      <alignment shrinkToFit="1"/>
    </xf>
    <xf numFmtId="181" fontId="42" fillId="9" borderId="68" xfId="0" applyNumberFormat="1" applyFont="1" applyFill="1" applyBorder="1" applyAlignment="1">
      <alignment shrinkToFit="1"/>
    </xf>
    <xf numFmtId="181" fontId="42" fillId="9" borderId="75" xfId="0" applyNumberFormat="1" applyFont="1" applyFill="1" applyBorder="1" applyAlignment="1">
      <alignment shrinkToFit="1"/>
    </xf>
    <xf numFmtId="181" fontId="42" fillId="9" borderId="76" xfId="0" applyNumberFormat="1" applyFont="1" applyFill="1" applyBorder="1" applyAlignment="1">
      <alignment shrinkToFit="1"/>
    </xf>
    <xf numFmtId="188" fontId="0" fillId="7" borderId="72" xfId="0" applyNumberFormat="1" applyFill="1" applyBorder="1" applyAlignment="1">
      <alignment horizontal="center" shrinkToFit="1"/>
    </xf>
    <xf numFmtId="3" fontId="0" fillId="7" borderId="64" xfId="0" applyNumberFormat="1" applyFill="1" applyBorder="1" applyAlignment="1">
      <alignment horizontal="center" shrinkToFit="1"/>
    </xf>
    <xf numFmtId="188" fontId="0" fillId="7" borderId="64" xfId="0" applyNumberFormat="1" applyFill="1" applyBorder="1" applyAlignment="1">
      <alignment horizontal="center" shrinkToFit="1"/>
    </xf>
    <xf numFmtId="193" fontId="0" fillId="9" borderId="64" xfId="0" applyNumberFormat="1" applyFill="1" applyBorder="1" applyAlignment="1">
      <alignment horizontal="center" shrinkToFit="1"/>
    </xf>
    <xf numFmtId="193" fontId="0" fillId="9" borderId="68" xfId="0" applyNumberFormat="1" applyFill="1" applyBorder="1" applyAlignment="1">
      <alignment horizontal="center" shrinkToFit="1"/>
    </xf>
    <xf numFmtId="188" fontId="0" fillId="7" borderId="75" xfId="0" applyNumberFormat="1" applyFill="1" applyBorder="1" applyAlignment="1">
      <alignment horizontal="center" shrinkToFit="1"/>
    </xf>
    <xf numFmtId="188" fontId="0" fillId="7" borderId="76" xfId="0" applyNumberFormat="1" applyFill="1" applyBorder="1" applyAlignment="1">
      <alignment horizontal="center" shrinkToFit="1"/>
    </xf>
    <xf numFmtId="188" fontId="0" fillId="7" borderId="74" xfId="0" applyNumberFormat="1" applyFill="1" applyBorder="1" applyAlignment="1">
      <alignment horizontal="center" shrinkToFit="1"/>
    </xf>
    <xf numFmtId="193" fontId="0" fillId="7" borderId="64" xfId="0" applyNumberFormat="1" applyFill="1" applyBorder="1" applyAlignment="1">
      <alignment horizontal="center" shrinkToFit="1"/>
    </xf>
    <xf numFmtId="193" fontId="0" fillId="7" borderId="68" xfId="0" applyNumberFormat="1" applyFill="1" applyBorder="1" applyAlignment="1">
      <alignment horizontal="center" shrinkToFit="1"/>
    </xf>
    <xf numFmtId="193" fontId="0" fillId="7" borderId="75" xfId="0" applyNumberFormat="1" applyFill="1" applyBorder="1" applyAlignment="1">
      <alignment horizontal="center" shrinkToFit="1"/>
    </xf>
    <xf numFmtId="193" fontId="0" fillId="7" borderId="76" xfId="0" applyNumberFormat="1" applyFill="1" applyBorder="1" applyAlignment="1">
      <alignment horizontal="center" shrinkToFit="1"/>
    </xf>
    <xf numFmtId="0" fontId="10" fillId="6" borderId="77" xfId="0" applyFont="1" applyFill="1" applyBorder="1" applyAlignment="1" applyProtection="1">
      <alignment horizontal="center" vertical="center"/>
    </xf>
    <xf numFmtId="0" fontId="10" fillId="6" borderId="78" xfId="0" applyFont="1" applyFill="1" applyBorder="1" applyAlignment="1" applyProtection="1">
      <alignment horizontal="center" vertical="center"/>
    </xf>
    <xf numFmtId="0" fontId="64" fillId="0" borderId="1" xfId="0" applyFont="1" applyBorder="1" applyAlignment="1">
      <alignment horizontal="left" vertical="center" indent="1"/>
    </xf>
    <xf numFmtId="0" fontId="64" fillId="0" borderId="0" xfId="0" applyFont="1" applyBorder="1" applyAlignment="1">
      <alignment horizontal="left" vertical="center" indent="1"/>
    </xf>
    <xf numFmtId="0" fontId="64" fillId="0" borderId="3" xfId="0" applyFont="1" applyBorder="1" applyAlignment="1">
      <alignment horizontal="left" vertical="center" indent="1"/>
    </xf>
    <xf numFmtId="0" fontId="64" fillId="0" borderId="35" xfId="0" applyFont="1" applyBorder="1" applyAlignment="1">
      <alignment horizontal="left" vertical="center" indent="1"/>
    </xf>
    <xf numFmtId="0" fontId="64" fillId="0" borderId="6" xfId="0" applyFont="1" applyBorder="1" applyAlignment="1">
      <alignment horizontal="left" vertical="center" indent="1"/>
    </xf>
    <xf numFmtId="0" fontId="64" fillId="0" borderId="20" xfId="0" applyFont="1" applyBorder="1" applyAlignment="1">
      <alignment horizontal="left" vertical="center" indent="1"/>
    </xf>
    <xf numFmtId="0" fontId="0" fillId="0" borderId="19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169" fontId="0" fillId="0" borderId="5" xfId="0" applyNumberFormat="1" applyFill="1" applyBorder="1" applyAlignment="1" applyProtection="1">
      <alignment horizontal="left" vertical="center"/>
    </xf>
    <xf numFmtId="0" fontId="0" fillId="0" borderId="17" xfId="0" applyBorder="1" applyAlignment="1" applyProtection="1">
      <alignment horizontal="center" vertical="center" shrinkToFit="1"/>
    </xf>
    <xf numFmtId="0" fontId="39" fillId="7" borderId="17" xfId="0" applyFont="1" applyFill="1" applyBorder="1" applyAlignment="1">
      <alignment horizontal="center" vertical="center" shrinkToFit="1"/>
    </xf>
    <xf numFmtId="192" fontId="0" fillId="0" borderId="3" xfId="0" applyNumberFormat="1" applyBorder="1"/>
    <xf numFmtId="192" fontId="0" fillId="0" borderId="20" xfId="0" applyNumberFormat="1" applyBorder="1"/>
    <xf numFmtId="192" fontId="0" fillId="0" borderId="47" xfId="0" applyNumberFormat="1" applyBorder="1"/>
    <xf numFmtId="0" fontId="7" fillId="0" borderId="1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0" fillId="0" borderId="20" xfId="0" applyBorder="1" applyAlignment="1" applyProtection="1">
      <alignment vertical="center"/>
    </xf>
    <xf numFmtId="0" fontId="0" fillId="0" borderId="1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10" borderId="79" xfId="0" applyFill="1" applyBorder="1" applyAlignment="1" applyProtection="1">
      <alignment vertical="center"/>
    </xf>
    <xf numFmtId="0" fontId="0" fillId="15" borderId="79" xfId="0" applyFill="1" applyBorder="1" applyAlignment="1" applyProtection="1">
      <alignment vertical="center"/>
    </xf>
    <xf numFmtId="0" fontId="65" fillId="0" borderId="4" xfId="0" applyFont="1" applyBorder="1" applyAlignment="1" applyProtection="1">
      <alignment horizontal="left"/>
    </xf>
    <xf numFmtId="0" fontId="65" fillId="0" borderId="19" xfId="0" applyFont="1" applyBorder="1" applyAlignment="1" applyProtection="1">
      <alignment horizontal="left"/>
    </xf>
    <xf numFmtId="0" fontId="65" fillId="0" borderId="1" xfId="0" applyFont="1" applyBorder="1" applyAlignment="1" applyProtection="1">
      <alignment horizontal="left"/>
    </xf>
    <xf numFmtId="0" fontId="10" fillId="6" borderId="80" xfId="0" applyFont="1" applyFill="1" applyBorder="1" applyAlignment="1" applyProtection="1">
      <alignment horizontal="center" vertical="center"/>
    </xf>
    <xf numFmtId="0" fontId="65" fillId="0" borderId="3" xfId="0" applyFont="1" applyBorder="1" applyAlignment="1" applyProtection="1">
      <alignment horizontal="left"/>
    </xf>
    <xf numFmtId="169" fontId="0" fillId="0" borderId="81" xfId="0" applyNumberFormat="1" applyBorder="1" applyAlignment="1" applyProtection="1">
      <alignment vertical="center"/>
    </xf>
    <xf numFmtId="197" fontId="0" fillId="0" borderId="0" xfId="0" applyNumberFormat="1" applyAlignment="1" applyProtection="1">
      <alignment vertical="center"/>
    </xf>
    <xf numFmtId="192" fontId="0" fillId="0" borderId="50" xfId="0" applyNumberFormat="1" applyBorder="1"/>
    <xf numFmtId="192" fontId="0" fillId="0" borderId="49" xfId="0" applyNumberFormat="1" applyBorder="1"/>
    <xf numFmtId="0" fontId="16" fillId="0" borderId="0" xfId="0" applyFont="1" applyFill="1" applyAlignment="1" applyProtection="1">
      <alignment horizontal="left"/>
    </xf>
    <xf numFmtId="0" fontId="39" fillId="0" borderId="0" xfId="0" applyFont="1" applyAlignment="1" applyProtection="1">
      <alignment horizontal="right"/>
    </xf>
    <xf numFmtId="0" fontId="0" fillId="7" borderId="82" xfId="0" applyFill="1" applyBorder="1" applyAlignment="1">
      <alignment horizontal="left" shrinkToFit="1"/>
    </xf>
    <xf numFmtId="0" fontId="0" fillId="7" borderId="53" xfId="0" applyFill="1" applyBorder="1" applyAlignment="1">
      <alignment horizontal="center" shrinkToFit="1"/>
    </xf>
    <xf numFmtId="0" fontId="0" fillId="7" borderId="83" xfId="0" applyFill="1" applyBorder="1" applyAlignment="1">
      <alignment horizontal="center" shrinkToFit="1"/>
    </xf>
    <xf numFmtId="0" fontId="0" fillId="7" borderId="84" xfId="0" applyFill="1" applyBorder="1" applyAlignment="1">
      <alignment horizontal="center" shrinkToFit="1"/>
    </xf>
    <xf numFmtId="0" fontId="0" fillId="7" borderId="85" xfId="0" applyFill="1" applyBorder="1" applyAlignment="1">
      <alignment horizontal="left" shrinkToFit="1"/>
    </xf>
    <xf numFmtId="0" fontId="0" fillId="0" borderId="0" xfId="0" quotePrefix="1" applyAlignment="1" applyProtection="1">
      <alignment horizontal="left"/>
    </xf>
    <xf numFmtId="0" fontId="58" fillId="7" borderId="0" xfId="0" applyFont="1" applyFill="1" applyAlignment="1" applyProtection="1">
      <alignment horizontal="center"/>
      <protection locked="0"/>
    </xf>
    <xf numFmtId="0" fontId="0" fillId="0" borderId="0" xfId="0" applyFill="1" applyProtection="1"/>
    <xf numFmtId="0" fontId="14" fillId="0" borderId="0" xfId="0" applyFont="1" applyFill="1" applyProtection="1"/>
    <xf numFmtId="0" fontId="14" fillId="4" borderId="4" xfId="0" applyFont="1" applyFill="1" applyBorder="1" applyProtection="1"/>
    <xf numFmtId="0" fontId="0" fillId="4" borderId="19" xfId="0" applyFill="1" applyBorder="1" applyProtection="1"/>
    <xf numFmtId="0" fontId="14" fillId="4" borderId="1" xfId="0" applyFont="1" applyFill="1" applyBorder="1" applyProtection="1"/>
    <xf numFmtId="0" fontId="2" fillId="0" borderId="0" xfId="0" applyFont="1" applyFill="1" applyBorder="1" applyProtection="1"/>
    <xf numFmtId="0" fontId="0" fillId="4" borderId="3" xfId="0" applyFill="1" applyBorder="1" applyProtection="1"/>
    <xf numFmtId="0" fontId="14" fillId="2" borderId="1" xfId="0" applyFont="1" applyFill="1" applyBorder="1" applyProtection="1"/>
    <xf numFmtId="0" fontId="0" fillId="2" borderId="0" xfId="0" applyFill="1" applyBorder="1" applyProtection="1"/>
    <xf numFmtId="0" fontId="0" fillId="2" borderId="3" xfId="0" applyFill="1" applyBorder="1" applyProtection="1"/>
    <xf numFmtId="0" fontId="0" fillId="2" borderId="0" xfId="0" applyFill="1" applyBorder="1" applyAlignment="1" applyProtection="1">
      <alignment horizontal="center"/>
    </xf>
    <xf numFmtId="0" fontId="23" fillId="2" borderId="0" xfId="0" applyFont="1" applyFill="1" applyBorder="1" applyProtection="1"/>
    <xf numFmtId="0" fontId="0" fillId="2" borderId="0" xfId="0" applyFill="1" applyBorder="1" applyAlignment="1" applyProtection="1"/>
    <xf numFmtId="0" fontId="14" fillId="2" borderId="86" xfId="0" applyFont="1" applyFill="1" applyBorder="1" applyProtection="1"/>
    <xf numFmtId="0" fontId="0" fillId="0" borderId="53" xfId="0" applyFill="1" applyBorder="1" applyProtection="1"/>
    <xf numFmtId="0" fontId="0" fillId="2" borderId="53" xfId="0" applyFill="1" applyBorder="1" applyAlignment="1" applyProtection="1">
      <alignment horizontal="center"/>
    </xf>
    <xf numFmtId="0" fontId="23" fillId="2" borderId="53" xfId="0" applyFont="1" applyFill="1" applyBorder="1" applyProtection="1"/>
    <xf numFmtId="0" fontId="0" fillId="2" borderId="53" xfId="0" applyFill="1" applyBorder="1" applyProtection="1"/>
    <xf numFmtId="0" fontId="0" fillId="2" borderId="87" xfId="0" applyFill="1" applyBorder="1" applyProtection="1"/>
    <xf numFmtId="0" fontId="2" fillId="0" borderId="0" xfId="0" applyFont="1" applyProtection="1"/>
    <xf numFmtId="0" fontId="15" fillId="2" borderId="1" xfId="0" applyFont="1" applyFill="1" applyBorder="1" applyProtection="1"/>
    <xf numFmtId="0" fontId="2" fillId="2" borderId="0" xfId="0" applyFont="1" applyFill="1" applyBorder="1" applyProtection="1"/>
    <xf numFmtId="0" fontId="24" fillId="2" borderId="0" xfId="0" applyFont="1" applyFill="1" applyBorder="1" applyProtection="1"/>
    <xf numFmtId="0" fontId="2" fillId="2" borderId="3" xfId="0" applyFont="1" applyFill="1" applyBorder="1" applyProtection="1"/>
    <xf numFmtId="0" fontId="14" fillId="0" borderId="1" xfId="0" applyFont="1" applyBorder="1" applyProtection="1"/>
    <xf numFmtId="0" fontId="0" fillId="0" borderId="3" xfId="0" applyBorder="1" applyProtection="1"/>
    <xf numFmtId="0" fontId="14" fillId="0" borderId="35" xfId="0" applyFont="1" applyBorder="1" applyProtection="1"/>
    <xf numFmtId="0" fontId="0" fillId="0" borderId="6" xfId="0" applyBorder="1" applyProtection="1"/>
    <xf numFmtId="0" fontId="0" fillId="0" borderId="20" xfId="0" applyBorder="1" applyProtection="1"/>
    <xf numFmtId="0" fontId="14" fillId="0" borderId="0" xfId="0" applyFont="1" applyProtection="1"/>
    <xf numFmtId="0" fontId="0" fillId="0" borderId="88" xfId="0" applyBorder="1" applyProtection="1"/>
    <xf numFmtId="0" fontId="15" fillId="0" borderId="61" xfId="0" applyFont="1" applyBorder="1" applyProtection="1"/>
    <xf numFmtId="0" fontId="0" fillId="0" borderId="61" xfId="0" applyBorder="1" applyProtection="1"/>
    <xf numFmtId="0" fontId="8" fillId="0" borderId="61" xfId="0" applyFont="1" applyBorder="1" applyAlignment="1" applyProtection="1">
      <alignment horizontal="right"/>
    </xf>
    <xf numFmtId="0" fontId="0" fillId="0" borderId="89" xfId="0" applyBorder="1" applyProtection="1"/>
    <xf numFmtId="0" fontId="0" fillId="0" borderId="90" xfId="0" applyBorder="1" applyProtection="1"/>
    <xf numFmtId="0" fontId="14" fillId="0" borderId="0" xfId="0" applyFont="1" applyBorder="1" applyProtection="1"/>
    <xf numFmtId="0" fontId="0" fillId="0" borderId="91" xfId="0" applyBorder="1" applyProtection="1"/>
    <xf numFmtId="0" fontId="2" fillId="0" borderId="90" xfId="0" applyFont="1" applyBorder="1" applyProtection="1"/>
    <xf numFmtId="0" fontId="15" fillId="0" borderId="0" xfId="0" applyFont="1" applyBorder="1" applyProtection="1"/>
    <xf numFmtId="0" fontId="2" fillId="0" borderId="0" xfId="0" applyFont="1" applyBorder="1" applyProtection="1"/>
    <xf numFmtId="0" fontId="2" fillId="0" borderId="0" xfId="0" applyFont="1" applyBorder="1" applyAlignment="1" applyProtection="1">
      <alignment horizontal="center"/>
    </xf>
    <xf numFmtId="0" fontId="2" fillId="0" borderId="91" xfId="0" applyFont="1" applyBorder="1" applyProtection="1"/>
    <xf numFmtId="0" fontId="21" fillId="0" borderId="4" xfId="0" applyFont="1" applyBorder="1" applyProtection="1"/>
    <xf numFmtId="0" fontId="0" fillId="0" borderId="5" xfId="0" applyBorder="1" applyProtection="1"/>
    <xf numFmtId="0" fontId="0" fillId="0" borderId="19" xfId="0" applyBorder="1" applyProtection="1"/>
    <xf numFmtId="0" fontId="22" fillId="0" borderId="35" xfId="0" applyFont="1" applyBorder="1" applyProtection="1"/>
    <xf numFmtId="0" fontId="0" fillId="0" borderId="92" xfId="0" applyBorder="1" applyProtection="1"/>
    <xf numFmtId="0" fontId="14" fillId="0" borderId="53" xfId="0" applyFont="1" applyBorder="1" applyProtection="1"/>
    <xf numFmtId="0" fontId="0" fillId="0" borderId="53" xfId="0" applyBorder="1" applyProtection="1"/>
    <xf numFmtId="0" fontId="0" fillId="0" borderId="93" xfId="0" applyBorder="1" applyProtection="1"/>
    <xf numFmtId="0" fontId="0" fillId="0" borderId="0" xfId="0" applyAlignment="1" applyProtection="1">
      <protection locked="0"/>
    </xf>
    <xf numFmtId="0" fontId="22" fillId="0" borderId="35" xfId="0" applyFont="1" applyBorder="1" applyProtection="1">
      <protection locked="0"/>
    </xf>
    <xf numFmtId="169" fontId="0" fillId="0" borderId="0" xfId="0" applyNumberFormat="1" applyAlignment="1" applyProtection="1">
      <alignment vertical="center"/>
    </xf>
    <xf numFmtId="0" fontId="0" fillId="7" borderId="15" xfId="0" applyFill="1" applyBorder="1" applyAlignment="1" applyProtection="1">
      <alignment horizontal="center" vertical="center"/>
    </xf>
    <xf numFmtId="0" fontId="45" fillId="0" borderId="0" xfId="0" applyFont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1" fillId="0" borderId="0" xfId="0" applyFont="1"/>
    <xf numFmtId="188" fontId="0" fillId="7" borderId="94" xfId="0" applyNumberFormat="1" applyFill="1" applyBorder="1" applyAlignment="1">
      <alignment horizontal="center" shrinkToFit="1"/>
    </xf>
    <xf numFmtId="188" fontId="0" fillId="7" borderId="95" xfId="0" applyNumberFormat="1" applyFill="1" applyBorder="1" applyAlignment="1">
      <alignment horizontal="center" shrinkToFit="1"/>
    </xf>
    <xf numFmtId="188" fontId="0" fillId="7" borderId="96" xfId="0" applyNumberFormat="1" applyFill="1" applyBorder="1" applyAlignment="1">
      <alignment horizontal="center" shrinkToFit="1"/>
    </xf>
    <xf numFmtId="188" fontId="0" fillId="7" borderId="97" xfId="0" applyNumberFormat="1" applyFill="1" applyBorder="1" applyAlignment="1">
      <alignment horizontal="center" shrinkToFit="1"/>
    </xf>
    <xf numFmtId="188" fontId="0" fillId="7" borderId="98" xfId="0" applyNumberFormat="1" applyFill="1" applyBorder="1" applyAlignment="1">
      <alignment horizontal="center" shrinkToFit="1"/>
    </xf>
    <xf numFmtId="0" fontId="66" fillId="7" borderId="0" xfId="0" applyFont="1" applyFill="1" applyAlignment="1">
      <alignment horizontal="right" vertical="center"/>
    </xf>
    <xf numFmtId="200" fontId="0" fillId="0" borderId="54" xfId="0" applyNumberFormat="1" applyBorder="1" applyAlignment="1" applyProtection="1">
      <alignment horizontal="center" vertical="center" shrinkToFit="1"/>
    </xf>
    <xf numFmtId="192" fontId="42" fillId="0" borderId="0" xfId="0" applyNumberFormat="1" applyFont="1" applyAlignment="1" applyProtection="1">
      <alignment horizontal="center" vertical="center"/>
    </xf>
    <xf numFmtId="192" fontId="42" fillId="2" borderId="0" xfId="0" applyNumberFormat="1" applyFont="1" applyFill="1" applyAlignment="1" applyProtection="1">
      <alignment horizontal="center" vertical="center"/>
    </xf>
    <xf numFmtId="201" fontId="0" fillId="0" borderId="0" xfId="0" applyNumberFormat="1" applyAlignment="1" applyProtection="1">
      <alignment horizontal="center" vertical="center" shrinkToFit="1"/>
    </xf>
    <xf numFmtId="201" fontId="0" fillId="0" borderId="0" xfId="0" applyNumberFormat="1" applyFill="1" applyAlignment="1" applyProtection="1">
      <alignment horizontal="center" vertical="center" shrinkToFit="1"/>
    </xf>
    <xf numFmtId="1" fontId="4" fillId="6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5" xfId="0" applyBorder="1" applyAlignment="1">
      <alignment vertical="center"/>
    </xf>
    <xf numFmtId="181" fontId="8" fillId="12" borderId="0" xfId="0" applyNumberFormat="1" applyFont="1" applyFill="1" applyAlignment="1">
      <alignment shrinkToFit="1"/>
    </xf>
    <xf numFmtId="0" fontId="4" fillId="3" borderId="0" xfId="0" applyFont="1" applyFill="1" applyAlignment="1" applyProtection="1">
      <alignment vertical="center"/>
    </xf>
    <xf numFmtId="0" fontId="17" fillId="3" borderId="6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201" fontId="8" fillId="0" borderId="0" xfId="0" applyNumberFormat="1" applyFont="1" applyAlignment="1" applyProtection="1">
      <alignment horizontal="center" vertical="center" shrinkToFit="1"/>
    </xf>
    <xf numFmtId="181" fontId="8" fillId="2" borderId="0" xfId="0" applyNumberFormat="1" applyFont="1" applyFill="1" applyAlignment="1">
      <alignment shrinkToFit="1"/>
    </xf>
    <xf numFmtId="181" fontId="8" fillId="8" borderId="0" xfId="0" applyNumberFormat="1" applyFont="1" applyFill="1" applyAlignment="1">
      <alignment shrinkToFit="1"/>
    </xf>
    <xf numFmtId="181" fontId="8" fillId="13" borderId="0" xfId="0" applyNumberFormat="1" applyFont="1" applyFill="1" applyAlignment="1">
      <alignment shrinkToFit="1"/>
    </xf>
    <xf numFmtId="181" fontId="8" fillId="11" borderId="0" xfId="0" applyNumberFormat="1" applyFont="1" applyFill="1" applyAlignment="1">
      <alignment shrinkToFit="1"/>
    </xf>
    <xf numFmtId="181" fontId="8" fillId="14" borderId="0" xfId="0" applyNumberFormat="1" applyFont="1" applyFill="1" applyAlignment="1">
      <alignment shrinkToFit="1"/>
    </xf>
    <xf numFmtId="0" fontId="6" fillId="0" borderId="0" xfId="0" quotePrefix="1" applyFont="1" applyAlignment="1" applyProtection="1">
      <alignment horizontal="left"/>
    </xf>
    <xf numFmtId="0" fontId="4" fillId="7" borderId="0" xfId="0" applyFont="1" applyFill="1"/>
    <xf numFmtId="0" fontId="4" fillId="7" borderId="85" xfId="0" applyFont="1" applyFill="1" applyBorder="1" applyAlignment="1">
      <alignment horizontal="left" shrinkToFit="1"/>
    </xf>
    <xf numFmtId="177" fontId="62" fillId="6" borderId="0" xfId="0" applyNumberFormat="1" applyFont="1" applyFill="1" applyBorder="1" applyAlignment="1" applyProtection="1">
      <alignment horizontal="center" vertical="center" shrinkToFit="1"/>
    </xf>
    <xf numFmtId="0" fontId="42" fillId="14" borderId="99" xfId="0" applyFont="1" applyFill="1" applyBorder="1" applyAlignment="1">
      <alignment horizontal="center" shrinkToFit="1"/>
    </xf>
    <xf numFmtId="0" fontId="42" fillId="14" borderId="100" xfId="0" applyFont="1" applyFill="1" applyBorder="1" applyAlignment="1">
      <alignment horizontal="center" shrinkToFit="1"/>
    </xf>
    <xf numFmtId="0" fontId="0" fillId="7" borderId="4" xfId="0" applyFill="1" applyBorder="1"/>
    <xf numFmtId="0" fontId="4" fillId="0" borderId="1" xfId="0" applyFont="1" applyBorder="1" applyAlignment="1" applyProtection="1">
      <alignment vertical="center"/>
    </xf>
    <xf numFmtId="0" fontId="4" fillId="7" borderId="1" xfId="0" applyFont="1" applyFill="1" applyBorder="1"/>
    <xf numFmtId="181" fontId="42" fillId="9" borderId="17" xfId="0" applyNumberFormat="1" applyFont="1" applyFill="1" applyBorder="1" applyAlignment="1">
      <alignment shrinkToFit="1"/>
    </xf>
    <xf numFmtId="204" fontId="0" fillId="7" borderId="47" xfId="0" applyNumberFormat="1" applyFill="1" applyBorder="1"/>
    <xf numFmtId="0" fontId="0" fillId="7" borderId="19" xfId="0" applyFill="1" applyBorder="1"/>
    <xf numFmtId="0" fontId="0" fillId="7" borderId="3" xfId="0" applyFill="1" applyBorder="1"/>
    <xf numFmtId="0" fontId="16" fillId="0" borderId="1" xfId="0" applyFont="1" applyBorder="1" applyAlignment="1" applyProtection="1">
      <alignment vertical="center"/>
    </xf>
    <xf numFmtId="0" fontId="0" fillId="16" borderId="54" xfId="0" applyFill="1" applyBorder="1" applyAlignment="1" applyProtection="1">
      <alignment horizontal="center" vertical="center" shrinkToFit="1"/>
    </xf>
    <xf numFmtId="207" fontId="0" fillId="16" borderId="54" xfId="0" applyNumberFormat="1" applyFill="1" applyBorder="1" applyAlignment="1" applyProtection="1">
      <alignment horizontal="center" vertical="center" shrinkToFit="1"/>
    </xf>
    <xf numFmtId="208" fontId="0" fillId="16" borderId="54" xfId="0" applyNumberFormat="1" applyFill="1" applyBorder="1" applyAlignment="1" applyProtection="1">
      <alignment horizontal="center" vertical="center" shrinkToFit="1"/>
    </xf>
    <xf numFmtId="0" fontId="4" fillId="17" borderId="0" xfId="0" applyFont="1" applyFill="1" applyAlignment="1" applyProtection="1">
      <alignment vertical="center"/>
    </xf>
    <xf numFmtId="0" fontId="67" fillId="6" borderId="0" xfId="0" applyFont="1" applyFill="1" applyAlignment="1" applyProtection="1">
      <alignment vertical="center"/>
    </xf>
    <xf numFmtId="169" fontId="0" fillId="0" borderId="54" xfId="0" applyNumberFormat="1" applyBorder="1" applyAlignment="1" applyProtection="1">
      <alignment horizontal="center" vertical="center"/>
    </xf>
    <xf numFmtId="0" fontId="4" fillId="0" borderId="54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0" fontId="70" fillId="0" borderId="0" xfId="0" applyFont="1" applyFill="1" applyAlignment="1" applyProtection="1">
      <alignment vertical="center"/>
    </xf>
    <xf numFmtId="0" fontId="0" fillId="0" borderId="0" xfId="0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left" vertical="center"/>
    </xf>
    <xf numFmtId="203" fontId="0" fillId="0" borderId="0" xfId="0" applyNumberFormat="1" applyBorder="1" applyAlignment="1">
      <alignment horizontal="center" vertical="center"/>
    </xf>
    <xf numFmtId="0" fontId="4" fillId="7" borderId="3" xfId="0" applyFont="1" applyFill="1" applyBorder="1" applyAlignment="1">
      <alignment shrinkToFit="1"/>
    </xf>
    <xf numFmtId="0" fontId="4" fillId="20" borderId="85" xfId="0" applyFont="1" applyFill="1" applyBorder="1" applyAlignment="1">
      <alignment horizontal="left" shrinkToFit="1"/>
    </xf>
    <xf numFmtId="188" fontId="0" fillId="20" borderId="102" xfId="0" applyNumberFormat="1" applyFill="1" applyBorder="1" applyAlignment="1">
      <alignment horizontal="center" shrinkToFit="1"/>
    </xf>
    <xf numFmtId="188" fontId="0" fillId="20" borderId="94" xfId="0" applyNumberFormat="1" applyFill="1" applyBorder="1" applyAlignment="1">
      <alignment horizontal="center" shrinkToFit="1"/>
    </xf>
    <xf numFmtId="188" fontId="0" fillId="20" borderId="103" xfId="0" applyNumberFormat="1" applyFill="1" applyBorder="1" applyAlignment="1">
      <alignment horizontal="center" shrinkToFit="1"/>
    </xf>
    <xf numFmtId="188" fontId="4" fillId="20" borderId="165" xfId="0" applyNumberFormat="1" applyFont="1" applyFill="1" applyBorder="1" applyAlignment="1">
      <alignment horizontal="center" shrinkToFit="1"/>
    </xf>
    <xf numFmtId="188" fontId="4" fillId="20" borderId="166" xfId="0" applyNumberFormat="1" applyFont="1" applyFill="1" applyBorder="1" applyAlignment="1">
      <alignment horizontal="center" shrinkToFit="1"/>
    </xf>
    <xf numFmtId="188" fontId="0" fillId="20" borderId="104" xfId="0" applyNumberFormat="1" applyFill="1" applyBorder="1" applyAlignment="1">
      <alignment horizontal="center" shrinkToFit="1"/>
    </xf>
    <xf numFmtId="188" fontId="0" fillId="20" borderId="96" xfId="0" applyNumberFormat="1" applyFill="1" applyBorder="1" applyAlignment="1">
      <alignment horizontal="center" shrinkToFit="1"/>
    </xf>
    <xf numFmtId="188" fontId="0" fillId="20" borderId="105" xfId="0" applyNumberFormat="1" applyFill="1" applyBorder="1" applyAlignment="1">
      <alignment horizontal="center" shrinkToFit="1"/>
    </xf>
    <xf numFmtId="188" fontId="0" fillId="20" borderId="97" xfId="0" applyNumberFormat="1" applyFill="1" applyBorder="1" applyAlignment="1">
      <alignment horizontal="center" shrinkToFit="1"/>
    </xf>
    <xf numFmtId="0" fontId="58" fillId="7" borderId="106" xfId="0" applyFont="1" applyFill="1" applyBorder="1" applyAlignment="1">
      <alignment horizontal="center"/>
    </xf>
    <xf numFmtId="0" fontId="58" fillId="7" borderId="107" xfId="0" applyFont="1" applyFill="1" applyBorder="1" applyAlignment="1">
      <alignment horizontal="center"/>
    </xf>
    <xf numFmtId="0" fontId="58" fillId="7" borderId="108" xfId="0" applyFont="1" applyFill="1" applyBorder="1" applyAlignment="1">
      <alignment horizontal="center"/>
    </xf>
    <xf numFmtId="0" fontId="58" fillId="7" borderId="109" xfId="0" applyFont="1" applyFill="1" applyBorder="1" applyAlignment="1">
      <alignment horizontal="center"/>
    </xf>
    <xf numFmtId="0" fontId="10" fillId="7" borderId="108" xfId="0" applyFont="1" applyFill="1" applyBorder="1" applyAlignment="1">
      <alignment horizontal="center"/>
    </xf>
    <xf numFmtId="0" fontId="10" fillId="7" borderId="109" xfId="0" applyFont="1" applyFill="1" applyBorder="1" applyAlignment="1">
      <alignment horizontal="center"/>
    </xf>
    <xf numFmtId="2" fontId="0" fillId="21" borderId="0" xfId="0" applyNumberFormat="1" applyFill="1" applyBorder="1" applyAlignment="1" applyProtection="1">
      <alignment horizontal="right" vertical="center"/>
    </xf>
    <xf numFmtId="1" fontId="0" fillId="21" borderId="0" xfId="0" applyNumberFormat="1" applyFill="1" applyBorder="1" applyAlignment="1" applyProtection="1">
      <alignment horizontal="right" vertical="center" shrinkToFit="1"/>
    </xf>
    <xf numFmtId="0" fontId="42" fillId="22" borderId="110" xfId="0" applyFont="1" applyFill="1" applyBorder="1" applyAlignment="1">
      <alignment horizontal="center" shrinkToFit="1"/>
    </xf>
    <xf numFmtId="0" fontId="2" fillId="7" borderId="90" xfId="0" applyFont="1" applyFill="1" applyBorder="1" applyAlignment="1">
      <alignment horizontal="left" shrinkToFit="1"/>
    </xf>
    <xf numFmtId="0" fontId="37" fillId="0" borderId="0" xfId="0" applyFont="1" applyAlignment="1" applyProtection="1">
      <alignment horizontal="left"/>
    </xf>
    <xf numFmtId="180" fontId="0" fillId="0" borderId="0" xfId="0" applyNumberFormat="1" applyBorder="1" applyAlignment="1" applyProtection="1">
      <alignment horizontal="center"/>
    </xf>
    <xf numFmtId="1" fontId="2" fillId="0" borderId="0" xfId="0" applyNumberFormat="1" applyFont="1" applyBorder="1" applyAlignment="1" applyProtection="1">
      <alignment horizontal="center"/>
    </xf>
    <xf numFmtId="0" fontId="0" fillId="23" borderId="0" xfId="0" applyFill="1" applyBorder="1" applyAlignment="1" applyProtection="1">
      <alignment horizontal="left" vertical="center"/>
    </xf>
    <xf numFmtId="0" fontId="4" fillId="24" borderId="168" xfId="0" applyFont="1" applyFill="1" applyBorder="1" applyAlignment="1" applyProtection="1">
      <alignment horizontal="left" vertical="center"/>
    </xf>
    <xf numFmtId="0" fontId="0" fillId="24" borderId="169" xfId="0" applyFill="1" applyBorder="1" applyAlignment="1" applyProtection="1">
      <alignment horizontal="left" vertical="center"/>
    </xf>
    <xf numFmtId="0" fontId="0" fillId="24" borderId="170" xfId="0" applyFill="1" applyBorder="1" applyAlignment="1" applyProtection="1">
      <alignment horizontal="left" vertical="center"/>
    </xf>
    <xf numFmtId="0" fontId="72" fillId="24" borderId="171" xfId="0" applyFont="1" applyFill="1" applyBorder="1" applyAlignment="1" applyProtection="1">
      <alignment horizontal="left" vertical="center"/>
    </xf>
    <xf numFmtId="0" fontId="0" fillId="24" borderId="0" xfId="0" applyFill="1" applyBorder="1" applyAlignment="1" applyProtection="1">
      <alignment horizontal="left" vertical="center"/>
    </xf>
    <xf numFmtId="0" fontId="0" fillId="24" borderId="172" xfId="0" applyFill="1" applyBorder="1" applyAlignment="1" applyProtection="1">
      <alignment horizontal="left" vertical="center"/>
    </xf>
    <xf numFmtId="0" fontId="4" fillId="24" borderId="171" xfId="0" applyFont="1" applyFill="1" applyBorder="1" applyAlignment="1" applyProtection="1">
      <alignment horizontal="left" vertical="center"/>
    </xf>
    <xf numFmtId="0" fontId="0" fillId="24" borderId="173" xfId="0" applyFill="1" applyBorder="1" applyAlignment="1" applyProtection="1">
      <alignment horizontal="left"/>
    </xf>
    <xf numFmtId="0" fontId="8" fillId="24" borderId="173" xfId="0" applyFont="1" applyFill="1" applyBorder="1" applyAlignment="1" applyProtection="1">
      <alignment horizontal="left"/>
    </xf>
    <xf numFmtId="0" fontId="0" fillId="24" borderId="174" xfId="0" applyFill="1" applyBorder="1" applyAlignment="1" applyProtection="1">
      <alignment horizontal="left"/>
    </xf>
    <xf numFmtId="0" fontId="8" fillId="24" borderId="173" xfId="0" applyFont="1" applyFill="1" applyBorder="1" applyAlignment="1" applyProtection="1">
      <alignment horizontal="left" indent="1"/>
    </xf>
    <xf numFmtId="0" fontId="14" fillId="25" borderId="15" xfId="0" applyFont="1" applyFill="1" applyBorder="1" applyProtection="1">
      <protection locked="0"/>
    </xf>
    <xf numFmtId="0" fontId="0" fillId="25" borderId="16" xfId="0" applyFill="1" applyBorder="1" applyProtection="1"/>
    <xf numFmtId="0" fontId="0" fillId="25" borderId="48" xfId="0" applyFill="1" applyBorder="1" applyProtection="1"/>
    <xf numFmtId="0" fontId="8" fillId="0" borderId="0" xfId="0" applyFont="1" applyBorder="1" applyAlignment="1" applyProtection="1">
      <alignment horizontal="right"/>
    </xf>
    <xf numFmtId="0" fontId="8" fillId="0" borderId="0" xfId="0" applyFont="1" applyBorder="1" applyProtection="1"/>
    <xf numFmtId="0" fontId="87" fillId="0" borderId="0" xfId="0" applyFont="1" applyProtection="1"/>
    <xf numFmtId="0" fontId="73" fillId="0" borderId="1" xfId="0" applyFont="1" applyBorder="1" applyAlignment="1" applyProtection="1">
      <alignment horizontal="left"/>
    </xf>
    <xf numFmtId="0" fontId="88" fillId="0" borderId="0" xfId="0" applyFont="1" applyProtection="1"/>
    <xf numFmtId="0" fontId="14" fillId="0" borderId="175" xfId="0" applyFont="1" applyBorder="1" applyProtection="1"/>
    <xf numFmtId="0" fontId="0" fillId="0" borderId="176" xfId="0" applyBorder="1" applyProtection="1"/>
    <xf numFmtId="0" fontId="4" fillId="6" borderId="0" xfId="0" applyFont="1" applyFill="1" applyAlignment="1" applyProtection="1">
      <alignment horizontal="right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1" fontId="0" fillId="0" borderId="0" xfId="0" applyNumberFormat="1" applyBorder="1" applyAlignment="1" applyProtection="1">
      <alignment horizontal="center" vertical="center"/>
    </xf>
    <xf numFmtId="169" fontId="10" fillId="0" borderId="5" xfId="0" applyNumberFormat="1" applyFont="1" applyFill="1" applyBorder="1" applyAlignment="1" applyProtection="1">
      <alignment horizontal="left" vertical="center"/>
    </xf>
    <xf numFmtId="0" fontId="4" fillId="2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</xf>
    <xf numFmtId="213" fontId="2" fillId="0" borderId="0" xfId="0" applyNumberFormat="1" applyFont="1" applyAlignment="1" applyProtection="1">
      <alignment vertical="center"/>
    </xf>
    <xf numFmtId="0" fontId="4" fillId="2" borderId="111" xfId="0" applyFont="1" applyFill="1" applyBorder="1" applyAlignment="1" applyProtection="1">
      <alignment horizontal="center" vertical="center"/>
      <protection locked="0"/>
    </xf>
    <xf numFmtId="183" fontId="4" fillId="21" borderId="0" xfId="0" applyNumberFormat="1" applyFont="1" applyFill="1" applyBorder="1" applyAlignment="1" applyProtection="1">
      <alignment horizontal="right" vertical="center"/>
    </xf>
    <xf numFmtId="0" fontId="2" fillId="21" borderId="0" xfId="0" applyFont="1" applyFill="1" applyBorder="1" applyAlignment="1" applyProtection="1">
      <alignment vertical="center"/>
    </xf>
    <xf numFmtId="0" fontId="0" fillId="21" borderId="0" xfId="0" applyFill="1" applyBorder="1" applyAlignment="1" applyProtection="1">
      <alignment vertical="center"/>
    </xf>
    <xf numFmtId="0" fontId="0" fillId="21" borderId="0" xfId="0" applyFill="1" applyAlignment="1" applyProtection="1">
      <alignment vertical="center"/>
    </xf>
    <xf numFmtId="0" fontId="2" fillId="26" borderId="0" xfId="0" applyFont="1" applyFill="1" applyBorder="1" applyAlignment="1" applyProtection="1">
      <alignment vertical="center"/>
    </xf>
    <xf numFmtId="0" fontId="0" fillId="26" borderId="0" xfId="0" applyFill="1" applyAlignment="1" applyProtection="1">
      <alignment vertical="center"/>
    </xf>
    <xf numFmtId="0" fontId="0" fillId="26" borderId="48" xfId="0" applyFill="1" applyBorder="1" applyAlignment="1" applyProtection="1">
      <alignment vertical="center"/>
    </xf>
    <xf numFmtId="0" fontId="59" fillId="6" borderId="0" xfId="0" applyFont="1" applyFill="1" applyAlignment="1" applyProtection="1">
      <alignment vertical="center"/>
    </xf>
    <xf numFmtId="0" fontId="0" fillId="23" borderId="1" xfId="0" applyFill="1" applyBorder="1" applyAlignment="1" applyProtection="1">
      <alignment vertical="center"/>
    </xf>
    <xf numFmtId="0" fontId="16" fillId="23" borderId="1" xfId="0" applyFont="1" applyFill="1" applyBorder="1" applyAlignment="1">
      <alignment vertical="center"/>
    </xf>
    <xf numFmtId="1" fontId="0" fillId="0" borderId="0" xfId="0" applyNumberFormat="1" applyBorder="1" applyAlignment="1" applyProtection="1">
      <alignment vertical="center"/>
    </xf>
    <xf numFmtId="0" fontId="2" fillId="0" borderId="48" xfId="0" applyFont="1" applyBorder="1" applyAlignment="1" applyProtection="1">
      <alignment vertical="center"/>
    </xf>
    <xf numFmtId="3" fontId="0" fillId="0" borderId="0" xfId="0" applyNumberFormat="1" applyBorder="1" applyAlignment="1" applyProtection="1">
      <alignment vertical="center"/>
    </xf>
    <xf numFmtId="3" fontId="0" fillId="0" borderId="0" xfId="0" applyNumberFormat="1" applyBorder="1" applyAlignment="1" applyProtection="1">
      <alignment horizontal="right" vertical="center"/>
    </xf>
    <xf numFmtId="0" fontId="4" fillId="0" borderId="1" xfId="0" applyFont="1" applyBorder="1" applyAlignment="1" applyProtection="1">
      <alignment horizontal="right" vertical="center"/>
    </xf>
    <xf numFmtId="173" fontId="0" fillId="0" borderId="0" xfId="0" applyNumberFormat="1" applyBorder="1" applyAlignment="1" applyProtection="1">
      <alignment vertical="center"/>
    </xf>
    <xf numFmtId="0" fontId="2" fillId="6" borderId="53" xfId="0" applyFont="1" applyFill="1" applyBorder="1" applyAlignment="1" applyProtection="1">
      <alignment vertical="center"/>
    </xf>
    <xf numFmtId="0" fontId="0" fillId="6" borderId="53" xfId="0" applyFill="1" applyBorder="1" applyAlignment="1" applyProtection="1">
      <alignment vertical="center"/>
    </xf>
    <xf numFmtId="0" fontId="8" fillId="6" borderId="53" xfId="0" applyFont="1" applyFill="1" applyBorder="1" applyAlignment="1" applyProtection="1">
      <alignment vertical="center"/>
    </xf>
    <xf numFmtId="0" fontId="8" fillId="6" borderId="53" xfId="0" applyFont="1" applyFill="1" applyBorder="1" applyAlignment="1" applyProtection="1">
      <alignment vertical="center" shrinkToFit="1"/>
    </xf>
    <xf numFmtId="183" fontId="4" fillId="6" borderId="53" xfId="0" applyNumberFormat="1" applyFont="1" applyFill="1" applyBorder="1" applyAlignment="1" applyProtection="1">
      <alignment horizontal="right" vertical="center"/>
    </xf>
    <xf numFmtId="177" fontId="8" fillId="6" borderId="53" xfId="0" applyNumberFormat="1" applyFont="1" applyFill="1" applyBorder="1" applyAlignment="1" applyProtection="1">
      <alignment horizontal="right" vertical="center"/>
    </xf>
    <xf numFmtId="0" fontId="4" fillId="6" borderId="53" xfId="0" applyFont="1" applyFill="1" applyBorder="1" applyAlignment="1" applyProtection="1">
      <alignment vertical="center"/>
    </xf>
    <xf numFmtId="0" fontId="55" fillId="6" borderId="53" xfId="0" applyFont="1" applyFill="1" applyBorder="1" applyAlignment="1" applyProtection="1">
      <alignment vertical="center"/>
    </xf>
    <xf numFmtId="3" fontId="2" fillId="0" borderId="0" xfId="0" applyNumberFormat="1" applyFont="1" applyBorder="1" applyAlignment="1" applyProtection="1">
      <alignment horizontal="right" vertical="center"/>
    </xf>
    <xf numFmtId="169" fontId="2" fillId="21" borderId="0" xfId="0" applyNumberFormat="1" applyFont="1" applyFill="1" applyBorder="1" applyAlignment="1" applyProtection="1">
      <alignment horizontal="right" vertical="center" shrinkToFit="1"/>
    </xf>
    <xf numFmtId="169" fontId="4" fillId="0" borderId="0" xfId="0" applyNumberFormat="1" applyFont="1" applyFill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vertical="center"/>
    </xf>
    <xf numFmtId="0" fontId="4" fillId="3" borderId="6" xfId="0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vertical="center"/>
    </xf>
    <xf numFmtId="0" fontId="0" fillId="27" borderId="0" xfId="0" applyFill="1" applyBorder="1" applyAlignment="1" applyProtection="1">
      <alignment vertical="center"/>
    </xf>
    <xf numFmtId="0" fontId="0" fillId="28" borderId="1" xfId="0" applyFill="1" applyBorder="1" applyAlignment="1" applyProtection="1">
      <alignment vertical="center"/>
    </xf>
    <xf numFmtId="0" fontId="2" fillId="28" borderId="0" xfId="0" applyFont="1" applyFill="1" applyBorder="1" applyAlignment="1" applyProtection="1">
      <alignment vertical="center"/>
    </xf>
    <xf numFmtId="0" fontId="0" fillId="28" borderId="0" xfId="0" applyFill="1" applyBorder="1" applyAlignment="1" applyProtection="1">
      <alignment vertical="center"/>
    </xf>
    <xf numFmtId="0" fontId="8" fillId="28" borderId="0" xfId="0" applyFont="1" applyFill="1" applyBorder="1" applyAlignment="1" applyProtection="1">
      <alignment vertical="center"/>
    </xf>
    <xf numFmtId="0" fontId="8" fillId="28" borderId="0" xfId="0" applyFont="1" applyFill="1" applyBorder="1" applyAlignment="1" applyProtection="1">
      <alignment vertical="center" shrinkToFit="1"/>
    </xf>
    <xf numFmtId="183" fontId="4" fillId="28" borderId="0" xfId="0" applyNumberFormat="1" applyFont="1" applyFill="1" applyBorder="1" applyAlignment="1" applyProtection="1">
      <alignment horizontal="right" vertical="center"/>
    </xf>
    <xf numFmtId="177" fontId="8" fillId="28" borderId="0" xfId="0" applyNumberFormat="1" applyFont="1" applyFill="1" applyBorder="1" applyAlignment="1" applyProtection="1">
      <alignment horizontal="right" vertical="center"/>
    </xf>
    <xf numFmtId="0" fontId="4" fillId="28" borderId="0" xfId="0" applyFont="1" applyFill="1" applyBorder="1" applyAlignment="1" applyProtection="1">
      <alignment vertical="center"/>
    </xf>
    <xf numFmtId="0" fontId="0" fillId="28" borderId="0" xfId="0" applyFill="1" applyAlignment="1" applyProtection="1">
      <alignment vertical="center"/>
    </xf>
    <xf numFmtId="0" fontId="8" fillId="28" borderId="0" xfId="0" applyFont="1" applyFill="1" applyAlignment="1" applyProtection="1">
      <alignment vertical="center"/>
    </xf>
    <xf numFmtId="0" fontId="0" fillId="28" borderId="112" xfId="0" applyFill="1" applyBorder="1" applyAlignment="1" applyProtection="1">
      <alignment vertical="center"/>
    </xf>
    <xf numFmtId="0" fontId="8" fillId="28" borderId="112" xfId="0" applyFont="1" applyFill="1" applyBorder="1" applyAlignment="1" applyProtection="1">
      <alignment vertical="center"/>
    </xf>
    <xf numFmtId="0" fontId="8" fillId="28" borderId="112" xfId="0" applyFont="1" applyFill="1" applyBorder="1" applyAlignment="1" applyProtection="1">
      <alignment vertical="center" shrinkToFit="1"/>
    </xf>
    <xf numFmtId="0" fontId="0" fillId="28" borderId="6" xfId="0" applyFill="1" applyBorder="1" applyAlignment="1" applyProtection="1">
      <alignment vertical="center"/>
    </xf>
    <xf numFmtId="0" fontId="14" fillId="28" borderId="0" xfId="0" applyFont="1" applyFill="1" applyBorder="1" applyAlignment="1" applyProtection="1">
      <alignment vertical="center"/>
    </xf>
    <xf numFmtId="169" fontId="4" fillId="28" borderId="0" xfId="0" applyNumberFormat="1" applyFont="1" applyFill="1" applyBorder="1" applyAlignment="1" applyProtection="1">
      <alignment horizontal="right" vertical="center"/>
    </xf>
    <xf numFmtId="0" fontId="65" fillId="0" borderId="5" xfId="0" applyFont="1" applyBorder="1" applyAlignment="1" applyProtection="1">
      <alignment horizontal="left"/>
    </xf>
    <xf numFmtId="0" fontId="65" fillId="0" borderId="0" xfId="0" applyFont="1" applyBorder="1" applyAlignment="1" applyProtection="1">
      <alignment horizontal="left"/>
    </xf>
    <xf numFmtId="0" fontId="0" fillId="0" borderId="0" xfId="0" applyBorder="1" applyAlignment="1" applyProtection="1">
      <alignment horizontal="right" vertical="center"/>
    </xf>
    <xf numFmtId="172" fontId="4" fillId="0" borderId="0" xfId="0" applyNumberFormat="1" applyFont="1" applyBorder="1" applyAlignment="1" applyProtection="1">
      <alignment horizontal="center" vertical="center"/>
    </xf>
    <xf numFmtId="0" fontId="59" fillId="6" borderId="0" xfId="0" quotePrefix="1" applyFont="1" applyFill="1" applyBorder="1" applyAlignment="1" applyProtection="1">
      <alignment vertical="center"/>
    </xf>
    <xf numFmtId="0" fontId="16" fillId="6" borderId="0" xfId="0" quotePrefix="1" applyFont="1" applyFill="1" applyBorder="1" applyAlignment="1" applyProtection="1">
      <alignment vertical="center"/>
    </xf>
    <xf numFmtId="0" fontId="0" fillId="23" borderId="0" xfId="0" applyFill="1" applyBorder="1" applyAlignment="1" applyProtection="1">
      <alignment vertical="center"/>
    </xf>
    <xf numFmtId="0" fontId="0" fillId="23" borderId="0" xfId="0" applyFill="1" applyAlignment="1" applyProtection="1">
      <alignment vertical="center"/>
    </xf>
    <xf numFmtId="0" fontId="2" fillId="23" borderId="0" xfId="0" quotePrefix="1" applyFont="1" applyFill="1" applyBorder="1" applyAlignment="1" applyProtection="1">
      <alignment vertical="center"/>
    </xf>
    <xf numFmtId="183" fontId="4" fillId="28" borderId="112" xfId="0" applyNumberFormat="1" applyFont="1" applyFill="1" applyBorder="1" applyAlignment="1" applyProtection="1">
      <alignment horizontal="right" vertical="center"/>
    </xf>
    <xf numFmtId="0" fontId="4" fillId="28" borderId="112" xfId="0" applyFont="1" applyFill="1" applyBorder="1" applyAlignment="1" applyProtection="1">
      <alignment vertical="center"/>
    </xf>
    <xf numFmtId="0" fontId="55" fillId="28" borderId="112" xfId="0" applyFont="1" applyFill="1" applyBorder="1" applyAlignment="1" applyProtection="1">
      <alignment vertical="center"/>
    </xf>
    <xf numFmtId="177" fontId="8" fillId="28" borderId="112" xfId="0" applyNumberFormat="1" applyFont="1" applyFill="1" applyBorder="1" applyAlignment="1" applyProtection="1">
      <alignment horizontal="right" vertical="center"/>
    </xf>
    <xf numFmtId="0" fontId="0" fillId="28" borderId="5" xfId="0" applyFill="1" applyBorder="1" applyAlignment="1" applyProtection="1">
      <alignment vertical="center"/>
    </xf>
    <xf numFmtId="0" fontId="2" fillId="23" borderId="0" xfId="0" applyFont="1" applyFill="1" applyAlignment="1" applyProtection="1">
      <alignment vertical="center"/>
    </xf>
    <xf numFmtId="0" fontId="25" fillId="28" borderId="0" xfId="0" applyFont="1" applyFill="1" applyBorder="1" applyAlignment="1" applyProtection="1">
      <alignment vertical="center"/>
    </xf>
    <xf numFmtId="0" fontId="0" fillId="23" borderId="5" xfId="0" applyFill="1" applyBorder="1" applyAlignment="1" applyProtection="1">
      <alignment vertical="center"/>
    </xf>
    <xf numFmtId="169" fontId="2" fillId="21" borderId="0" xfId="0" applyNumberFormat="1" applyFont="1" applyFill="1" applyBorder="1" applyAlignment="1" applyProtection="1">
      <alignment horizontal="right" vertical="center"/>
    </xf>
    <xf numFmtId="0" fontId="14" fillId="21" borderId="0" xfId="0" applyFont="1" applyFill="1" applyBorder="1" applyAlignment="1" applyProtection="1">
      <alignment vertical="center"/>
    </xf>
    <xf numFmtId="0" fontId="4" fillId="21" borderId="0" xfId="0" applyFont="1" applyFill="1" applyBorder="1" applyAlignment="1" applyProtection="1">
      <alignment vertical="center"/>
    </xf>
    <xf numFmtId="169" fontId="4" fillId="21" borderId="0" xfId="0" applyNumberFormat="1" applyFont="1" applyFill="1" applyBorder="1" applyAlignment="1" applyProtection="1">
      <alignment horizontal="right" vertical="center"/>
    </xf>
    <xf numFmtId="169" fontId="2" fillId="28" borderId="0" xfId="0" applyNumberFormat="1" applyFont="1" applyFill="1" applyBorder="1" applyAlignment="1" applyProtection="1">
      <alignment horizontal="right" vertical="center"/>
    </xf>
    <xf numFmtId="192" fontId="42" fillId="25" borderId="0" xfId="0" applyNumberFormat="1" applyFont="1" applyFill="1" applyAlignment="1" applyProtection="1">
      <alignment horizontal="center" vertical="center"/>
    </xf>
    <xf numFmtId="188" fontId="42" fillId="25" borderId="0" xfId="0" applyNumberFormat="1" applyFont="1" applyFill="1" applyAlignment="1" applyProtection="1">
      <alignment horizontal="center" vertical="center"/>
    </xf>
    <xf numFmtId="188" fontId="42" fillId="23" borderId="0" xfId="0" applyNumberFormat="1" applyFont="1" applyFill="1" applyAlignment="1" applyProtection="1">
      <alignment horizontal="center" vertical="center"/>
    </xf>
    <xf numFmtId="0" fontId="9" fillId="21" borderId="0" xfId="0" applyFont="1" applyFill="1" applyBorder="1" applyAlignment="1" applyProtection="1">
      <alignment horizontal="center" vertical="center" textRotation="90"/>
    </xf>
    <xf numFmtId="0" fontId="9" fillId="21" borderId="0" xfId="0" applyFont="1" applyFill="1" applyBorder="1" applyAlignment="1" applyProtection="1">
      <alignment vertical="center" textRotation="90"/>
    </xf>
    <xf numFmtId="0" fontId="25" fillId="23" borderId="0" xfId="0" applyFont="1" applyFill="1" applyBorder="1" applyAlignment="1" applyProtection="1">
      <alignment vertical="center"/>
    </xf>
    <xf numFmtId="0" fontId="2" fillId="23" borderId="0" xfId="0" applyFont="1" applyFill="1" applyBorder="1" applyAlignment="1" applyProtection="1">
      <alignment vertical="center"/>
    </xf>
    <xf numFmtId="0" fontId="4" fillId="23" borderId="0" xfId="0" applyFont="1" applyFill="1" applyBorder="1" applyAlignment="1" applyProtection="1">
      <alignment vertical="center"/>
    </xf>
    <xf numFmtId="0" fontId="8" fillId="23" borderId="0" xfId="0" applyFont="1" applyFill="1" applyBorder="1" applyAlignment="1" applyProtection="1">
      <alignment vertical="center"/>
    </xf>
    <xf numFmtId="0" fontId="8" fillId="23" borderId="0" xfId="0" applyFont="1" applyFill="1" applyBorder="1" applyAlignment="1" applyProtection="1">
      <alignment vertical="center" shrinkToFit="1"/>
    </xf>
    <xf numFmtId="183" fontId="4" fillId="23" borderId="0" xfId="0" applyNumberFormat="1" applyFont="1" applyFill="1" applyBorder="1" applyAlignment="1" applyProtection="1">
      <alignment horizontal="right" vertical="center"/>
    </xf>
    <xf numFmtId="177" fontId="8" fillId="23" borderId="0" xfId="0" applyNumberFormat="1" applyFont="1" applyFill="1" applyBorder="1" applyAlignment="1" applyProtection="1">
      <alignment horizontal="right" vertical="center"/>
    </xf>
    <xf numFmtId="0" fontId="55" fillId="23" borderId="0" xfId="0" applyFont="1" applyFill="1" applyBorder="1" applyAlignment="1" applyProtection="1">
      <alignment vertical="center"/>
    </xf>
    <xf numFmtId="0" fontId="10" fillId="23" borderId="0" xfId="0" applyFont="1" applyFill="1" applyBorder="1" applyAlignment="1" applyProtection="1">
      <alignment vertical="center"/>
    </xf>
    <xf numFmtId="0" fontId="10" fillId="23" borderId="0" xfId="0" applyFont="1" applyFill="1" applyAlignment="1" applyProtection="1">
      <alignment vertical="center"/>
    </xf>
    <xf numFmtId="0" fontId="4" fillId="23" borderId="0" xfId="0" applyFont="1" applyFill="1" applyAlignment="1" applyProtection="1">
      <alignment vertical="center"/>
    </xf>
    <xf numFmtId="215" fontId="10" fillId="23" borderId="0" xfId="0" applyNumberFormat="1" applyFont="1" applyFill="1" applyAlignment="1" applyProtection="1">
      <alignment horizontal="left" vertical="center"/>
    </xf>
    <xf numFmtId="0" fontId="0" fillId="23" borderId="0" xfId="0" applyFill="1" applyAlignment="1" applyProtection="1">
      <alignment horizontal="right" vertical="center"/>
    </xf>
    <xf numFmtId="0" fontId="8" fillId="23" borderId="0" xfId="0" applyFont="1" applyFill="1" applyAlignment="1" applyProtection="1">
      <alignment vertical="center" shrinkToFit="1"/>
    </xf>
    <xf numFmtId="0" fontId="63" fillId="23" borderId="0" xfId="0" applyFont="1" applyFill="1" applyAlignment="1" applyProtection="1">
      <alignment vertical="center"/>
    </xf>
    <xf numFmtId="0" fontId="55" fillId="23" borderId="0" xfId="0" applyFont="1" applyFill="1" applyAlignment="1" applyProtection="1">
      <alignment vertical="center"/>
    </xf>
    <xf numFmtId="169" fontId="4" fillId="23" borderId="0" xfId="0" applyNumberFormat="1" applyFont="1" applyFill="1" applyBorder="1" applyAlignment="1" applyProtection="1">
      <alignment vertical="center" shrinkToFit="1"/>
    </xf>
    <xf numFmtId="0" fontId="8" fillId="23" borderId="0" xfId="0" applyFont="1" applyFill="1" applyAlignment="1" applyProtection="1">
      <alignment vertical="center"/>
    </xf>
    <xf numFmtId="0" fontId="1" fillId="23" borderId="0" xfId="0" applyFont="1" applyFill="1" applyAlignment="1" applyProtection="1">
      <alignment vertical="center"/>
    </xf>
    <xf numFmtId="0" fontId="8" fillId="28" borderId="2" xfId="0" applyFont="1" applyFill="1" applyBorder="1" applyAlignment="1" applyProtection="1">
      <alignment vertical="center"/>
    </xf>
    <xf numFmtId="177" fontId="8" fillId="28" borderId="2" xfId="0" applyNumberFormat="1" applyFont="1" applyFill="1" applyBorder="1" applyAlignment="1" applyProtection="1">
      <alignment horizontal="right" vertical="center"/>
    </xf>
    <xf numFmtId="0" fontId="4" fillId="23" borderId="0" xfId="0" quotePrefix="1" applyFont="1" applyFill="1" applyAlignment="1" applyProtection="1">
      <alignment vertical="center"/>
    </xf>
    <xf numFmtId="0" fontId="8" fillId="23" borderId="0" xfId="0" applyFont="1" applyFill="1" applyAlignment="1" applyProtection="1">
      <alignment horizontal="right" vertical="center"/>
    </xf>
    <xf numFmtId="0" fontId="8" fillId="23" borderId="2" xfId="0" applyFont="1" applyFill="1" applyBorder="1" applyAlignment="1" applyProtection="1">
      <alignment vertical="center"/>
    </xf>
    <xf numFmtId="0" fontId="0" fillId="23" borderId="2" xfId="0" applyFill="1" applyBorder="1" applyAlignment="1" applyProtection="1">
      <alignment vertical="center"/>
    </xf>
    <xf numFmtId="0" fontId="8" fillId="23" borderId="2" xfId="0" applyFont="1" applyFill="1" applyBorder="1" applyAlignment="1" applyProtection="1">
      <alignment horizontal="right" vertical="center"/>
    </xf>
    <xf numFmtId="169" fontId="8" fillId="23" borderId="2" xfId="0" applyNumberFormat="1" applyFont="1" applyFill="1" applyBorder="1" applyAlignment="1" applyProtection="1">
      <alignment horizontal="left" vertical="center"/>
    </xf>
    <xf numFmtId="0" fontId="0" fillId="23" borderId="0" xfId="0" quotePrefix="1" applyFill="1" applyAlignment="1" applyProtection="1">
      <alignment vertical="center"/>
    </xf>
    <xf numFmtId="0" fontId="8" fillId="23" borderId="0" xfId="0" quotePrefix="1" applyFont="1" applyFill="1" applyAlignment="1" applyProtection="1">
      <alignment vertical="center"/>
    </xf>
    <xf numFmtId="0" fontId="4" fillId="23" borderId="2" xfId="0" quotePrefix="1" applyFont="1" applyFill="1" applyBorder="1" applyAlignment="1" applyProtection="1">
      <alignment vertical="center"/>
    </xf>
    <xf numFmtId="166" fontId="4" fillId="23" borderId="2" xfId="0" applyNumberFormat="1" applyFont="1" applyFill="1" applyBorder="1" applyAlignment="1" applyProtection="1">
      <alignment horizontal="right" vertical="center"/>
    </xf>
    <xf numFmtId="166" fontId="4" fillId="23" borderId="0" xfId="0" applyNumberFormat="1" applyFont="1" applyFill="1" applyBorder="1" applyAlignment="1" applyProtection="1">
      <alignment horizontal="right" vertical="center"/>
    </xf>
    <xf numFmtId="169" fontId="2" fillId="23" borderId="0" xfId="0" applyNumberFormat="1" applyFont="1" applyFill="1" applyAlignment="1" applyProtection="1">
      <alignment horizontal="right" vertical="center"/>
    </xf>
    <xf numFmtId="0" fontId="0" fillId="23" borderId="2" xfId="0" applyFill="1" applyBorder="1" applyAlignment="1" applyProtection="1">
      <alignment horizontal="right" vertical="center"/>
    </xf>
    <xf numFmtId="166" fontId="4" fillId="23" borderId="2" xfId="0" applyNumberFormat="1" applyFont="1" applyFill="1" applyBorder="1" applyAlignment="1" applyProtection="1">
      <alignment horizontal="left" vertical="center"/>
    </xf>
    <xf numFmtId="0" fontId="4" fillId="23" borderId="2" xfId="0" applyFont="1" applyFill="1" applyBorder="1" applyAlignment="1" applyProtection="1">
      <alignment vertical="center"/>
    </xf>
    <xf numFmtId="0" fontId="0" fillId="23" borderId="0" xfId="0" applyFill="1" applyAlignment="1" applyProtection="1">
      <alignment vertical="center" shrinkToFit="1"/>
    </xf>
    <xf numFmtId="0" fontId="0" fillId="23" borderId="0" xfId="0" applyFill="1" applyBorder="1" applyAlignment="1" applyProtection="1">
      <alignment vertical="center" shrinkToFit="1"/>
    </xf>
    <xf numFmtId="0" fontId="8" fillId="23" borderId="2" xfId="0" applyFont="1" applyFill="1" applyBorder="1" applyAlignment="1" applyProtection="1">
      <alignment vertical="center" shrinkToFit="1"/>
    </xf>
    <xf numFmtId="169" fontId="4" fillId="23" borderId="2" xfId="0" applyNumberFormat="1" applyFont="1" applyFill="1" applyBorder="1" applyAlignment="1" applyProtection="1">
      <alignment horizontal="right" vertical="center"/>
    </xf>
    <xf numFmtId="169" fontId="8" fillId="23" borderId="2" xfId="0" applyNumberFormat="1" applyFont="1" applyFill="1" applyBorder="1" applyAlignment="1" applyProtection="1">
      <alignment horizontal="right" vertical="center"/>
    </xf>
    <xf numFmtId="0" fontId="4" fillId="0" borderId="35" xfId="0" applyFont="1" applyBorder="1" applyAlignment="1" applyProtection="1">
      <alignment vertical="center"/>
    </xf>
    <xf numFmtId="0" fontId="0" fillId="0" borderId="6" xfId="0" applyBorder="1" applyAlignment="1" applyProtection="1">
      <alignment horizontal="left" vertical="center"/>
    </xf>
    <xf numFmtId="0" fontId="89" fillId="0" borderId="4" xfId="0" applyFont="1" applyBorder="1" applyAlignment="1" applyProtection="1">
      <alignment horizontal="right" vertical="center"/>
    </xf>
    <xf numFmtId="0" fontId="89" fillId="0" borderId="5" xfId="0" applyFont="1" applyBorder="1" applyAlignment="1" applyProtection="1">
      <alignment horizontal="center" vertical="center"/>
    </xf>
    <xf numFmtId="0" fontId="89" fillId="0" borderId="5" xfId="0" applyFont="1" applyBorder="1" applyAlignment="1" applyProtection="1">
      <alignment vertical="center"/>
    </xf>
    <xf numFmtId="211" fontId="8" fillId="6" borderId="0" xfId="0" applyNumberFormat="1" applyFont="1" applyFill="1" applyAlignment="1" applyProtection="1">
      <alignment vertical="center"/>
    </xf>
    <xf numFmtId="211" fontId="8" fillId="6" borderId="0" xfId="0" applyNumberFormat="1" applyFont="1" applyFill="1" applyAlignment="1" applyProtection="1">
      <alignment horizontal="right" vertical="center"/>
    </xf>
    <xf numFmtId="192" fontId="0" fillId="25" borderId="0" xfId="0" applyNumberFormat="1" applyFill="1" applyAlignment="1">
      <alignment horizontal="center"/>
    </xf>
    <xf numFmtId="176" fontId="4" fillId="0" borderId="0" xfId="0" applyNumberFormat="1" applyFont="1"/>
    <xf numFmtId="1" fontId="8" fillId="0" borderId="0" xfId="0" applyNumberFormat="1" applyFont="1" applyBorder="1" applyAlignment="1" applyProtection="1">
      <alignment horizontal="center" vertical="center"/>
    </xf>
    <xf numFmtId="176" fontId="0" fillId="0" borderId="113" xfId="0" applyNumberFormat="1" applyBorder="1" applyAlignment="1" applyProtection="1">
      <alignment horizontal="right" vertical="center"/>
    </xf>
    <xf numFmtId="0" fontId="4" fillId="29" borderId="0" xfId="0" applyFont="1" applyFill="1" applyAlignment="1" applyProtection="1">
      <alignment vertical="center"/>
    </xf>
    <xf numFmtId="0" fontId="0" fillId="29" borderId="0" xfId="0" applyFill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4" fillId="0" borderId="0" xfId="0" applyFont="1" applyAlignment="1" applyProtection="1">
      <alignment horizontal="right" vertical="center"/>
    </xf>
    <xf numFmtId="0" fontId="4" fillId="0" borderId="0" xfId="0" applyFont="1" applyFill="1" applyAlignment="1" applyProtection="1">
      <alignment horizontal="left"/>
    </xf>
    <xf numFmtId="0" fontId="90" fillId="0" borderId="0" xfId="0" applyFont="1"/>
    <xf numFmtId="0" fontId="91" fillId="0" borderId="0" xfId="0" applyFont="1" applyAlignment="1" applyProtection="1">
      <alignment horizontal="left"/>
    </xf>
    <xf numFmtId="0" fontId="4" fillId="0" borderId="5" xfId="0" applyFont="1" applyBorder="1" applyAlignment="1" applyProtection="1">
      <alignment vertical="center"/>
    </xf>
    <xf numFmtId="0" fontId="8" fillId="0" borderId="5" xfId="0" applyFont="1" applyBorder="1" applyAlignment="1" applyProtection="1">
      <alignment vertical="center"/>
    </xf>
    <xf numFmtId="182" fontId="0" fillId="0" borderId="0" xfId="0" applyNumberFormat="1" applyBorder="1" applyAlignment="1" applyProtection="1">
      <alignment vertical="center"/>
    </xf>
    <xf numFmtId="192" fontId="0" fillId="0" borderId="1" xfId="0" applyNumberFormat="1" applyBorder="1" applyAlignment="1" applyProtection="1">
      <alignment horizontal="center" vertical="center"/>
    </xf>
    <xf numFmtId="181" fontId="42" fillId="12" borderId="0" xfId="0" applyNumberFormat="1" applyFont="1" applyFill="1" applyAlignment="1">
      <alignment horizontal="center" shrinkToFit="1"/>
    </xf>
    <xf numFmtId="3" fontId="0" fillId="0" borderId="0" xfId="0" applyNumberFormat="1" applyAlignment="1" applyProtection="1">
      <alignment horizontal="center" vertical="center"/>
    </xf>
    <xf numFmtId="3" fontId="0" fillId="0" borderId="3" xfId="0" applyNumberFormat="1" applyBorder="1" applyAlignment="1" applyProtection="1">
      <alignment horizontal="center" vertical="center"/>
    </xf>
    <xf numFmtId="0" fontId="65" fillId="0" borderId="5" xfId="0" applyFont="1" applyBorder="1" applyAlignment="1" applyProtection="1">
      <alignment vertical="center"/>
    </xf>
    <xf numFmtId="0" fontId="65" fillId="0" borderId="0" xfId="0" applyFont="1" applyBorder="1" applyAlignment="1" applyProtection="1">
      <alignment vertical="center"/>
    </xf>
    <xf numFmtId="0" fontId="0" fillId="0" borderId="177" xfId="0" applyBorder="1" applyAlignment="1" applyProtection="1">
      <alignment vertical="center"/>
    </xf>
    <xf numFmtId="0" fontId="0" fillId="30" borderId="177" xfId="0" applyFill="1" applyBorder="1" applyAlignment="1" applyProtection="1">
      <alignment vertical="center"/>
    </xf>
    <xf numFmtId="0" fontId="4" fillId="0" borderId="6" xfId="0" applyFont="1" applyBorder="1" applyAlignment="1" applyProtection="1">
      <alignment vertical="center"/>
    </xf>
    <xf numFmtId="0" fontId="0" fillId="31" borderId="178" xfId="0" applyFill="1" applyBorder="1" applyAlignment="1" applyProtection="1">
      <alignment vertical="center"/>
    </xf>
    <xf numFmtId="0" fontId="0" fillId="30" borderId="179" xfId="0" applyFill="1" applyBorder="1" applyAlignment="1" applyProtection="1">
      <alignment vertical="center"/>
    </xf>
    <xf numFmtId="0" fontId="0" fillId="32" borderId="180" xfId="0" applyFill="1" applyBorder="1" applyAlignment="1" applyProtection="1">
      <alignment vertical="center"/>
    </xf>
    <xf numFmtId="0" fontId="0" fillId="32" borderId="181" xfId="0" applyFill="1" applyBorder="1" applyAlignment="1" applyProtection="1">
      <alignment vertical="center"/>
    </xf>
    <xf numFmtId="188" fontId="4" fillId="20" borderId="182" xfId="0" applyNumberFormat="1" applyFont="1" applyFill="1" applyBorder="1" applyAlignment="1">
      <alignment horizontal="center" shrinkToFit="1"/>
    </xf>
    <xf numFmtId="0" fontId="0" fillId="23" borderId="0" xfId="0" applyFill="1" applyAlignment="1" applyProtection="1">
      <alignment vertical="center" shrinkToFit="1"/>
    </xf>
    <xf numFmtId="0" fontId="0" fillId="23" borderId="0" xfId="0" applyFill="1"/>
    <xf numFmtId="0" fontId="0" fillId="23" borderId="0" xfId="0" applyFill="1" applyBorder="1" applyAlignment="1" applyProtection="1">
      <alignment horizontal="center" vertical="center"/>
    </xf>
    <xf numFmtId="197" fontId="0" fillId="23" borderId="4" xfId="0" applyNumberFormat="1" applyFill="1" applyBorder="1" applyAlignment="1" applyProtection="1">
      <alignment horizontal="right" vertical="center" shrinkToFit="1"/>
    </xf>
    <xf numFmtId="197" fontId="0" fillId="23" borderId="19" xfId="0" applyNumberFormat="1" applyFill="1" applyBorder="1" applyAlignment="1" applyProtection="1">
      <alignment horizontal="right" vertical="center" shrinkToFit="1"/>
    </xf>
    <xf numFmtId="0" fontId="0" fillId="23" borderId="0" xfId="0" applyFill="1" applyAlignment="1" applyProtection="1">
      <alignment horizontal="center" vertical="center"/>
      <protection locked="0"/>
    </xf>
    <xf numFmtId="197" fontId="0" fillId="23" borderId="5" xfId="0" applyNumberFormat="1" applyFill="1" applyBorder="1" applyAlignment="1" applyProtection="1">
      <alignment horizontal="right" vertical="center" shrinkToFit="1"/>
    </xf>
    <xf numFmtId="198" fontId="0" fillId="23" borderId="4" xfId="0" applyNumberFormat="1" applyFill="1" applyBorder="1" applyAlignment="1" applyProtection="1">
      <alignment horizontal="right" vertical="center" shrinkToFit="1"/>
    </xf>
    <xf numFmtId="198" fontId="0" fillId="23" borderId="19" xfId="0" applyNumberFormat="1" applyFill="1" applyBorder="1" applyAlignment="1" applyProtection="1">
      <alignment horizontal="right" vertical="center" shrinkToFit="1"/>
    </xf>
    <xf numFmtId="198" fontId="0" fillId="23" borderId="50" xfId="0" applyNumberFormat="1" applyFill="1" applyBorder="1" applyAlignment="1" applyProtection="1">
      <alignment horizontal="right" vertical="center" shrinkToFit="1"/>
    </xf>
    <xf numFmtId="197" fontId="2" fillId="23" borderId="4" xfId="0" applyNumberFormat="1" applyFont="1" applyFill="1" applyBorder="1" applyAlignment="1" applyProtection="1">
      <alignment horizontal="right" vertical="center" shrinkToFit="1"/>
    </xf>
    <xf numFmtId="197" fontId="2" fillId="23" borderId="19" xfId="0" applyNumberFormat="1" applyFont="1" applyFill="1" applyBorder="1" applyAlignment="1" applyProtection="1">
      <alignment horizontal="right" vertical="center" shrinkToFit="1"/>
    </xf>
    <xf numFmtId="0" fontId="0" fillId="23" borderId="114" xfId="0" applyFill="1" applyBorder="1" applyAlignment="1" applyProtection="1">
      <alignment vertical="center" shrinkToFit="1"/>
    </xf>
    <xf numFmtId="199" fontId="8" fillId="23" borderId="112" xfId="0" applyNumberFormat="1" applyFont="1" applyFill="1" applyBorder="1" applyAlignment="1" applyProtection="1">
      <alignment horizontal="right" vertical="center" shrinkToFit="1"/>
    </xf>
    <xf numFmtId="169" fontId="2" fillId="23" borderId="112" xfId="0" applyNumberFormat="1" applyFont="1" applyFill="1" applyBorder="1" applyAlignment="1" applyProtection="1">
      <alignment horizontal="right" vertical="center" shrinkToFit="1"/>
    </xf>
    <xf numFmtId="192" fontId="0" fillId="23" borderId="49" xfId="0" applyNumberFormat="1" applyFill="1" applyBorder="1"/>
    <xf numFmtId="201" fontId="0" fillId="23" borderId="0" xfId="0" applyNumberFormat="1" applyFill="1" applyAlignment="1" applyProtection="1">
      <alignment horizontal="center" vertical="center" shrinkToFit="1"/>
    </xf>
    <xf numFmtId="0" fontId="0" fillId="23" borderId="0" xfId="0" applyFill="1" applyAlignment="1" applyProtection="1">
      <alignment horizontal="center" vertical="center"/>
    </xf>
    <xf numFmtId="0" fontId="4" fillId="23" borderId="0" xfId="0" applyFont="1" applyFill="1" applyAlignment="1" applyProtection="1">
      <alignment horizontal="center" vertical="center"/>
      <protection locked="0"/>
    </xf>
    <xf numFmtId="0" fontId="4" fillId="23" borderId="0" xfId="0" applyFont="1" applyFill="1" applyAlignment="1" applyProtection="1">
      <alignment vertical="center" shrinkToFit="1"/>
    </xf>
    <xf numFmtId="198" fontId="4" fillId="23" borderId="47" xfId="0" applyNumberFormat="1" applyFont="1" applyFill="1" applyBorder="1" applyAlignment="1" applyProtection="1">
      <alignment horizontal="right" vertical="center" shrinkToFit="1"/>
    </xf>
    <xf numFmtId="192" fontId="4" fillId="23" borderId="17" xfId="0" applyNumberFormat="1" applyFont="1" applyFill="1" applyBorder="1"/>
    <xf numFmtId="0" fontId="4" fillId="23" borderId="0" xfId="0" applyFont="1" applyFill="1"/>
    <xf numFmtId="0" fontId="4" fillId="23" borderId="0" xfId="0" applyFont="1" applyFill="1" applyAlignment="1">
      <alignment vertical="center"/>
    </xf>
    <xf numFmtId="201" fontId="4" fillId="23" borderId="0" xfId="0" applyNumberFormat="1" applyFont="1" applyFill="1" applyAlignment="1" applyProtection="1">
      <alignment horizontal="center" vertical="center" shrinkToFit="1"/>
    </xf>
    <xf numFmtId="0" fontId="4" fillId="23" borderId="0" xfId="0" applyFont="1" applyFill="1" applyAlignment="1" applyProtection="1">
      <alignment horizontal="center" vertical="center"/>
    </xf>
    <xf numFmtId="0" fontId="39" fillId="0" borderId="0" xfId="0" applyFont="1" applyBorder="1" applyAlignment="1" applyProtection="1">
      <alignment vertical="center" textRotation="90" wrapText="1"/>
    </xf>
    <xf numFmtId="0" fontId="39" fillId="0" borderId="0" xfId="0" applyFont="1" applyBorder="1" applyAlignment="1" applyProtection="1">
      <alignment vertical="center" textRotation="90"/>
    </xf>
    <xf numFmtId="0" fontId="90" fillId="0" borderId="0" xfId="0" applyFont="1" applyAlignment="1" applyProtection="1">
      <alignment horizontal="left"/>
    </xf>
    <xf numFmtId="0" fontId="92" fillId="0" borderId="0" xfId="0" applyFont="1" applyAlignment="1" applyProtection="1">
      <alignment horizontal="left"/>
    </xf>
    <xf numFmtId="0" fontId="93" fillId="7" borderId="0" xfId="0" applyFont="1" applyFill="1"/>
    <xf numFmtId="0" fontId="93" fillId="33" borderId="90" xfId="0" applyFont="1" applyFill="1" applyBorder="1" applyAlignment="1">
      <alignment shrinkToFit="1"/>
    </xf>
    <xf numFmtId="0" fontId="93" fillId="0" borderId="0" xfId="0" applyFont="1"/>
    <xf numFmtId="0" fontId="42" fillId="9" borderId="115" xfId="0" applyFont="1" applyFill="1" applyBorder="1" applyAlignment="1">
      <alignment horizontal="center" shrinkToFit="1"/>
    </xf>
    <xf numFmtId="0" fontId="42" fillId="9" borderId="101" xfId="0" applyFont="1" applyFill="1" applyBorder="1" applyAlignment="1">
      <alignment horizontal="center" shrinkToFit="1"/>
    </xf>
    <xf numFmtId="181" fontId="42" fillId="9" borderId="101" xfId="0" applyNumberFormat="1" applyFont="1" applyFill="1" applyBorder="1" applyAlignment="1">
      <alignment horizontal="center" shrinkToFit="1"/>
    </xf>
    <xf numFmtId="0" fontId="0" fillId="0" borderId="1" xfId="0" applyFill="1" applyBorder="1" applyAlignment="1" applyProtection="1">
      <alignment horizontal="left" vertical="center" indent="1"/>
    </xf>
    <xf numFmtId="0" fontId="4" fillId="0" borderId="1" xfId="0" applyFont="1" applyFill="1" applyBorder="1" applyAlignment="1" applyProtection="1">
      <alignment horizontal="left" vertical="center" indent="1"/>
    </xf>
    <xf numFmtId="182" fontId="4" fillId="0" borderId="1" xfId="0" applyNumberFormat="1" applyFont="1" applyFill="1" applyBorder="1" applyAlignment="1" applyProtection="1">
      <alignment horizontal="left" vertical="center" indent="1"/>
    </xf>
    <xf numFmtId="182" fontId="0" fillId="0" borderId="0" xfId="0" applyNumberFormat="1" applyFill="1" applyBorder="1" applyAlignment="1" applyProtection="1">
      <alignment vertical="center"/>
    </xf>
    <xf numFmtId="0" fontId="0" fillId="0" borderId="183" xfId="0" applyBorder="1" applyAlignment="1" applyProtection="1">
      <alignment vertical="center"/>
    </xf>
    <xf numFmtId="0" fontId="4" fillId="0" borderId="183" xfId="0" applyFont="1" applyBorder="1" applyAlignment="1" applyProtection="1">
      <alignment vertical="center"/>
    </xf>
    <xf numFmtId="0" fontId="0" fillId="0" borderId="184" xfId="0" applyBorder="1" applyAlignment="1" applyProtection="1">
      <alignment vertical="center"/>
    </xf>
    <xf numFmtId="3" fontId="93" fillId="33" borderId="116" xfId="0" applyNumberFormat="1" applyFont="1" applyFill="1" applyBorder="1" applyAlignment="1">
      <alignment horizontal="center" shrinkToFit="1"/>
    </xf>
    <xf numFmtId="3" fontId="93" fillId="7" borderId="0" xfId="0" applyNumberFormat="1" applyFont="1" applyFill="1"/>
    <xf numFmtId="0" fontId="93" fillId="33" borderId="82" xfId="0" applyFont="1" applyFill="1" applyBorder="1" applyAlignment="1">
      <alignment horizontal="center" vertical="center" shrinkToFit="1"/>
    </xf>
    <xf numFmtId="0" fontId="93" fillId="33" borderId="117" xfId="0" applyFont="1" applyFill="1" applyBorder="1" applyAlignment="1">
      <alignment horizontal="center" vertical="center" shrinkToFit="1"/>
    </xf>
    <xf numFmtId="0" fontId="93" fillId="33" borderId="117" xfId="0" applyFont="1" applyFill="1" applyBorder="1" applyAlignment="1">
      <alignment shrinkToFit="1"/>
    </xf>
    <xf numFmtId="0" fontId="93" fillId="33" borderId="118" xfId="0" applyFont="1" applyFill="1" applyBorder="1" applyAlignment="1">
      <alignment shrinkToFit="1"/>
    </xf>
    <xf numFmtId="0" fontId="0" fillId="0" borderId="185" xfId="0" applyBorder="1" applyAlignment="1" applyProtection="1">
      <alignment vertical="center"/>
    </xf>
    <xf numFmtId="0" fontId="0" fillId="0" borderId="186" xfId="0" applyBorder="1" applyAlignment="1" applyProtection="1">
      <alignment vertical="center"/>
    </xf>
    <xf numFmtId="0" fontId="0" fillId="0" borderId="187" xfId="0" applyBorder="1" applyAlignment="1" applyProtection="1">
      <alignment vertical="center"/>
    </xf>
    <xf numFmtId="0" fontId="4" fillId="0" borderId="35" xfId="0" applyFont="1" applyBorder="1" applyAlignment="1" applyProtection="1">
      <alignment horizontal="left" vertical="center" indent="1"/>
    </xf>
    <xf numFmtId="229" fontId="0" fillId="0" borderId="6" xfId="0" applyNumberFormat="1" applyBorder="1" applyAlignment="1" applyProtection="1">
      <alignment vertical="center"/>
    </xf>
    <xf numFmtId="230" fontId="4" fillId="23" borderId="183" xfId="0" applyNumberFormat="1" applyFont="1" applyFill="1" applyBorder="1" applyAlignment="1" applyProtection="1">
      <alignment vertical="center" shrinkToFit="1"/>
    </xf>
    <xf numFmtId="0" fontId="0" fillId="0" borderId="35" xfId="0" applyBorder="1" applyAlignment="1" applyProtection="1">
      <alignment horizontal="left" vertical="center" indent="1"/>
    </xf>
    <xf numFmtId="2" fontId="0" fillId="0" borderId="0" xfId="0" applyNumberFormat="1" applyFill="1" applyBorder="1" applyAlignment="1" applyProtection="1">
      <alignment vertical="center" shrinkToFit="1"/>
    </xf>
    <xf numFmtId="0" fontId="4" fillId="34" borderId="85" xfId="0" applyFont="1" applyFill="1" applyBorder="1" applyAlignment="1">
      <alignment horizontal="left" shrinkToFit="1"/>
    </xf>
    <xf numFmtId="188" fontId="0" fillId="34" borderId="94" xfId="0" applyNumberFormat="1" applyFill="1" applyBorder="1" applyAlignment="1">
      <alignment horizontal="center" shrinkToFit="1"/>
    </xf>
    <xf numFmtId="188" fontId="4" fillId="34" borderId="182" xfId="0" applyNumberFormat="1" applyFont="1" applyFill="1" applyBorder="1" applyAlignment="1">
      <alignment horizontal="center" shrinkToFit="1"/>
    </xf>
    <xf numFmtId="188" fontId="0" fillId="34" borderId="96" xfId="0" applyNumberFormat="1" applyFill="1" applyBorder="1" applyAlignment="1">
      <alignment horizontal="center" shrinkToFit="1"/>
    </xf>
    <xf numFmtId="0" fontId="94" fillId="6" borderId="0" xfId="0" applyFont="1" applyFill="1" applyAlignment="1" applyProtection="1">
      <alignment vertical="center" wrapText="1" shrinkToFit="1"/>
    </xf>
    <xf numFmtId="0" fontId="93" fillId="33" borderId="88" xfId="0" applyFont="1" applyFill="1" applyBorder="1" applyAlignment="1">
      <alignment horizontal="center" vertical="center" shrinkToFit="1"/>
    </xf>
    <xf numFmtId="0" fontId="93" fillId="33" borderId="90" xfId="0" applyFont="1" applyFill="1" applyBorder="1" applyAlignment="1">
      <alignment horizontal="center" vertical="center" shrinkToFit="1"/>
    </xf>
    <xf numFmtId="0" fontId="93" fillId="33" borderId="92" xfId="0" applyFont="1" applyFill="1" applyBorder="1" applyAlignment="1">
      <alignment shrinkToFit="1"/>
    </xf>
    <xf numFmtId="188" fontId="93" fillId="33" borderId="116" xfId="0" applyNumberFormat="1" applyFont="1" applyFill="1" applyBorder="1" applyAlignment="1">
      <alignment horizontal="center" shrinkToFit="1"/>
    </xf>
    <xf numFmtId="49" fontId="8" fillId="0" borderId="50" xfId="0" applyNumberFormat="1" applyFont="1" applyBorder="1" applyAlignment="1" applyProtection="1">
      <alignment horizontal="center" vertical="center"/>
    </xf>
    <xf numFmtId="0" fontId="4" fillId="23" borderId="1" xfId="0" applyFont="1" applyFill="1" applyBorder="1" applyAlignment="1">
      <alignment vertical="center"/>
    </xf>
    <xf numFmtId="0" fontId="2" fillId="0" borderId="35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vertical="top" wrapText="1"/>
    </xf>
    <xf numFmtId="0" fontId="8" fillId="24" borderId="0" xfId="0" applyFont="1" applyFill="1" applyBorder="1" applyAlignment="1" applyProtection="1">
      <alignment vertical="top" wrapText="1"/>
    </xf>
    <xf numFmtId="0" fontId="8" fillId="23" borderId="0" xfId="0" applyFont="1" applyFill="1" applyBorder="1" applyAlignment="1" applyProtection="1">
      <alignment horizontal="left" vertical="center"/>
    </xf>
    <xf numFmtId="0" fontId="8" fillId="0" borderId="1" xfId="0" applyFont="1" applyBorder="1" applyAlignment="1" applyProtection="1">
      <alignment vertical="top" wrapText="1"/>
    </xf>
    <xf numFmtId="0" fontId="8" fillId="0" borderId="3" xfId="0" applyFont="1" applyBorder="1" applyAlignment="1" applyProtection="1">
      <alignment vertical="top" wrapText="1"/>
    </xf>
    <xf numFmtId="0" fontId="0" fillId="24" borderId="5" xfId="0" applyFill="1" applyBorder="1" applyAlignment="1" applyProtection="1">
      <alignment vertical="center"/>
    </xf>
    <xf numFmtId="0" fontId="8" fillId="24" borderId="5" xfId="0" applyFont="1" applyFill="1" applyBorder="1" applyAlignment="1" applyProtection="1">
      <alignment vertical="center"/>
    </xf>
    <xf numFmtId="0" fontId="0" fillId="24" borderId="19" xfId="0" applyFill="1" applyBorder="1" applyAlignment="1" applyProtection="1">
      <alignment vertical="center"/>
    </xf>
    <xf numFmtId="0" fontId="8" fillId="24" borderId="1" xfId="0" applyFont="1" applyFill="1" applyBorder="1" applyAlignment="1" applyProtection="1">
      <alignment vertical="center"/>
    </xf>
    <xf numFmtId="0" fontId="0" fillId="24" borderId="0" xfId="0" applyFill="1" applyBorder="1" applyAlignment="1" applyProtection="1">
      <alignment vertical="center"/>
    </xf>
    <xf numFmtId="0" fontId="8" fillId="24" borderId="0" xfId="0" applyFont="1" applyFill="1" applyBorder="1" applyAlignment="1" applyProtection="1">
      <alignment vertical="center"/>
    </xf>
    <xf numFmtId="0" fontId="0" fillId="24" borderId="3" xfId="0" applyFill="1" applyBorder="1" applyAlignment="1" applyProtection="1">
      <alignment vertical="center"/>
    </xf>
    <xf numFmtId="0" fontId="4" fillId="24" borderId="1" xfId="0" applyFont="1" applyFill="1" applyBorder="1" applyAlignment="1" applyProtection="1">
      <alignment vertical="center"/>
    </xf>
    <xf numFmtId="9" fontId="8" fillId="24" borderId="0" xfId="0" applyNumberFormat="1" applyFont="1" applyFill="1" applyBorder="1" applyAlignment="1" applyProtection="1">
      <alignment vertical="center" shrinkToFit="1"/>
    </xf>
    <xf numFmtId="0" fontId="9" fillId="24" borderId="1" xfId="0" applyFont="1" applyFill="1" applyBorder="1" applyAlignment="1" applyProtection="1">
      <alignment vertical="center"/>
    </xf>
    <xf numFmtId="0" fontId="2" fillId="24" borderId="0" xfId="0" applyFont="1" applyFill="1" applyBorder="1" applyAlignment="1" applyProtection="1">
      <alignment vertical="center"/>
    </xf>
    <xf numFmtId="0" fontId="9" fillId="24" borderId="0" xfId="0" applyFont="1" applyFill="1" applyBorder="1" applyAlignment="1" applyProtection="1">
      <alignment vertical="center"/>
    </xf>
    <xf numFmtId="0" fontId="2" fillId="24" borderId="3" xfId="0" applyFont="1" applyFill="1" applyBorder="1" applyAlignment="1" applyProtection="1">
      <alignment vertical="center"/>
    </xf>
    <xf numFmtId="0" fontId="8" fillId="24" borderId="35" xfId="0" applyFont="1" applyFill="1" applyBorder="1" applyAlignment="1" applyProtection="1">
      <alignment vertical="center"/>
    </xf>
    <xf numFmtId="0" fontId="0" fillId="24" borderId="6" xfId="0" applyFill="1" applyBorder="1" applyAlignment="1" applyProtection="1">
      <alignment vertical="center"/>
    </xf>
    <xf numFmtId="0" fontId="8" fillId="24" borderId="6" xfId="0" applyFont="1" applyFill="1" applyBorder="1" applyAlignment="1" applyProtection="1">
      <alignment vertical="center"/>
    </xf>
    <xf numFmtId="0" fontId="0" fillId="24" borderId="20" xfId="0" applyFill="1" applyBorder="1" applyAlignment="1" applyProtection="1">
      <alignment vertical="center"/>
    </xf>
    <xf numFmtId="0" fontId="59" fillId="24" borderId="4" xfId="0" applyFont="1" applyFill="1" applyBorder="1" applyAlignment="1" applyProtection="1">
      <alignment vertical="center"/>
    </xf>
    <xf numFmtId="232" fontId="8" fillId="0" borderId="0" xfId="0" applyNumberFormat="1" applyFont="1" applyAlignment="1" applyProtection="1">
      <alignment vertical="center" shrinkToFit="1"/>
    </xf>
    <xf numFmtId="201" fontId="8" fillId="2" borderId="0" xfId="0" applyNumberFormat="1" applyFont="1" applyFill="1" applyAlignment="1" applyProtection="1">
      <alignment horizontal="center" vertical="center" shrinkToFit="1"/>
    </xf>
    <xf numFmtId="232" fontId="8" fillId="0" borderId="0" xfId="0" applyNumberFormat="1" applyFont="1" applyFill="1" applyAlignment="1" applyProtection="1">
      <alignment vertical="center" shrinkToFit="1"/>
    </xf>
    <xf numFmtId="232" fontId="8" fillId="23" borderId="0" xfId="0" applyNumberFormat="1" applyFont="1" applyFill="1" applyAlignment="1" applyProtection="1">
      <alignment vertical="center" shrinkToFit="1"/>
    </xf>
    <xf numFmtId="176" fontId="8" fillId="0" borderId="0" xfId="0" applyNumberFormat="1" applyFont="1" applyAlignment="1" applyProtection="1">
      <alignment vertical="center"/>
    </xf>
    <xf numFmtId="176" fontId="8" fillId="0" borderId="0" xfId="0" applyNumberFormat="1" applyFont="1"/>
    <xf numFmtId="1" fontId="8" fillId="0" borderId="0" xfId="0" applyNumberFormat="1" applyFont="1" applyBorder="1" applyAlignment="1" applyProtection="1">
      <alignment horizontal="right" vertical="center"/>
    </xf>
    <xf numFmtId="176" fontId="0" fillId="0" borderId="47" xfId="0" applyNumberFormat="1" applyBorder="1" applyAlignment="1" applyProtection="1">
      <alignment horizontal="right" vertical="center"/>
    </xf>
    <xf numFmtId="233" fontId="8" fillId="0" borderId="54" xfId="0" applyNumberFormat="1" applyFont="1" applyBorder="1" applyAlignment="1" applyProtection="1">
      <alignment horizontal="center" vertical="center" shrinkToFit="1"/>
    </xf>
    <xf numFmtId="0" fontId="8" fillId="24" borderId="4" xfId="0" applyFont="1" applyFill="1" applyBorder="1" applyAlignment="1" applyProtection="1">
      <alignment vertical="center"/>
    </xf>
    <xf numFmtId="0" fontId="8" fillId="24" borderId="48" xfId="0" applyFont="1" applyFill="1" applyBorder="1" applyAlignment="1" applyProtection="1">
      <alignment vertical="center"/>
    </xf>
    <xf numFmtId="229" fontId="8" fillId="24" borderId="15" xfId="0" applyNumberFormat="1" applyFont="1" applyFill="1" applyBorder="1" applyAlignment="1" applyProtection="1">
      <alignment horizontal="center" vertical="center"/>
    </xf>
    <xf numFmtId="0" fontId="39" fillId="0" borderId="0" xfId="0" applyFont="1" applyBorder="1" applyAlignment="1" applyProtection="1">
      <alignment horizontal="center" vertical="center" textRotation="90" wrapText="1"/>
    </xf>
    <xf numFmtId="0" fontId="95" fillId="6" borderId="0" xfId="0" applyFont="1" applyFill="1" applyAlignment="1" applyProtection="1">
      <alignment horizontal="right" vertical="center"/>
    </xf>
    <xf numFmtId="0" fontId="16" fillId="7" borderId="0" xfId="0" applyFont="1" applyFill="1" applyAlignment="1">
      <alignment horizontal="left" vertical="center"/>
    </xf>
    <xf numFmtId="0" fontId="0" fillId="7" borderId="0" xfId="0" applyFill="1" applyAlignment="1">
      <alignment horizontal="left" vertical="center"/>
    </xf>
    <xf numFmtId="0" fontId="93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91" fillId="7" borderId="0" xfId="0" applyFont="1" applyFill="1" applyAlignment="1">
      <alignment horizontal="left" vertical="center"/>
    </xf>
    <xf numFmtId="0" fontId="4" fillId="7" borderId="5" xfId="0" applyFont="1" applyFill="1" applyBorder="1" applyAlignment="1">
      <alignment horizontal="left" vertical="center"/>
    </xf>
    <xf numFmtId="0" fontId="0" fillId="7" borderId="5" xfId="0" applyFill="1" applyBorder="1" applyAlignment="1">
      <alignment horizontal="left" vertical="center"/>
    </xf>
    <xf numFmtId="0" fontId="0" fillId="7" borderId="19" xfId="0" applyFill="1" applyBorder="1" applyAlignment="1">
      <alignment horizontal="left" vertical="center"/>
    </xf>
    <xf numFmtId="0" fontId="4" fillId="7" borderId="0" xfId="0" quotePrefix="1" applyFont="1" applyFill="1" applyAlignment="1">
      <alignment horizontal="left" vertical="center"/>
    </xf>
    <xf numFmtId="0" fontId="4" fillId="7" borderId="6" xfId="0" quotePrefix="1" applyFont="1" applyFill="1" applyBorder="1" applyAlignment="1">
      <alignment horizontal="left" vertical="center"/>
    </xf>
    <xf numFmtId="0" fontId="0" fillId="7" borderId="6" xfId="0" applyFill="1" applyBorder="1" applyAlignment="1">
      <alignment horizontal="left" vertical="center"/>
    </xf>
    <xf numFmtId="0" fontId="96" fillId="7" borderId="0" xfId="0" applyFont="1" applyFill="1" applyAlignment="1">
      <alignment horizontal="center"/>
    </xf>
    <xf numFmtId="0" fontId="97" fillId="7" borderId="0" xfId="0" applyFont="1" applyFill="1" applyAlignment="1">
      <alignment horizontal="left" vertical="center"/>
    </xf>
    <xf numFmtId="0" fontId="97" fillId="7" borderId="0" xfId="0" applyFont="1" applyFill="1"/>
    <xf numFmtId="0" fontId="97" fillId="0" borderId="0" xfId="0" applyFont="1"/>
    <xf numFmtId="0" fontId="98" fillId="7" borderId="0" xfId="0" applyFont="1" applyFill="1" applyBorder="1" applyAlignment="1">
      <alignment horizontal="left" vertical="center"/>
    </xf>
    <xf numFmtId="0" fontId="98" fillId="7" borderId="3" xfId="0" applyFont="1" applyFill="1" applyBorder="1" applyAlignment="1">
      <alignment horizontal="left" vertical="center"/>
    </xf>
    <xf numFmtId="0" fontId="98" fillId="7" borderId="6" xfId="0" applyFont="1" applyFill="1" applyBorder="1" applyAlignment="1">
      <alignment horizontal="left" vertical="center"/>
    </xf>
    <xf numFmtId="0" fontId="98" fillId="7" borderId="20" xfId="0" applyFont="1" applyFill="1" applyBorder="1" applyAlignment="1">
      <alignment horizontal="left" vertical="center"/>
    </xf>
    <xf numFmtId="0" fontId="0" fillId="7" borderId="0" xfId="0" applyFill="1" applyAlignment="1">
      <alignment horizontal="left" vertical="center" shrinkToFit="1"/>
    </xf>
    <xf numFmtId="231" fontId="0" fillId="7" borderId="1" xfId="0" applyNumberFormat="1" applyFill="1" applyBorder="1" applyAlignment="1">
      <alignment horizontal="center" vertical="center" shrinkToFit="1"/>
    </xf>
    <xf numFmtId="231" fontId="0" fillId="7" borderId="0" xfId="0" applyNumberFormat="1" applyFill="1" applyBorder="1" applyAlignment="1">
      <alignment horizontal="center" vertical="center" shrinkToFit="1"/>
    </xf>
    <xf numFmtId="231" fontId="0" fillId="7" borderId="3" xfId="0" applyNumberFormat="1" applyFill="1" applyBorder="1" applyAlignment="1">
      <alignment horizontal="center" vertical="center" shrinkToFit="1"/>
    </xf>
    <xf numFmtId="0" fontId="97" fillId="7" borderId="6" xfId="0" quotePrefix="1" applyFont="1" applyFill="1" applyBorder="1" applyAlignment="1">
      <alignment horizontal="left" vertical="center"/>
    </xf>
    <xf numFmtId="0" fontId="97" fillId="7" borderId="6" xfId="0" applyFont="1" applyFill="1" applyBorder="1" applyAlignment="1">
      <alignment horizontal="left" vertical="center"/>
    </xf>
    <xf numFmtId="233" fontId="0" fillId="7" borderId="1" xfId="0" applyNumberFormat="1" applyFill="1" applyBorder="1" applyAlignment="1">
      <alignment vertical="center" shrinkToFit="1"/>
    </xf>
    <xf numFmtId="233" fontId="0" fillId="7" borderId="0" xfId="0" applyNumberFormat="1" applyFill="1" applyBorder="1" applyAlignment="1">
      <alignment vertical="center" shrinkToFit="1"/>
    </xf>
    <xf numFmtId="233" fontId="0" fillId="7" borderId="3" xfId="0" applyNumberFormat="1" applyFill="1" applyBorder="1" applyAlignment="1">
      <alignment vertical="center" shrinkToFit="1"/>
    </xf>
    <xf numFmtId="233" fontId="0" fillId="7" borderId="1" xfId="0" applyNumberFormat="1" applyFill="1" applyBorder="1" applyAlignment="1">
      <alignment horizontal="center" vertical="center" shrinkToFit="1"/>
    </xf>
    <xf numFmtId="233" fontId="0" fillId="7" borderId="0" xfId="0" applyNumberFormat="1" applyFill="1" applyBorder="1" applyAlignment="1">
      <alignment horizontal="center" vertical="center" shrinkToFit="1"/>
    </xf>
    <xf numFmtId="233" fontId="0" fillId="7" borderId="3" xfId="0" applyNumberFormat="1" applyFill="1" applyBorder="1" applyAlignment="1">
      <alignment horizontal="center" vertical="center" shrinkToFit="1"/>
    </xf>
    <xf numFmtId="10" fontId="42" fillId="8" borderId="0" xfId="0" applyNumberFormat="1" applyFont="1" applyFill="1" applyAlignment="1">
      <alignment shrinkToFit="1"/>
    </xf>
    <xf numFmtId="10" fontId="42" fillId="12" borderId="0" xfId="0" applyNumberFormat="1" applyFont="1" applyFill="1" applyAlignment="1">
      <alignment horizontal="center" shrinkToFit="1"/>
    </xf>
    <xf numFmtId="10" fontId="42" fillId="13" borderId="0" xfId="0" applyNumberFormat="1" applyFont="1" applyFill="1" applyAlignment="1">
      <alignment shrinkToFit="1"/>
    </xf>
    <xf numFmtId="10" fontId="42" fillId="11" borderId="0" xfId="0" applyNumberFormat="1" applyFont="1" applyFill="1" applyAlignment="1">
      <alignment shrinkToFit="1"/>
    </xf>
    <xf numFmtId="188" fontId="93" fillId="33" borderId="119" xfId="0" applyNumberFormat="1" applyFont="1" applyFill="1" applyBorder="1" applyAlignment="1">
      <alignment horizontal="center" shrinkToFit="1"/>
    </xf>
    <xf numFmtId="188" fontId="93" fillId="33" borderId="120" xfId="0" applyNumberFormat="1" applyFont="1" applyFill="1" applyBorder="1" applyAlignment="1">
      <alignment horizontal="center" shrinkToFit="1"/>
    </xf>
    <xf numFmtId="0" fontId="9" fillId="3" borderId="6" xfId="0" applyFont="1" applyFill="1" applyBorder="1" applyAlignment="1" applyProtection="1">
      <alignment horizontal="center" vertical="center" wrapText="1" shrinkToFit="1"/>
    </xf>
    <xf numFmtId="0" fontId="0" fillId="0" borderId="2" xfId="0" applyBorder="1" applyAlignment="1" applyProtection="1">
      <alignment horizontal="center" vertical="center"/>
    </xf>
    <xf numFmtId="0" fontId="0" fillId="0" borderId="2" xfId="0" applyBorder="1" applyAlignment="1" applyProtection="1">
      <alignment vertical="center"/>
    </xf>
    <xf numFmtId="0" fontId="8" fillId="0" borderId="2" xfId="0" applyFont="1" applyBorder="1" applyAlignment="1" applyProtection="1">
      <alignment vertical="center"/>
    </xf>
    <xf numFmtId="0" fontId="0" fillId="0" borderId="111" xfId="0" applyBorder="1" applyAlignment="1" applyProtection="1">
      <alignment vertical="center"/>
    </xf>
    <xf numFmtId="0" fontId="4" fillId="0" borderId="188" xfId="0" applyFont="1" applyFill="1" applyBorder="1" applyAlignment="1" applyProtection="1">
      <alignment horizontal="left" vertical="center" indent="1"/>
    </xf>
    <xf numFmtId="182" fontId="0" fillId="0" borderId="0" xfId="0" applyNumberFormat="1" applyFill="1" applyBorder="1" applyAlignment="1" applyProtection="1">
      <alignment horizontal="right" vertical="center"/>
    </xf>
    <xf numFmtId="0" fontId="59" fillId="0" borderId="1" xfId="0" applyFont="1" applyBorder="1" applyAlignment="1" applyProtection="1">
      <alignment horizontal="left" vertical="center" indent="1"/>
    </xf>
    <xf numFmtId="0" fontId="59" fillId="0" borderId="15" xfId="0" applyFont="1" applyBorder="1" applyAlignment="1" applyProtection="1">
      <alignment horizontal="left" vertical="center" indent="1"/>
    </xf>
    <xf numFmtId="0" fontId="4" fillId="0" borderId="16" xfId="0" applyFont="1" applyBorder="1" applyAlignment="1" applyProtection="1">
      <alignment vertical="center"/>
    </xf>
    <xf numFmtId="0" fontId="0" fillId="0" borderId="16" xfId="0" applyFill="1" applyBorder="1" applyAlignment="1" applyProtection="1">
      <alignment vertical="center"/>
    </xf>
    <xf numFmtId="0" fontId="8" fillId="0" borderId="16" xfId="0" applyFont="1" applyFill="1" applyBorder="1" applyAlignment="1" applyProtection="1">
      <alignment vertical="center"/>
    </xf>
    <xf numFmtId="0" fontId="0" fillId="0" borderId="48" xfId="0" applyFill="1" applyBorder="1" applyAlignment="1" applyProtection="1">
      <alignment vertical="center"/>
    </xf>
    <xf numFmtId="227" fontId="0" fillId="0" borderId="5" xfId="0" applyNumberFormat="1" applyBorder="1" applyAlignment="1" applyProtection="1">
      <alignment horizontal="center" vertical="center"/>
    </xf>
    <xf numFmtId="227" fontId="0" fillId="0" borderId="0" xfId="0" applyNumberFormat="1" applyBorder="1" applyAlignment="1" applyProtection="1">
      <alignment horizontal="center" vertical="center"/>
    </xf>
    <xf numFmtId="231" fontId="97" fillId="7" borderId="6" xfId="0" applyNumberFormat="1" applyFont="1" applyFill="1" applyBorder="1" applyAlignment="1">
      <alignment horizontal="center" vertical="center" shrinkToFit="1"/>
    </xf>
    <xf numFmtId="0" fontId="43" fillId="7" borderId="17" xfId="0" applyFont="1" applyFill="1" applyBorder="1" applyAlignment="1">
      <alignment horizontal="center" vertical="center" shrinkToFit="1"/>
    </xf>
    <xf numFmtId="231" fontId="0" fillId="7" borderId="5" xfId="0" applyNumberFormat="1" applyFill="1" applyBorder="1" applyAlignment="1">
      <alignment horizontal="center" vertical="center" shrinkToFit="1"/>
    </xf>
    <xf numFmtId="231" fontId="0" fillId="7" borderId="6" xfId="0" applyNumberFormat="1" applyFill="1" applyBorder="1" applyAlignment="1">
      <alignment horizontal="center" vertical="center" shrinkToFit="1"/>
    </xf>
    <xf numFmtId="231" fontId="98" fillId="7" borderId="6" xfId="0" applyNumberFormat="1" applyFont="1" applyFill="1" applyBorder="1" applyAlignment="1">
      <alignment horizontal="center" vertical="center" shrinkToFit="1"/>
    </xf>
    <xf numFmtId="231" fontId="98" fillId="7" borderId="0" xfId="0" applyNumberFormat="1" applyFont="1" applyFill="1" applyBorder="1" applyAlignment="1">
      <alignment horizontal="center" vertical="center" shrinkToFit="1"/>
    </xf>
    <xf numFmtId="0" fontId="8" fillId="6" borderId="0" xfId="0" applyFont="1" applyFill="1" applyAlignment="1" applyProtection="1">
      <alignment horizontal="right" vertical="center"/>
    </xf>
    <xf numFmtId="0" fontId="90" fillId="6" borderId="0" xfId="0" applyFont="1" applyFill="1" applyAlignment="1" applyProtection="1">
      <alignment vertical="center"/>
    </xf>
    <xf numFmtId="0" fontId="8" fillId="0" borderId="0" xfId="0" applyFont="1" applyBorder="1" applyAlignment="1" applyProtection="1">
      <alignment horizontal="center" vertical="center"/>
    </xf>
    <xf numFmtId="3" fontId="8" fillId="0" borderId="1" xfId="0" applyNumberFormat="1" applyFont="1" applyBorder="1" applyAlignment="1" applyProtection="1">
      <alignment vertical="center" shrinkToFit="1"/>
    </xf>
    <xf numFmtId="3" fontId="8" fillId="0" borderId="0" xfId="0" applyNumberFormat="1" applyFont="1" applyBorder="1" applyAlignment="1" applyProtection="1">
      <alignment horizontal="right" vertical="center" shrinkToFit="1"/>
    </xf>
    <xf numFmtId="229" fontId="8" fillId="0" borderId="1" xfId="0" applyNumberFormat="1" applyFont="1" applyBorder="1" applyAlignment="1" applyProtection="1">
      <alignment vertical="center" shrinkToFit="1"/>
    </xf>
    <xf numFmtId="0" fontId="2" fillId="0" borderId="1" xfId="0" applyFont="1" applyBorder="1" applyAlignment="1" applyProtection="1">
      <alignment horizontal="left" vertical="center"/>
    </xf>
    <xf numFmtId="3" fontId="8" fillId="0" borderId="0" xfId="0" applyNumberFormat="1" applyFont="1" applyBorder="1" applyAlignment="1" applyProtection="1">
      <alignment vertical="center" shrinkToFit="1"/>
    </xf>
    <xf numFmtId="3" fontId="2" fillId="23" borderId="0" xfId="0" applyNumberFormat="1" applyFont="1" applyFill="1" applyBorder="1" applyAlignment="1" applyProtection="1">
      <alignment horizontal="right" vertical="center"/>
    </xf>
    <xf numFmtId="0" fontId="92" fillId="23" borderId="0" xfId="0" applyFont="1" applyFill="1" applyBorder="1" applyAlignment="1" applyProtection="1">
      <alignment vertical="center"/>
    </xf>
    <xf numFmtId="0" fontId="8" fillId="21" borderId="0" xfId="0" applyFont="1" applyFill="1" applyAlignment="1" applyProtection="1">
      <alignment vertical="center"/>
    </xf>
    <xf numFmtId="0" fontId="4" fillId="24" borderId="0" xfId="0" applyFont="1" applyFill="1" applyAlignment="1" applyProtection="1">
      <alignment horizontal="left"/>
    </xf>
    <xf numFmtId="0" fontId="0" fillId="24" borderId="0" xfId="0" applyFill="1" applyAlignment="1" applyProtection="1">
      <alignment horizontal="left"/>
    </xf>
    <xf numFmtId="0" fontId="94" fillId="24" borderId="0" xfId="0" applyFont="1" applyFill="1" applyAlignment="1" applyProtection="1">
      <alignment horizontal="left"/>
    </xf>
    <xf numFmtId="0" fontId="4" fillId="24" borderId="0" xfId="0" applyFont="1" applyFill="1"/>
    <xf numFmtId="203" fontId="0" fillId="23" borderId="0" xfId="0" applyNumberFormat="1" applyFill="1" applyBorder="1" applyAlignment="1">
      <alignment horizontal="center" vertical="center"/>
    </xf>
    <xf numFmtId="203" fontId="0" fillId="23" borderId="3" xfId="0" applyNumberFormat="1" applyFill="1" applyBorder="1" applyAlignment="1">
      <alignment horizontal="center" vertical="center"/>
    </xf>
    <xf numFmtId="0" fontId="0" fillId="23" borderId="0" xfId="0" applyFill="1" applyAlignment="1">
      <alignment vertical="center"/>
    </xf>
    <xf numFmtId="0" fontId="3" fillId="23" borderId="0" xfId="2" applyFill="1" applyAlignment="1" applyProtection="1">
      <alignment vertical="center"/>
    </xf>
    <xf numFmtId="0" fontId="99" fillId="36" borderId="0" xfId="0" applyFont="1" applyFill="1" applyAlignment="1">
      <alignment vertical="center"/>
    </xf>
    <xf numFmtId="0" fontId="0" fillId="36" borderId="0" xfId="0" applyFill="1" applyAlignment="1">
      <alignment vertical="center"/>
    </xf>
    <xf numFmtId="0" fontId="0" fillId="36" borderId="0" xfId="0" applyFill="1" applyBorder="1" applyAlignment="1">
      <alignment vertical="center"/>
    </xf>
    <xf numFmtId="0" fontId="0" fillId="24" borderId="0" xfId="0" applyFill="1" applyAlignment="1" applyProtection="1">
      <alignment vertical="center"/>
    </xf>
    <xf numFmtId="0" fontId="4" fillId="0" borderId="0" xfId="0" applyFont="1" applyFill="1" applyAlignment="1" applyProtection="1">
      <alignment horizontal="left" vertical="center" wrapText="1"/>
      <protection locked="0"/>
    </xf>
    <xf numFmtId="0" fontId="8" fillId="23" borderId="0" xfId="0" applyFont="1" applyFill="1" applyBorder="1" applyAlignment="1" applyProtection="1">
      <alignment vertical="top" wrapText="1"/>
    </xf>
    <xf numFmtId="0" fontId="94" fillId="0" borderId="1" xfId="0" applyFont="1" applyBorder="1" applyAlignment="1" applyProtection="1">
      <alignment vertical="center"/>
    </xf>
    <xf numFmtId="188" fontId="0" fillId="34" borderId="122" xfId="0" applyNumberFormat="1" applyFill="1" applyBorder="1" applyAlignment="1">
      <alignment horizontal="center" shrinkToFit="1"/>
    </xf>
    <xf numFmtId="0" fontId="4" fillId="7" borderId="0" xfId="0" applyFont="1" applyFill="1" applyBorder="1"/>
    <xf numFmtId="0" fontId="0" fillId="23" borderId="4" xfId="0" applyFill="1" applyBorder="1"/>
    <xf numFmtId="0" fontId="0" fillId="23" borderId="19" xfId="0" applyFill="1" applyBorder="1"/>
    <xf numFmtId="0" fontId="0" fillId="23" borderId="3" xfId="0" applyFill="1" applyBorder="1"/>
    <xf numFmtId="0" fontId="0" fillId="23" borderId="20" xfId="0" applyFill="1" applyBorder="1"/>
    <xf numFmtId="3" fontId="0" fillId="7" borderId="123" xfId="0" applyNumberFormat="1" applyFill="1" applyBorder="1" applyAlignment="1">
      <alignment horizontal="center" shrinkToFit="1"/>
    </xf>
    <xf numFmtId="3" fontId="0" fillId="7" borderId="63" xfId="0" applyNumberFormat="1" applyFill="1" applyBorder="1" applyAlignment="1">
      <alignment horizontal="center" shrinkToFit="1"/>
    </xf>
    <xf numFmtId="0" fontId="2" fillId="23" borderId="4" xfId="0" applyFont="1" applyFill="1" applyBorder="1" applyAlignment="1" applyProtection="1">
      <alignment horizontal="left" vertical="center" indent="1"/>
    </xf>
    <xf numFmtId="0" fontId="8" fillId="23" borderId="5" xfId="0" applyFont="1" applyFill="1" applyBorder="1" applyAlignment="1" applyProtection="1">
      <alignment vertical="center"/>
    </xf>
    <xf numFmtId="0" fontId="4" fillId="23" borderId="1" xfId="0" applyFont="1" applyFill="1" applyBorder="1" applyAlignment="1" applyProtection="1">
      <alignment horizontal="left" vertical="center" indent="1"/>
    </xf>
    <xf numFmtId="0" fontId="2" fillId="23" borderId="1" xfId="0" applyFont="1" applyFill="1" applyBorder="1" applyAlignment="1" applyProtection="1">
      <alignment horizontal="left" vertical="center" indent="1"/>
    </xf>
    <xf numFmtId="0" fontId="0" fillId="23" borderId="0" xfId="0" applyFill="1" applyBorder="1" applyAlignment="1" applyProtection="1">
      <alignment horizontal="right" vertical="center" indent="2" shrinkToFit="1"/>
    </xf>
    <xf numFmtId="0" fontId="0" fillId="23" borderId="0" xfId="0" applyFill="1" applyBorder="1" applyAlignment="1" applyProtection="1">
      <alignment horizontal="right" vertical="center" indent="1"/>
    </xf>
    <xf numFmtId="0" fontId="8" fillId="23" borderId="0" xfId="0" applyFont="1" applyFill="1" applyBorder="1" applyAlignment="1" applyProtection="1">
      <alignment horizontal="right" vertical="center" indent="1"/>
    </xf>
    <xf numFmtId="0" fontId="0" fillId="23" borderId="35" xfId="0" applyFill="1" applyBorder="1" applyAlignment="1" applyProtection="1">
      <alignment vertical="center"/>
    </xf>
    <xf numFmtId="0" fontId="0" fillId="23" borderId="6" xfId="0" applyFill="1" applyBorder="1" applyAlignment="1" applyProtection="1">
      <alignment vertical="center"/>
    </xf>
    <xf numFmtId="229" fontId="4" fillId="0" borderId="0" xfId="0" applyNumberFormat="1" applyFont="1" applyBorder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 vertical="center"/>
    </xf>
    <xf numFmtId="0" fontId="89" fillId="0" borderId="16" xfId="0" applyFont="1" applyBorder="1" applyAlignment="1" applyProtection="1">
      <alignment vertical="center"/>
    </xf>
    <xf numFmtId="0" fontId="100" fillId="0" borderId="16" xfId="0" applyFont="1" applyBorder="1" applyAlignment="1" applyProtection="1">
      <alignment horizontal="right" vertical="center" indent="1"/>
    </xf>
    <xf numFmtId="229" fontId="100" fillId="0" borderId="48" xfId="0" applyNumberFormat="1" applyFont="1" applyBorder="1" applyAlignment="1" applyProtection="1">
      <alignment horizontal="center" vertical="center"/>
    </xf>
    <xf numFmtId="0" fontId="69" fillId="36" borderId="0" xfId="0" applyFont="1" applyFill="1" applyAlignment="1">
      <alignment vertical="center"/>
    </xf>
    <xf numFmtId="0" fontId="0" fillId="36" borderId="0" xfId="0" applyFill="1" applyAlignment="1">
      <alignment horizontal="right" vertical="center"/>
    </xf>
    <xf numFmtId="0" fontId="4" fillId="36" borderId="0" xfId="0" applyFont="1" applyFill="1" applyAlignment="1">
      <alignment horizontal="left" vertical="center"/>
    </xf>
    <xf numFmtId="0" fontId="59" fillId="36" borderId="0" xfId="0" applyFont="1" applyFill="1" applyAlignment="1">
      <alignment vertical="center"/>
    </xf>
    <xf numFmtId="0" fontId="101" fillId="36" borderId="0" xfId="0" applyFont="1" applyFill="1" applyAlignment="1">
      <alignment vertical="center"/>
    </xf>
    <xf numFmtId="0" fontId="80" fillId="36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102" fillId="36" borderId="0" xfId="0" applyFont="1" applyFill="1" applyAlignment="1">
      <alignment vertical="center"/>
    </xf>
    <xf numFmtId="0" fontId="89" fillId="36" borderId="0" xfId="0" applyFont="1" applyFill="1" applyAlignment="1">
      <alignment vertical="center"/>
    </xf>
    <xf numFmtId="0" fontId="3" fillId="36" borderId="0" xfId="2" applyFill="1" applyAlignment="1" applyProtection="1">
      <alignment vertical="center"/>
    </xf>
    <xf numFmtId="0" fontId="103" fillId="36" borderId="0" xfId="0" applyFont="1" applyFill="1" applyAlignment="1">
      <alignment vertical="center"/>
    </xf>
    <xf numFmtId="0" fontId="104" fillId="36" borderId="0" xfId="0" applyFont="1" applyFill="1" applyAlignment="1">
      <alignment vertical="center"/>
    </xf>
    <xf numFmtId="0" fontId="43" fillId="36" borderId="0" xfId="0" applyFont="1" applyFill="1" applyAlignment="1">
      <alignment vertical="center"/>
    </xf>
    <xf numFmtId="4" fontId="105" fillId="36" borderId="0" xfId="0" applyNumberFormat="1" applyFont="1" applyFill="1" applyAlignment="1">
      <alignment vertical="center"/>
    </xf>
    <xf numFmtId="0" fontId="105" fillId="36" borderId="0" xfId="0" applyFont="1" applyFill="1" applyAlignment="1">
      <alignment vertical="center"/>
    </xf>
    <xf numFmtId="0" fontId="106" fillId="36" borderId="0" xfId="0" applyFont="1" applyFill="1" applyAlignment="1">
      <alignment vertical="center"/>
    </xf>
    <xf numFmtId="0" fontId="43" fillId="36" borderId="189" xfId="0" applyFont="1" applyFill="1" applyBorder="1" applyAlignment="1">
      <alignment vertical="center"/>
    </xf>
    <xf numFmtId="0" fontId="0" fillId="36" borderId="190" xfId="0" applyFill="1" applyBorder="1" applyAlignment="1">
      <alignment vertical="center"/>
    </xf>
    <xf numFmtId="0" fontId="0" fillId="36" borderId="191" xfId="0" applyFill="1" applyBorder="1" applyAlignment="1">
      <alignment vertical="center"/>
    </xf>
    <xf numFmtId="0" fontId="4" fillId="36" borderId="192" xfId="0" applyFont="1" applyFill="1" applyBorder="1" applyAlignment="1">
      <alignment vertical="center"/>
    </xf>
    <xf numFmtId="0" fontId="0" fillId="36" borderId="193" xfId="0" applyFill="1" applyBorder="1" applyAlignment="1">
      <alignment vertical="center"/>
    </xf>
    <xf numFmtId="0" fontId="0" fillId="36" borderId="192" xfId="0" applyFill="1" applyBorder="1" applyAlignment="1">
      <alignment vertical="center"/>
    </xf>
    <xf numFmtId="0" fontId="105" fillId="36" borderId="0" xfId="0" applyFont="1" applyFill="1" applyBorder="1" applyAlignment="1">
      <alignment vertical="center"/>
    </xf>
    <xf numFmtId="10" fontId="105" fillId="36" borderId="0" xfId="0" applyNumberFormat="1" applyFont="1" applyFill="1" applyBorder="1" applyAlignment="1">
      <alignment vertical="center"/>
    </xf>
    <xf numFmtId="234" fontId="105" fillId="36" borderId="0" xfId="0" applyNumberFormat="1" applyFont="1" applyFill="1" applyBorder="1" applyAlignment="1">
      <alignment vertical="center"/>
    </xf>
    <xf numFmtId="4" fontId="105" fillId="36" borderId="0" xfId="0" applyNumberFormat="1" applyFont="1" applyFill="1" applyBorder="1" applyAlignment="1">
      <alignment vertical="center"/>
    </xf>
    <xf numFmtId="4" fontId="0" fillId="36" borderId="0" xfId="0" applyNumberFormat="1" applyFill="1" applyBorder="1" applyAlignment="1">
      <alignment vertical="center"/>
    </xf>
    <xf numFmtId="0" fontId="4" fillId="36" borderId="0" xfId="0" applyFont="1" applyFill="1" applyBorder="1" applyAlignment="1">
      <alignment vertical="center"/>
    </xf>
    <xf numFmtId="0" fontId="0" fillId="36" borderId="194" xfId="0" applyFill="1" applyBorder="1" applyAlignment="1">
      <alignment vertical="center"/>
    </xf>
    <xf numFmtId="0" fontId="0" fillId="36" borderId="195" xfId="0" applyFill="1" applyBorder="1" applyAlignment="1">
      <alignment vertical="center"/>
    </xf>
    <xf numFmtId="0" fontId="0" fillId="36" borderId="196" xfId="0" applyFill="1" applyBorder="1" applyAlignment="1">
      <alignment vertical="center"/>
    </xf>
    <xf numFmtId="0" fontId="0" fillId="37" borderId="0" xfId="0" applyFill="1" applyAlignment="1">
      <alignment vertical="center"/>
    </xf>
    <xf numFmtId="0" fontId="3" fillId="37" borderId="0" xfId="2" applyFill="1" applyAlignment="1" applyProtection="1">
      <alignment vertical="center"/>
    </xf>
    <xf numFmtId="0" fontId="4" fillId="37" borderId="0" xfId="0" applyFont="1" applyFill="1" applyAlignment="1">
      <alignment vertical="center"/>
    </xf>
    <xf numFmtId="0" fontId="99" fillId="37" borderId="0" xfId="0" applyFont="1" applyFill="1" applyAlignment="1">
      <alignment vertical="center"/>
    </xf>
    <xf numFmtId="0" fontId="76" fillId="37" borderId="0" xfId="0" applyFont="1" applyFill="1" applyAlignment="1">
      <alignment vertical="center"/>
    </xf>
    <xf numFmtId="0" fontId="0" fillId="37" borderId="0" xfId="0" applyFill="1" applyAlignment="1">
      <alignment horizontal="center" vertical="center"/>
    </xf>
    <xf numFmtId="49" fontId="0" fillId="37" borderId="0" xfId="0" applyNumberFormat="1" applyFill="1" applyAlignment="1">
      <alignment vertical="center"/>
    </xf>
    <xf numFmtId="0" fontId="0" fillId="37" borderId="99" xfId="0" applyFill="1" applyBorder="1" applyAlignment="1">
      <alignment vertical="center"/>
    </xf>
    <xf numFmtId="2" fontId="0" fillId="37" borderId="133" xfId="0" applyNumberFormat="1" applyFill="1" applyBorder="1" applyAlignment="1">
      <alignment horizontal="center" vertical="center"/>
    </xf>
    <xf numFmtId="2" fontId="0" fillId="37" borderId="100" xfId="0" applyNumberFormat="1" applyFill="1" applyBorder="1" applyAlignment="1">
      <alignment horizontal="center" vertical="center"/>
    </xf>
    <xf numFmtId="0" fontId="0" fillId="37" borderId="88" xfId="0" applyFill="1" applyBorder="1" applyAlignment="1">
      <alignment vertical="center"/>
    </xf>
    <xf numFmtId="9" fontId="0" fillId="37" borderId="61" xfId="0" applyNumberFormat="1" applyFill="1" applyBorder="1" applyAlignment="1">
      <alignment vertical="center"/>
    </xf>
    <xf numFmtId="0" fontId="0" fillId="37" borderId="61" xfId="0" applyFill="1" applyBorder="1" applyAlignment="1">
      <alignment vertical="center"/>
    </xf>
    <xf numFmtId="181" fontId="0" fillId="37" borderId="61" xfId="0" applyNumberFormat="1" applyFill="1" applyBorder="1" applyAlignment="1">
      <alignment horizontal="center" vertical="center"/>
    </xf>
    <xf numFmtId="0" fontId="0" fillId="37" borderId="89" xfId="0" applyFill="1" applyBorder="1" applyAlignment="1">
      <alignment vertical="center"/>
    </xf>
    <xf numFmtId="0" fontId="0" fillId="37" borderId="90" xfId="0" applyFill="1" applyBorder="1" applyAlignment="1">
      <alignment vertical="center"/>
    </xf>
    <xf numFmtId="228" fontId="0" fillId="37" borderId="0" xfId="0" applyNumberFormat="1" applyFill="1" applyBorder="1" applyAlignment="1">
      <alignment horizontal="center" vertical="center"/>
    </xf>
    <xf numFmtId="228" fontId="0" fillId="37" borderId="91" xfId="0" applyNumberFormat="1" applyFill="1" applyBorder="1" applyAlignment="1">
      <alignment horizontal="center" vertical="center"/>
    </xf>
    <xf numFmtId="0" fontId="0" fillId="37" borderId="92" xfId="0" applyFill="1" applyBorder="1" applyAlignment="1">
      <alignment vertical="center"/>
    </xf>
    <xf numFmtId="2" fontId="0" fillId="37" borderId="53" xfId="0" applyNumberFormat="1" applyFill="1" applyBorder="1" applyAlignment="1">
      <alignment horizontal="center" vertical="center"/>
    </xf>
    <xf numFmtId="2" fontId="0" fillId="37" borderId="93" xfId="0" applyNumberFormat="1" applyFill="1" applyBorder="1" applyAlignment="1">
      <alignment horizontal="center" vertical="center"/>
    </xf>
    <xf numFmtId="10" fontId="0" fillId="37" borderId="61" xfId="0" applyNumberFormat="1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181" fontId="0" fillId="37" borderId="0" xfId="0" applyNumberFormat="1" applyFill="1" applyBorder="1" applyAlignment="1">
      <alignment horizontal="center" vertical="center"/>
    </xf>
    <xf numFmtId="0" fontId="0" fillId="37" borderId="91" xfId="0" applyFill="1" applyBorder="1" applyAlignment="1">
      <alignment vertical="center"/>
    </xf>
    <xf numFmtId="0" fontId="4" fillId="37" borderId="90" xfId="0" applyFont="1" applyFill="1" applyBorder="1" applyAlignment="1">
      <alignment vertical="center"/>
    </xf>
    <xf numFmtId="0" fontId="51" fillId="23" borderId="0" xfId="0" applyFont="1" applyFill="1" applyAlignment="1">
      <alignment vertical="center"/>
    </xf>
    <xf numFmtId="0" fontId="107" fillId="23" borderId="0" xfId="0" applyFont="1" applyFill="1" applyAlignment="1">
      <alignment vertical="center"/>
    </xf>
    <xf numFmtId="0" fontId="40" fillId="23" borderId="0" xfId="0" applyFont="1" applyFill="1" applyAlignment="1">
      <alignment vertical="center"/>
    </xf>
    <xf numFmtId="0" fontId="40" fillId="36" borderId="0" xfId="0" applyFont="1" applyFill="1" applyAlignment="1">
      <alignment vertical="center"/>
    </xf>
    <xf numFmtId="0" fontId="0" fillId="23" borderId="0" xfId="0" applyFill="1" applyAlignment="1">
      <alignment horizontal="left" vertical="center"/>
    </xf>
    <xf numFmtId="0" fontId="4" fillId="7" borderId="16" xfId="0" applyFont="1" applyFill="1" applyBorder="1" applyAlignment="1">
      <alignment horizontal="left" vertical="center"/>
    </xf>
    <xf numFmtId="0" fontId="108" fillId="23" borderId="0" xfId="0" applyFont="1" applyFill="1" applyAlignment="1" applyProtection="1">
      <alignment horizontal="left"/>
    </xf>
    <xf numFmtId="0" fontId="0" fillId="23" borderId="0" xfId="0" applyFill="1" applyAlignment="1" applyProtection="1">
      <alignment horizontal="left"/>
    </xf>
    <xf numFmtId="0" fontId="4" fillId="23" borderId="0" xfId="0" applyFont="1" applyFill="1" applyAlignment="1" applyProtection="1">
      <alignment horizontal="left"/>
    </xf>
    <xf numFmtId="0" fontId="85" fillId="23" borderId="133" xfId="0" applyFont="1" applyFill="1" applyBorder="1" applyAlignment="1">
      <alignment vertical="center"/>
    </xf>
    <xf numFmtId="0" fontId="41" fillId="23" borderId="0" xfId="0" applyFont="1" applyFill="1" applyAlignment="1">
      <alignment horizontal="right" vertical="center"/>
    </xf>
    <xf numFmtId="0" fontId="109" fillId="23" borderId="0" xfId="0" applyFont="1" applyFill="1" applyAlignment="1" applyProtection="1">
      <alignment horizontal="left"/>
    </xf>
    <xf numFmtId="0" fontId="59" fillId="0" borderId="0" xfId="0" applyFont="1" applyAlignment="1" applyProtection="1">
      <alignment horizontal="left"/>
    </xf>
    <xf numFmtId="0" fontId="89" fillId="0" borderId="0" xfId="0" applyFont="1" applyAlignment="1" applyProtection="1">
      <alignment horizontal="left"/>
    </xf>
    <xf numFmtId="10" fontId="42" fillId="38" borderId="0" xfId="0" applyNumberFormat="1" applyFont="1" applyFill="1" applyAlignment="1">
      <alignment horizontal="center" shrinkToFit="1"/>
    </xf>
    <xf numFmtId="10" fontId="42" fillId="23" borderId="0" xfId="0" applyNumberFormat="1" applyFont="1" applyFill="1" applyAlignment="1" applyProtection="1">
      <alignment shrinkToFit="1"/>
    </xf>
    <xf numFmtId="10" fontId="42" fillId="23" borderId="16" xfId="0" applyNumberFormat="1" applyFont="1" applyFill="1" applyBorder="1" applyAlignment="1" applyProtection="1">
      <alignment shrinkToFit="1"/>
    </xf>
    <xf numFmtId="10" fontId="42" fillId="23" borderId="197" xfId="0" applyNumberFormat="1" applyFont="1" applyFill="1" applyBorder="1" applyAlignment="1" applyProtection="1">
      <alignment shrinkToFit="1"/>
    </xf>
    <xf numFmtId="10" fontId="42" fillId="23" borderId="134" xfId="0" applyNumberFormat="1" applyFont="1" applyFill="1" applyBorder="1" applyAlignment="1" applyProtection="1">
      <alignment shrinkToFit="1"/>
    </xf>
    <xf numFmtId="0" fontId="4" fillId="0" borderId="1" xfId="0" applyFont="1" applyBorder="1" applyAlignment="1" applyProtection="1">
      <alignment vertical="center" textRotation="90"/>
    </xf>
    <xf numFmtId="0" fontId="0" fillId="0" borderId="1" xfId="0" applyBorder="1" applyAlignment="1">
      <alignment vertical="center" textRotation="90"/>
    </xf>
    <xf numFmtId="0" fontId="1" fillId="34" borderId="85" xfId="0" applyFont="1" applyFill="1" applyBorder="1" applyAlignment="1">
      <alignment horizontal="left" shrinkToFit="1"/>
    </xf>
    <xf numFmtId="0" fontId="1" fillId="0" borderId="0" xfId="0" applyFont="1" applyAlignment="1" applyProtection="1">
      <alignment horizontal="left"/>
    </xf>
    <xf numFmtId="10" fontId="8" fillId="12" borderId="0" xfId="0" applyNumberFormat="1" applyFont="1" applyFill="1" applyAlignment="1">
      <alignment horizontal="center" shrinkToFit="1"/>
    </xf>
    <xf numFmtId="194" fontId="8" fillId="6" borderId="0" xfId="0" applyNumberFormat="1" applyFont="1" applyFill="1" applyAlignment="1" applyProtection="1">
      <alignment vertical="center" shrinkToFit="1"/>
    </xf>
    <xf numFmtId="0" fontId="0" fillId="0" borderId="0" xfId="0" applyAlignment="1" applyProtection="1">
      <alignment vertical="center" shrinkToFit="1"/>
    </xf>
    <xf numFmtId="173" fontId="0" fillId="0" borderId="0" xfId="0" applyNumberFormat="1" applyBorder="1" applyAlignment="1" applyProtection="1">
      <alignment horizontal="right" vertical="center"/>
    </xf>
    <xf numFmtId="235" fontId="8" fillId="24" borderId="0" xfId="0" applyNumberFormat="1" applyFont="1" applyFill="1" applyBorder="1" applyAlignment="1" applyProtection="1">
      <alignment horizontal="right" vertical="center"/>
    </xf>
    <xf numFmtId="3" fontId="0" fillId="0" borderId="0" xfId="0" applyNumberFormat="1" applyBorder="1" applyAlignment="1" applyProtection="1">
      <alignment horizontal="right" vertical="center"/>
    </xf>
    <xf numFmtId="177" fontId="61" fillId="6" borderId="0" xfId="0" applyNumberFormat="1" applyFont="1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169" fontId="4" fillId="6" borderId="0" xfId="0" applyNumberFormat="1" applyFont="1" applyFill="1" applyBorder="1" applyAlignment="1" applyProtection="1">
      <alignment horizontal="right" vertical="center" shrinkToFit="1"/>
    </xf>
    <xf numFmtId="0" fontId="0" fillId="0" borderId="0" xfId="0" applyBorder="1" applyAlignment="1" applyProtection="1">
      <alignment horizontal="center" vertical="center"/>
    </xf>
    <xf numFmtId="192" fontId="0" fillId="0" borderId="0" xfId="0" applyNumberFormat="1" applyBorder="1" applyAlignment="1" applyProtection="1">
      <alignment horizontal="center" vertical="center" shrinkToFit="1"/>
    </xf>
    <xf numFmtId="188" fontId="4" fillId="3" borderId="0" xfId="0" applyNumberFormat="1" applyFont="1" applyFill="1" applyBorder="1" applyAlignment="1" applyProtection="1">
      <alignment vertical="center" shrinkToFit="1"/>
    </xf>
    <xf numFmtId="0" fontId="59" fillId="40" borderId="4" xfId="0" applyFont="1" applyFill="1" applyBorder="1" applyAlignment="1" applyProtection="1">
      <alignment vertical="center"/>
    </xf>
    <xf numFmtId="0" fontId="8" fillId="40" borderId="5" xfId="0" applyFont="1" applyFill="1" applyBorder="1" applyAlignment="1" applyProtection="1">
      <alignment vertical="center"/>
    </xf>
    <xf numFmtId="0" fontId="0" fillId="40" borderId="6" xfId="0" applyFill="1" applyBorder="1" applyAlignment="1" applyProtection="1">
      <alignment vertical="center"/>
    </xf>
    <xf numFmtId="0" fontId="97" fillId="0" borderId="1" xfId="0" applyFont="1" applyBorder="1" applyAlignment="1" applyProtection="1">
      <alignment horizontal="right" vertical="center"/>
    </xf>
    <xf numFmtId="0" fontId="0" fillId="40" borderId="0" xfId="0" applyFill="1" applyBorder="1" applyAlignment="1" applyProtection="1">
      <alignment vertical="center"/>
    </xf>
    <xf numFmtId="0" fontId="89" fillId="40" borderId="0" xfId="0" applyFont="1" applyFill="1" applyBorder="1" applyAlignment="1" applyProtection="1">
      <alignment vertical="center"/>
    </xf>
    <xf numFmtId="3" fontId="89" fillId="40" borderId="0" xfId="0" applyNumberFormat="1" applyFont="1" applyFill="1" applyBorder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0" fontId="91" fillId="40" borderId="0" xfId="0" applyFont="1" applyFill="1" applyBorder="1" applyAlignment="1" applyProtection="1">
      <alignment vertical="center"/>
    </xf>
    <xf numFmtId="0" fontId="97" fillId="40" borderId="0" xfId="0" applyFont="1" applyFill="1" applyBorder="1" applyAlignment="1" applyProtection="1">
      <alignment vertical="center"/>
    </xf>
    <xf numFmtId="0" fontId="89" fillId="40" borderId="0" xfId="0" applyFont="1" applyFill="1" applyBorder="1" applyAlignment="1" applyProtection="1">
      <alignment horizontal="right" vertical="center"/>
    </xf>
    <xf numFmtId="0" fontId="97" fillId="40" borderId="6" xfId="0" applyFont="1" applyFill="1" applyBorder="1" applyAlignment="1" applyProtection="1">
      <alignment vertical="center"/>
    </xf>
    <xf numFmtId="0" fontId="2" fillId="40" borderId="6" xfId="0" applyFont="1" applyFill="1" applyBorder="1" applyAlignment="1" applyProtection="1">
      <alignment vertical="center"/>
    </xf>
    <xf numFmtId="0" fontId="0" fillId="40" borderId="5" xfId="0" applyFill="1" applyBorder="1" applyAlignment="1" applyProtection="1">
      <alignment vertical="center"/>
    </xf>
    <xf numFmtId="0" fontId="8" fillId="40" borderId="19" xfId="0" applyFont="1" applyFill="1" applyBorder="1" applyAlignment="1" applyProtection="1">
      <alignment vertical="center"/>
    </xf>
    <xf numFmtId="0" fontId="8" fillId="0" borderId="3" xfId="0" applyFont="1" applyBorder="1" applyAlignment="1" applyProtection="1">
      <alignment vertical="center"/>
    </xf>
    <xf numFmtId="0" fontId="1" fillId="40" borderId="1" xfId="0" applyFont="1" applyFill="1" applyBorder="1" applyAlignment="1" applyProtection="1">
      <alignment vertical="center"/>
    </xf>
    <xf numFmtId="244" fontId="100" fillId="40" borderId="3" xfId="0" applyNumberFormat="1" applyFont="1" applyFill="1" applyBorder="1" applyAlignment="1" applyProtection="1">
      <alignment horizontal="center" vertical="center"/>
    </xf>
    <xf numFmtId="0" fontId="0" fillId="40" borderId="1" xfId="0" applyFill="1" applyBorder="1" applyAlignment="1" applyProtection="1">
      <alignment vertical="center"/>
    </xf>
    <xf numFmtId="0" fontId="8" fillId="40" borderId="3" xfId="0" applyFont="1" applyFill="1" applyBorder="1" applyAlignment="1" applyProtection="1">
      <alignment vertical="center"/>
    </xf>
    <xf numFmtId="0" fontId="1" fillId="40" borderId="35" xfId="0" applyFont="1" applyFill="1" applyBorder="1" applyAlignment="1" applyProtection="1">
      <alignment vertical="center"/>
    </xf>
    <xf numFmtId="244" fontId="100" fillId="40" borderId="20" xfId="0" applyNumberFormat="1" applyFont="1" applyFill="1" applyBorder="1" applyAlignment="1" applyProtection="1">
      <alignment horizontal="center" vertical="center"/>
    </xf>
    <xf numFmtId="0" fontId="89" fillId="40" borderId="1" xfId="0" applyFont="1" applyFill="1" applyBorder="1" applyAlignment="1" applyProtection="1">
      <alignment vertical="center"/>
    </xf>
    <xf numFmtId="0" fontId="100" fillId="40" borderId="3" xfId="0" applyFont="1" applyFill="1" applyBorder="1" applyAlignment="1" applyProtection="1">
      <alignment vertical="center"/>
    </xf>
    <xf numFmtId="0" fontId="97" fillId="40" borderId="35" xfId="0" applyFont="1" applyFill="1" applyBorder="1" applyAlignment="1" applyProtection="1">
      <alignment vertical="center"/>
    </xf>
    <xf numFmtId="0" fontId="115" fillId="40" borderId="20" xfId="0" applyFont="1" applyFill="1" applyBorder="1" applyAlignment="1" applyProtection="1">
      <alignment vertical="center"/>
    </xf>
    <xf numFmtId="0" fontId="2" fillId="40" borderId="35" xfId="0" applyFont="1" applyFill="1" applyBorder="1" applyAlignment="1" applyProtection="1">
      <alignment vertical="center"/>
    </xf>
    <xf numFmtId="0" fontId="9" fillId="40" borderId="20" xfId="0" applyFont="1" applyFill="1" applyBorder="1" applyAlignment="1" applyProtection="1">
      <alignment vertical="center"/>
    </xf>
    <xf numFmtId="0" fontId="91" fillId="40" borderId="1" xfId="0" applyFont="1" applyFill="1" applyBorder="1" applyAlignment="1" applyProtection="1">
      <alignment vertical="center"/>
    </xf>
    <xf numFmtId="0" fontId="114" fillId="40" borderId="3" xfId="0" applyFont="1" applyFill="1" applyBorder="1" applyAlignment="1" applyProtection="1">
      <alignment vertical="center"/>
    </xf>
    <xf numFmtId="0" fontId="97" fillId="40" borderId="1" xfId="0" applyFont="1" applyFill="1" applyBorder="1" applyAlignment="1" applyProtection="1">
      <alignment vertical="center"/>
    </xf>
    <xf numFmtId="0" fontId="115" fillId="40" borderId="3" xfId="0" applyFont="1" applyFill="1" applyBorder="1" applyAlignment="1" applyProtection="1">
      <alignment vertical="center"/>
    </xf>
    <xf numFmtId="0" fontId="91" fillId="40" borderId="35" xfId="0" applyFont="1" applyFill="1" applyBorder="1" applyAlignment="1" applyProtection="1">
      <alignment vertical="center"/>
    </xf>
    <xf numFmtId="0" fontId="91" fillId="40" borderId="6" xfId="0" applyFont="1" applyFill="1" applyBorder="1" applyAlignment="1" applyProtection="1">
      <alignment vertical="center"/>
    </xf>
    <xf numFmtId="0" fontId="114" fillId="40" borderId="20" xfId="0" applyFont="1" applyFill="1" applyBorder="1" applyAlignment="1" applyProtection="1">
      <alignment vertical="center"/>
    </xf>
    <xf numFmtId="0" fontId="10" fillId="40" borderId="0" xfId="0" applyFont="1" applyFill="1" applyBorder="1" applyAlignment="1" applyProtection="1">
      <alignment vertical="center"/>
    </xf>
    <xf numFmtId="4" fontId="0" fillId="0" borderId="0" xfId="0" applyNumberFormat="1" applyAlignment="1" applyProtection="1">
      <alignment vertical="center"/>
    </xf>
    <xf numFmtId="0" fontId="8" fillId="0" borderId="1" xfId="0" applyFont="1" applyBorder="1" applyAlignment="1" applyProtection="1">
      <alignment vertical="center"/>
    </xf>
    <xf numFmtId="181" fontId="0" fillId="0" borderId="0" xfId="0" applyNumberFormat="1" applyAlignment="1" applyProtection="1">
      <alignment vertical="center" shrinkToFit="1"/>
    </xf>
    <xf numFmtId="0" fontId="1" fillId="23" borderId="4" xfId="0" applyFont="1" applyFill="1" applyBorder="1"/>
    <xf numFmtId="0" fontId="1" fillId="23" borderId="5" xfId="0" applyFont="1" applyFill="1" applyBorder="1"/>
    <xf numFmtId="0" fontId="1" fillId="23" borderId="19" xfId="0" applyFont="1" applyFill="1" applyBorder="1"/>
    <xf numFmtId="0" fontId="8" fillId="23" borderId="47" xfId="0" applyFont="1" applyFill="1" applyBorder="1" applyAlignment="1">
      <alignment horizontal="center" shrinkToFit="1"/>
    </xf>
    <xf numFmtId="3" fontId="0" fillId="40" borderId="64" xfId="0" applyNumberFormat="1" applyFill="1" applyBorder="1" applyAlignment="1">
      <alignment horizontal="center" shrinkToFit="1"/>
    </xf>
    <xf numFmtId="0" fontId="0" fillId="0" borderId="16" xfId="0" applyBorder="1" applyAlignment="1" applyProtection="1">
      <alignment vertical="center" shrinkToFit="1"/>
    </xf>
    <xf numFmtId="229" fontId="8" fillId="21" borderId="17" xfId="0" applyNumberFormat="1" applyFont="1" applyFill="1" applyBorder="1" applyAlignment="1" applyProtection="1">
      <alignment horizontal="center" vertical="center"/>
    </xf>
    <xf numFmtId="0" fontId="1" fillId="21" borderId="4" xfId="0" applyFont="1" applyFill="1" applyBorder="1" applyAlignment="1" applyProtection="1">
      <alignment vertical="center"/>
    </xf>
    <xf numFmtId="0" fontId="0" fillId="21" borderId="5" xfId="0" applyFill="1" applyBorder="1" applyAlignment="1" applyProtection="1">
      <alignment vertical="center"/>
    </xf>
    <xf numFmtId="0" fontId="0" fillId="21" borderId="19" xfId="0" applyFill="1" applyBorder="1" applyAlignment="1" applyProtection="1">
      <alignment vertical="center"/>
    </xf>
    <xf numFmtId="0" fontId="0" fillId="21" borderId="6" xfId="0" applyFill="1" applyBorder="1" applyAlignment="1" applyProtection="1">
      <alignment vertical="center"/>
    </xf>
    <xf numFmtId="0" fontId="0" fillId="21" borderId="20" xfId="0" applyFill="1" applyBorder="1" applyAlignment="1" applyProtection="1">
      <alignment vertical="center"/>
    </xf>
    <xf numFmtId="0" fontId="1" fillId="23" borderId="0" xfId="0" applyFont="1" applyFill="1" applyAlignment="1" applyProtection="1">
      <alignment horizontal="left"/>
    </xf>
    <xf numFmtId="0" fontId="1" fillId="23" borderId="0" xfId="0" applyFont="1" applyFill="1" applyAlignment="1" applyProtection="1">
      <alignment horizontal="left" wrapText="1"/>
    </xf>
    <xf numFmtId="0" fontId="85" fillId="23" borderId="100" xfId="0" applyFont="1" applyFill="1" applyBorder="1" applyAlignment="1">
      <alignment vertical="center"/>
    </xf>
    <xf numFmtId="0" fontId="85" fillId="36" borderId="100" xfId="0" applyFont="1" applyFill="1" applyBorder="1" applyAlignment="1">
      <alignment vertical="center"/>
    </xf>
    <xf numFmtId="0" fontId="40" fillId="36" borderId="0" xfId="0" applyFont="1" applyFill="1" applyAlignment="1">
      <alignment horizontal="right" vertical="center"/>
    </xf>
    <xf numFmtId="0" fontId="51" fillId="36" borderId="0" xfId="0" applyFont="1" applyFill="1" applyAlignment="1">
      <alignment vertical="center"/>
    </xf>
    <xf numFmtId="0" fontId="51" fillId="36" borderId="0" xfId="0" applyFont="1" applyFill="1" applyAlignment="1">
      <alignment horizontal="left" vertical="center"/>
    </xf>
    <xf numFmtId="0" fontId="40" fillId="36" borderId="0" xfId="0" applyFont="1" applyFill="1" applyAlignment="1">
      <alignment horizontal="left" vertical="center"/>
    </xf>
    <xf numFmtId="228" fontId="14" fillId="36" borderId="0" xfId="0" applyNumberFormat="1" applyFont="1" applyFill="1" applyAlignment="1">
      <alignment vertical="center"/>
    </xf>
    <xf numFmtId="0" fontId="14" fillId="36" borderId="0" xfId="0" applyFont="1" applyFill="1" applyAlignment="1">
      <alignment vertical="center"/>
    </xf>
    <xf numFmtId="0" fontId="0" fillId="36" borderId="0" xfId="0" applyFill="1" applyAlignment="1">
      <alignment horizontal="left" vertical="center"/>
    </xf>
    <xf numFmtId="0" fontId="95" fillId="23" borderId="0" xfId="0" applyFont="1" applyFill="1" applyAlignment="1">
      <alignment vertical="center"/>
    </xf>
    <xf numFmtId="0" fontId="119" fillId="23" borderId="0" xfId="0" applyFont="1" applyFill="1" applyAlignment="1">
      <alignment vertical="center"/>
    </xf>
    <xf numFmtId="0" fontId="120" fillId="23" borderId="0" xfId="0" quotePrefix="1" applyFont="1" applyFill="1" applyAlignment="1">
      <alignment horizontal="left" vertical="center"/>
    </xf>
    <xf numFmtId="0" fontId="120" fillId="23" borderId="0" xfId="0" applyFont="1" applyFill="1" applyAlignment="1">
      <alignment horizontal="left" vertical="center"/>
    </xf>
    <xf numFmtId="0" fontId="0" fillId="0" borderId="53" xfId="0" applyBorder="1" applyAlignment="1">
      <alignment vertical="center"/>
    </xf>
    <xf numFmtId="0" fontId="85" fillId="36" borderId="99" xfId="0" applyFont="1" applyFill="1" applyBorder="1" applyAlignment="1">
      <alignment vertical="center"/>
    </xf>
    <xf numFmtId="0" fontId="85" fillId="23" borderId="99" xfId="0" applyFont="1" applyFill="1" applyBorder="1" applyAlignment="1">
      <alignment vertical="center"/>
    </xf>
    <xf numFmtId="0" fontId="0" fillId="40" borderId="35" xfId="0" applyFill="1" applyBorder="1" applyAlignment="1" applyProtection="1">
      <alignment vertical="center"/>
    </xf>
    <xf numFmtId="0" fontId="90" fillId="23" borderId="0" xfId="0" applyFont="1" applyFill="1" applyAlignment="1" applyProtection="1">
      <alignment horizontal="left"/>
    </xf>
    <xf numFmtId="0" fontId="91" fillId="23" borderId="0" xfId="0" applyFont="1" applyFill="1" applyAlignment="1" applyProtection="1">
      <alignment horizontal="left"/>
    </xf>
    <xf numFmtId="0" fontId="88" fillId="23" borderId="0" xfId="0" applyFont="1" applyFill="1" applyAlignment="1" applyProtection="1">
      <alignment horizontal="left"/>
    </xf>
    <xf numFmtId="0" fontId="3" fillId="41" borderId="223" xfId="2" applyFill="1" applyBorder="1" applyAlignment="1" applyProtection="1"/>
    <xf numFmtId="0" fontId="3" fillId="39" borderId="179" xfId="2" applyFill="1" applyBorder="1" applyAlignment="1" applyProtection="1">
      <alignment horizontal="center" vertical="center"/>
    </xf>
    <xf numFmtId="3" fontId="0" fillId="42" borderId="64" xfId="0" applyNumberFormat="1" applyFill="1" applyBorder="1" applyAlignment="1">
      <alignment horizontal="center" shrinkToFit="1"/>
    </xf>
    <xf numFmtId="0" fontId="1" fillId="35" borderId="121" xfId="0" applyFont="1" applyFill="1" applyBorder="1" applyAlignment="1" applyProtection="1">
      <alignment horizontal="left" shrinkToFit="1"/>
    </xf>
    <xf numFmtId="4" fontId="1" fillId="6" borderId="0" xfId="0" applyNumberFormat="1" applyFont="1" applyFill="1" applyBorder="1" applyAlignment="1" applyProtection="1">
      <alignment horizontal="right" vertical="center"/>
    </xf>
    <xf numFmtId="0" fontId="39" fillId="0" borderId="0" xfId="0" applyFont="1" applyBorder="1" applyAlignment="1" applyProtection="1">
      <alignment horizontal="center" vertical="top" textRotation="90"/>
    </xf>
    <xf numFmtId="0" fontId="42" fillId="9" borderId="160" xfId="0" applyFont="1" applyFill="1" applyBorder="1" applyAlignment="1">
      <alignment horizontal="center" shrinkToFit="1"/>
    </xf>
    <xf numFmtId="0" fontId="42" fillId="9" borderId="161" xfId="0" applyFont="1" applyFill="1" applyBorder="1" applyAlignment="1">
      <alignment horizontal="center" shrinkToFit="1"/>
    </xf>
    <xf numFmtId="0" fontId="0" fillId="0" borderId="0" xfId="0" applyBorder="1" applyAlignment="1" applyProtection="1">
      <alignment vertical="center" shrinkToFit="1"/>
    </xf>
    <xf numFmtId="0" fontId="42" fillId="9" borderId="160" xfId="0" applyFont="1" applyFill="1" applyBorder="1" applyAlignment="1">
      <alignment horizontal="center" shrinkToFit="1"/>
    </xf>
    <xf numFmtId="0" fontId="42" fillId="9" borderId="161" xfId="0" applyFont="1" applyFill="1" applyBorder="1" applyAlignment="1">
      <alignment horizontal="center" shrinkToFit="1"/>
    </xf>
    <xf numFmtId="0" fontId="0" fillId="7" borderId="1" xfId="0" applyFill="1" applyBorder="1"/>
    <xf numFmtId="3" fontId="0" fillId="7" borderId="0" xfId="0" applyNumberFormat="1" applyFill="1" applyBorder="1" applyAlignment="1">
      <alignment horizontal="center" shrinkToFit="1"/>
    </xf>
    <xf numFmtId="0" fontId="8" fillId="23" borderId="0" xfId="0" applyFont="1" applyFill="1" applyBorder="1" applyAlignment="1">
      <alignment horizontal="center" shrinkToFit="1"/>
    </xf>
    <xf numFmtId="0" fontId="2" fillId="23" borderId="232" xfId="0" applyFont="1" applyFill="1" applyBorder="1" applyAlignment="1">
      <alignment horizontal="left" shrinkToFit="1"/>
    </xf>
    <xf numFmtId="0" fontId="93" fillId="23" borderId="90" xfId="0" applyFont="1" applyFill="1" applyBorder="1" applyAlignment="1">
      <alignment shrinkToFit="1"/>
    </xf>
    <xf numFmtId="3" fontId="0" fillId="23" borderId="236" xfId="0" applyNumberFormat="1" applyFill="1" applyBorder="1" applyAlignment="1">
      <alignment horizontal="center" shrinkToFit="1"/>
    </xf>
    <xf numFmtId="188" fontId="0" fillId="23" borderId="236" xfId="0" applyNumberFormat="1" applyFill="1" applyBorder="1" applyAlignment="1">
      <alignment horizontal="center" shrinkToFit="1"/>
    </xf>
    <xf numFmtId="193" fontId="0" fillId="23" borderId="236" xfId="0" applyNumberFormat="1" applyFill="1" applyBorder="1" applyAlignment="1">
      <alignment horizontal="center" shrinkToFit="1"/>
    </xf>
    <xf numFmtId="0" fontId="0" fillId="23" borderId="0" xfId="0" applyFill="1" applyBorder="1"/>
    <xf numFmtId="204" fontId="0" fillId="23" borderId="6" xfId="0" applyNumberFormat="1" applyFill="1" applyBorder="1"/>
    <xf numFmtId="3" fontId="0" fillId="23" borderId="101" xfId="0" applyNumberFormat="1" applyFill="1" applyBorder="1" applyAlignment="1">
      <alignment horizontal="center" shrinkToFit="1"/>
    </xf>
    <xf numFmtId="0" fontId="58" fillId="7" borderId="59" xfId="0" applyFont="1" applyFill="1" applyBorder="1" applyAlignment="1">
      <alignment horizontal="center"/>
    </xf>
    <xf numFmtId="188" fontId="0" fillId="34" borderId="240" xfId="0" applyNumberFormat="1" applyFill="1" applyBorder="1" applyAlignment="1">
      <alignment horizontal="center" shrinkToFit="1"/>
    </xf>
    <xf numFmtId="188" fontId="0" fillId="34" borderId="103" xfId="0" applyNumberFormat="1" applyFill="1" applyBorder="1" applyAlignment="1">
      <alignment horizontal="center" shrinkToFit="1"/>
    </xf>
    <xf numFmtId="188" fontId="4" fillId="34" borderId="246" xfId="0" applyNumberFormat="1" applyFont="1" applyFill="1" applyBorder="1" applyAlignment="1">
      <alignment horizontal="center" shrinkToFit="1"/>
    </xf>
    <xf numFmtId="188" fontId="0" fillId="34" borderId="104" xfId="0" applyNumberFormat="1" applyFill="1" applyBorder="1" applyAlignment="1">
      <alignment horizontal="center" shrinkToFit="1"/>
    </xf>
    <xf numFmtId="3" fontId="0" fillId="23" borderId="124" xfId="0" applyNumberFormat="1" applyFill="1" applyBorder="1" applyAlignment="1">
      <alignment horizontal="center" shrinkToFit="1"/>
    </xf>
    <xf numFmtId="188" fontId="0" fillId="23" borderId="124" xfId="0" applyNumberFormat="1" applyFill="1" applyBorder="1" applyAlignment="1">
      <alignment horizontal="center" shrinkToFit="1"/>
    </xf>
    <xf numFmtId="193" fontId="0" fillId="23" borderId="124" xfId="0" applyNumberFormat="1" applyFill="1" applyBorder="1" applyAlignment="1">
      <alignment horizontal="center" shrinkToFit="1"/>
    </xf>
    <xf numFmtId="204" fontId="0" fillId="23" borderId="0" xfId="0" applyNumberFormat="1" applyFill="1" applyBorder="1"/>
    <xf numFmtId="3" fontId="0" fillId="23" borderId="251" xfId="0" applyNumberFormat="1" applyFill="1" applyBorder="1" applyAlignment="1">
      <alignment horizontal="center" shrinkToFit="1"/>
    </xf>
    <xf numFmtId="3" fontId="0" fillId="23" borderId="252" xfId="0" applyNumberFormat="1" applyFill="1" applyBorder="1" applyAlignment="1">
      <alignment horizontal="center" shrinkToFit="1"/>
    </xf>
    <xf numFmtId="188" fontId="0" fillId="23" borderId="252" xfId="0" applyNumberFormat="1" applyFill="1" applyBorder="1" applyAlignment="1">
      <alignment horizontal="center" shrinkToFit="1"/>
    </xf>
    <xf numFmtId="193" fontId="0" fillId="23" borderId="252" xfId="0" applyNumberFormat="1" applyFill="1" applyBorder="1" applyAlignment="1">
      <alignment horizontal="center" shrinkToFit="1"/>
    </xf>
    <xf numFmtId="3" fontId="0" fillId="23" borderId="115" xfId="0" applyNumberFormat="1" applyFill="1" applyBorder="1" applyAlignment="1">
      <alignment horizontal="center" shrinkToFit="1"/>
    </xf>
    <xf numFmtId="0" fontId="97" fillId="23" borderId="0" xfId="0" applyFont="1" applyFill="1"/>
    <xf numFmtId="0" fontId="91" fillId="7" borderId="0" xfId="0" applyFont="1" applyFill="1"/>
    <xf numFmtId="0" fontId="91" fillId="23" borderId="0" xfId="0" applyFont="1" applyFill="1"/>
    <xf numFmtId="247" fontId="91" fillId="40" borderId="17" xfId="0" applyNumberFormat="1" applyFont="1" applyFill="1" applyBorder="1" applyAlignment="1">
      <alignment horizontal="center" shrinkToFit="1"/>
    </xf>
    <xf numFmtId="188" fontId="91" fillId="7" borderId="17" xfId="0" applyNumberFormat="1" applyFont="1" applyFill="1" applyBorder="1" applyAlignment="1">
      <alignment horizontal="center" shrinkToFit="1"/>
    </xf>
    <xf numFmtId="248" fontId="91" fillId="40" borderId="17" xfId="0" applyNumberFormat="1" applyFont="1" applyFill="1" applyBorder="1" applyAlignment="1">
      <alignment horizontal="center" shrinkToFit="1"/>
    </xf>
    <xf numFmtId="249" fontId="91" fillId="40" borderId="17" xfId="0" applyNumberFormat="1" applyFont="1" applyFill="1" applyBorder="1" applyAlignment="1">
      <alignment horizontal="center" shrinkToFit="1"/>
    </xf>
    <xf numFmtId="247" fontId="98" fillId="40" borderId="17" xfId="0" applyNumberFormat="1" applyFont="1" applyFill="1" applyBorder="1" applyAlignment="1">
      <alignment horizontal="center" shrinkToFit="1"/>
    </xf>
    <xf numFmtId="188" fontId="98" fillId="7" borderId="17" xfId="0" applyNumberFormat="1" applyFont="1" applyFill="1" applyBorder="1" applyAlignment="1">
      <alignment horizontal="center" shrinkToFit="1"/>
    </xf>
    <xf numFmtId="248" fontId="98" fillId="40" borderId="17" xfId="0" applyNumberFormat="1" applyFont="1" applyFill="1" applyBorder="1" applyAlignment="1">
      <alignment horizontal="center" shrinkToFit="1"/>
    </xf>
    <xf numFmtId="250" fontId="98" fillId="40" borderId="17" xfId="0" applyNumberFormat="1" applyFont="1" applyFill="1" applyBorder="1" applyAlignment="1">
      <alignment horizontal="center" shrinkToFit="1"/>
    </xf>
    <xf numFmtId="3" fontId="98" fillId="40" borderId="17" xfId="0" applyNumberFormat="1" applyFont="1" applyFill="1" applyBorder="1" applyAlignment="1">
      <alignment horizontal="center" shrinkToFit="1"/>
    </xf>
    <xf numFmtId="251" fontId="98" fillId="40" borderId="17" xfId="0" applyNumberFormat="1" applyFont="1" applyFill="1" applyBorder="1" applyAlignment="1">
      <alignment horizontal="center" shrinkToFit="1"/>
    </xf>
    <xf numFmtId="0" fontId="1" fillId="43" borderId="85" xfId="0" applyFont="1" applyFill="1" applyBorder="1" applyAlignment="1">
      <alignment horizontal="left" shrinkToFit="1"/>
    </xf>
    <xf numFmtId="0" fontId="1" fillId="43" borderId="237" xfId="0" applyFont="1" applyFill="1" applyBorder="1" applyAlignment="1" applyProtection="1">
      <alignment horizontal="left" shrinkToFit="1"/>
    </xf>
    <xf numFmtId="0" fontId="1" fillId="43" borderId="121" xfId="0" applyFont="1" applyFill="1" applyBorder="1" applyAlignment="1" applyProtection="1">
      <alignment horizontal="left" shrinkToFit="1"/>
    </xf>
    <xf numFmtId="252" fontId="1" fillId="2" borderId="243" xfId="0" applyNumberFormat="1" applyFont="1" applyFill="1" applyBorder="1" applyAlignment="1">
      <alignment shrinkToFit="1"/>
    </xf>
    <xf numFmtId="0" fontId="2" fillId="7" borderId="0" xfId="0" applyFont="1" applyFill="1"/>
    <xf numFmtId="0" fontId="1" fillId="0" borderId="0" xfId="0" applyFont="1" applyFill="1" applyBorder="1" applyAlignment="1" applyProtection="1">
      <alignment vertical="center"/>
    </xf>
    <xf numFmtId="0" fontId="1" fillId="0" borderId="4" xfId="0" applyFont="1" applyBorder="1" applyAlignment="1" applyProtection="1">
      <alignment vertical="center"/>
    </xf>
    <xf numFmtId="227" fontId="0" fillId="0" borderId="6" xfId="0" applyNumberFormat="1" applyBorder="1" applyAlignment="1" applyProtection="1">
      <alignment horizontal="center" vertical="center"/>
    </xf>
    <xf numFmtId="0" fontId="0" fillId="0" borderId="133" xfId="0" applyBorder="1" applyAlignment="1" applyProtection="1">
      <alignment vertical="center"/>
    </xf>
    <xf numFmtId="0" fontId="0" fillId="0" borderId="100" xfId="0" applyBorder="1" applyAlignment="1" applyProtection="1">
      <alignment vertical="center"/>
    </xf>
    <xf numFmtId="10" fontId="42" fillId="23" borderId="6" xfId="0" applyNumberFormat="1" applyFont="1" applyFill="1" applyBorder="1" applyAlignment="1" applyProtection="1">
      <alignment shrinkToFit="1"/>
    </xf>
    <xf numFmtId="0" fontId="1" fillId="13" borderId="243" xfId="0" applyFont="1" applyFill="1" applyBorder="1" applyAlignment="1">
      <alignment shrinkToFit="1"/>
    </xf>
    <xf numFmtId="0" fontId="1" fillId="8" borderId="243" xfId="0" applyFont="1" applyFill="1" applyBorder="1" applyAlignment="1">
      <alignment shrinkToFit="1"/>
    </xf>
    <xf numFmtId="0" fontId="1" fillId="12" borderId="243" xfId="0" applyFont="1" applyFill="1" applyBorder="1" applyAlignment="1">
      <alignment shrinkToFit="1"/>
    </xf>
    <xf numFmtId="0" fontId="2" fillId="23" borderId="247" xfId="0" applyFont="1" applyFill="1" applyBorder="1" applyAlignment="1">
      <alignment horizontal="left" shrinkToFit="1"/>
    </xf>
    <xf numFmtId="0" fontId="2" fillId="23" borderId="249" xfId="0" applyFont="1" applyFill="1" applyBorder="1" applyAlignment="1">
      <alignment horizontal="left" shrinkToFit="1"/>
    </xf>
    <xf numFmtId="0" fontId="1" fillId="2" borderId="243" xfId="0" applyFont="1" applyFill="1" applyBorder="1" applyAlignment="1">
      <alignment shrinkToFit="1"/>
    </xf>
    <xf numFmtId="0" fontId="1" fillId="13" borderId="248" xfId="0" applyFont="1" applyFill="1" applyBorder="1" applyAlignment="1">
      <alignment shrinkToFit="1"/>
    </xf>
    <xf numFmtId="0" fontId="1" fillId="2" borderId="241" xfId="0" applyNumberFormat="1" applyFont="1" applyFill="1" applyBorder="1" applyAlignment="1">
      <alignment shrinkToFit="1"/>
    </xf>
    <xf numFmtId="253" fontId="0" fillId="2" borderId="242" xfId="0" applyNumberFormat="1" applyFill="1" applyBorder="1" applyAlignment="1">
      <alignment shrinkToFit="1"/>
    </xf>
    <xf numFmtId="0" fontId="0" fillId="8" borderId="241" xfId="0" applyNumberFormat="1" applyFill="1" applyBorder="1" applyAlignment="1">
      <alignment shrinkToFit="1"/>
    </xf>
    <xf numFmtId="253" fontId="0" fillId="8" borderId="242" xfId="0" applyNumberFormat="1" applyFill="1" applyBorder="1" applyAlignment="1">
      <alignment shrinkToFit="1"/>
    </xf>
    <xf numFmtId="253" fontId="0" fillId="12" borderId="242" xfId="0" applyNumberFormat="1" applyFill="1" applyBorder="1" applyAlignment="1">
      <alignment shrinkToFit="1"/>
    </xf>
    <xf numFmtId="0" fontId="0" fillId="12" borderId="241" xfId="0" applyNumberFormat="1" applyFill="1" applyBorder="1" applyAlignment="1">
      <alignment shrinkToFit="1"/>
    </xf>
    <xf numFmtId="0" fontId="0" fillId="2" borderId="241" xfId="0" applyNumberFormat="1" applyFill="1" applyBorder="1" applyAlignment="1">
      <alignment shrinkToFit="1"/>
    </xf>
    <xf numFmtId="0" fontId="1" fillId="13" borderId="241" xfId="0" quotePrefix="1" applyFont="1" applyFill="1" applyBorder="1" applyAlignment="1">
      <alignment shrinkToFit="1"/>
    </xf>
    <xf numFmtId="0" fontId="1" fillId="13" borderId="242" xfId="0" quotePrefix="1" applyFont="1" applyFill="1" applyBorder="1" applyAlignment="1">
      <alignment horizontal="right" shrinkToFit="1"/>
    </xf>
    <xf numFmtId="0" fontId="0" fillId="13" borderId="241" xfId="0" applyNumberFormat="1" applyFill="1" applyBorder="1" applyAlignment="1">
      <alignment shrinkToFit="1"/>
    </xf>
    <xf numFmtId="0" fontId="0" fillId="13" borderId="242" xfId="0" applyNumberFormat="1" applyFill="1" applyBorder="1" applyAlignment="1">
      <alignment horizontal="right" shrinkToFit="1"/>
    </xf>
    <xf numFmtId="253" fontId="0" fillId="13" borderId="242" xfId="0" applyNumberFormat="1" applyFill="1" applyBorder="1" applyAlignment="1">
      <alignment shrinkToFit="1"/>
    </xf>
    <xf numFmtId="0" fontId="4" fillId="22" borderId="247" xfId="0" applyFont="1" applyFill="1" applyBorder="1" applyAlignment="1">
      <alignment shrinkToFit="1"/>
    </xf>
    <xf numFmtId="0" fontId="1" fillId="22" borderId="248" xfId="0" applyFont="1" applyFill="1" applyBorder="1" applyAlignment="1">
      <alignment shrinkToFit="1"/>
    </xf>
    <xf numFmtId="0" fontId="1" fillId="22" borderId="247" xfId="0" applyNumberFormat="1" applyFont="1" applyFill="1" applyBorder="1" applyAlignment="1">
      <alignment horizontal="right" shrinkToFit="1"/>
    </xf>
    <xf numFmtId="253" fontId="4" fillId="22" borderId="242" xfId="0" applyNumberFormat="1" applyFont="1" applyFill="1" applyBorder="1" applyAlignment="1">
      <alignment shrinkToFit="1"/>
    </xf>
    <xf numFmtId="0" fontId="4" fillId="22" borderId="247" xfId="0" applyNumberFormat="1" applyFont="1" applyFill="1" applyBorder="1" applyAlignment="1">
      <alignment shrinkToFit="1"/>
    </xf>
    <xf numFmtId="0" fontId="1" fillId="22" borderId="247" xfId="0" applyNumberFormat="1" applyFont="1" applyFill="1" applyBorder="1" applyAlignment="1">
      <alignment shrinkToFit="1"/>
    </xf>
    <xf numFmtId="253" fontId="0" fillId="13" borderId="242" xfId="0" applyNumberFormat="1" applyFill="1" applyBorder="1" applyAlignment="1">
      <alignment horizontal="right" shrinkToFit="1"/>
    </xf>
    <xf numFmtId="0" fontId="2" fillId="36" borderId="238" xfId="0" applyFont="1" applyFill="1" applyBorder="1" applyAlignment="1">
      <alignment horizontal="left" shrinkToFit="1"/>
    </xf>
    <xf numFmtId="0" fontId="8" fillId="36" borderId="239" xfId="0" applyFont="1" applyFill="1" applyBorder="1" applyAlignment="1">
      <alignment horizontal="right" shrinkToFit="1"/>
    </xf>
    <xf numFmtId="0" fontId="2" fillId="36" borderId="232" xfId="0" applyFont="1" applyFill="1" applyBorder="1" applyAlignment="1">
      <alignment horizontal="left" shrinkToFit="1"/>
    </xf>
    <xf numFmtId="0" fontId="2" fillId="36" borderId="167" xfId="0" applyFont="1" applyFill="1" applyBorder="1" applyAlignment="1">
      <alignment horizontal="left" shrinkToFit="1"/>
    </xf>
    <xf numFmtId="0" fontId="2" fillId="44" borderId="0" xfId="0" applyFont="1" applyFill="1" applyBorder="1" applyAlignment="1">
      <alignment horizontal="left" shrinkToFit="1"/>
    </xf>
    <xf numFmtId="0" fontId="0" fillId="44" borderId="0" xfId="0" applyFill="1" applyBorder="1" applyAlignment="1">
      <alignment horizontal="center" shrinkToFit="1"/>
    </xf>
    <xf numFmtId="188" fontId="4" fillId="44" borderId="0" xfId="0" applyNumberFormat="1" applyFont="1" applyFill="1" applyBorder="1" applyAlignment="1">
      <alignment horizontal="center" shrinkToFit="1"/>
    </xf>
    <xf numFmtId="0" fontId="4" fillId="44" borderId="0" xfId="0" applyFont="1" applyFill="1" applyBorder="1" applyAlignment="1">
      <alignment horizontal="center" shrinkToFit="1"/>
    </xf>
    <xf numFmtId="0" fontId="42" fillId="44" borderId="61" xfId="0" applyFont="1" applyFill="1" applyBorder="1" applyAlignment="1">
      <alignment horizontal="center" shrinkToFit="1"/>
    </xf>
    <xf numFmtId="3" fontId="0" fillId="44" borderId="0" xfId="0" applyNumberFormat="1" applyFill="1" applyBorder="1" applyAlignment="1">
      <alignment horizontal="center" shrinkToFit="1"/>
    </xf>
    <xf numFmtId="0" fontId="8" fillId="44" borderId="0" xfId="0" applyFont="1" applyFill="1" applyBorder="1" applyAlignment="1">
      <alignment horizontal="center" shrinkToFit="1"/>
    </xf>
    <xf numFmtId="0" fontId="10" fillId="44" borderId="0" xfId="0" applyFont="1" applyFill="1" applyBorder="1" applyAlignment="1">
      <alignment horizontal="center" textRotation="90"/>
    </xf>
    <xf numFmtId="0" fontId="0" fillId="44" borderId="0" xfId="0" applyFill="1" applyBorder="1" applyAlignment="1">
      <alignment shrinkToFit="1"/>
    </xf>
    <xf numFmtId="0" fontId="93" fillId="44" borderId="0" xfId="0" applyFont="1" applyFill="1" applyBorder="1" applyAlignment="1">
      <alignment shrinkToFit="1"/>
    </xf>
    <xf numFmtId="0" fontId="42" fillId="44" borderId="252" xfId="0" applyFont="1" applyFill="1" applyBorder="1" applyAlignment="1">
      <alignment horizontal="center" shrinkToFit="1"/>
    </xf>
    <xf numFmtId="0" fontId="42" fillId="44" borderId="253" xfId="0" applyFont="1" applyFill="1" applyBorder="1" applyAlignment="1">
      <alignment horizontal="center" shrinkToFit="1"/>
    </xf>
    <xf numFmtId="0" fontId="0" fillId="44" borderId="0" xfId="0" applyFill="1" applyBorder="1"/>
    <xf numFmtId="0" fontId="122" fillId="0" borderId="254" xfId="0" applyFont="1" applyBorder="1" applyAlignment="1" applyProtection="1">
      <alignment horizontal="center" vertical="center"/>
    </xf>
    <xf numFmtId="227" fontId="0" fillId="0" borderId="255" xfId="0" applyNumberFormat="1" applyBorder="1" applyAlignment="1" applyProtection="1">
      <alignment horizontal="center" vertical="center"/>
    </xf>
    <xf numFmtId="227" fontId="0" fillId="0" borderId="256" xfId="0" applyNumberFormat="1" applyBorder="1" applyAlignment="1" applyProtection="1">
      <alignment horizontal="center" vertical="center"/>
    </xf>
    <xf numFmtId="0" fontId="91" fillId="40" borderId="17" xfId="0" applyNumberFormat="1" applyFont="1" applyFill="1" applyBorder="1" applyAlignment="1">
      <alignment horizontal="center" shrinkToFit="1"/>
    </xf>
    <xf numFmtId="0" fontId="0" fillId="7" borderId="0" xfId="0" applyNumberFormat="1" applyFill="1"/>
    <xf numFmtId="255" fontId="91" fillId="40" borderId="17" xfId="0" applyNumberFormat="1" applyFont="1" applyFill="1" applyBorder="1" applyAlignment="1">
      <alignment horizontal="center" shrinkToFit="1"/>
    </xf>
    <xf numFmtId="0" fontId="98" fillId="6" borderId="0" xfId="0" applyFont="1" applyFill="1" applyAlignment="1" applyProtection="1">
      <alignment horizontal="right" vertical="center"/>
    </xf>
    <xf numFmtId="256" fontId="8" fillId="6" borderId="0" xfId="0" applyNumberFormat="1" applyFont="1" applyFill="1" applyAlignment="1" applyProtection="1">
      <alignment vertical="center" shrinkToFit="1"/>
    </xf>
    <xf numFmtId="3" fontId="8" fillId="6" borderId="0" xfId="0" applyNumberFormat="1" applyFont="1" applyFill="1" applyAlignment="1" applyProtection="1">
      <alignment vertical="center" shrinkToFit="1"/>
    </xf>
    <xf numFmtId="256" fontId="8" fillId="6" borderId="0" xfId="0" applyNumberFormat="1" applyFont="1" applyFill="1" applyAlignment="1" applyProtection="1">
      <alignment vertical="center"/>
    </xf>
    <xf numFmtId="201" fontId="0" fillId="6" borderId="0" xfId="0" applyNumberFormat="1" applyFill="1" applyAlignment="1" applyProtection="1">
      <alignment vertical="center"/>
    </xf>
    <xf numFmtId="0" fontId="1" fillId="0" borderId="0" xfId="0" applyFont="1" applyBorder="1" applyAlignment="1" applyProtection="1">
      <alignment horizontal="center" vertical="center"/>
    </xf>
    <xf numFmtId="182" fontId="122" fillId="23" borderId="0" xfId="0" applyNumberFormat="1" applyFont="1" applyFill="1" applyBorder="1" applyAlignment="1" applyProtection="1">
      <alignment vertical="center"/>
    </xf>
    <xf numFmtId="1" fontId="0" fillId="23" borderId="1" xfId="0" applyNumberFormat="1" applyFill="1" applyBorder="1" applyAlignment="1" applyProtection="1">
      <alignment vertical="center"/>
    </xf>
    <xf numFmtId="0" fontId="8" fillId="23" borderId="6" xfId="0" applyFont="1" applyFill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123" fillId="0" borderId="0" xfId="0" applyFont="1"/>
    <xf numFmtId="0" fontId="124" fillId="0" borderId="0" xfId="0" applyFont="1"/>
    <xf numFmtId="201" fontId="0" fillId="0" borderId="0" xfId="0" applyNumberFormat="1" applyAlignment="1" applyProtection="1">
      <alignment horizontal="center"/>
    </xf>
    <xf numFmtId="0" fontId="125" fillId="0" borderId="0" xfId="0" applyFont="1" applyAlignment="1" applyProtection="1">
      <alignment horizontal="left"/>
    </xf>
    <xf numFmtId="0" fontId="82" fillId="0" borderId="0" xfId="0" applyFont="1" applyAlignment="1" applyProtection="1">
      <alignment horizontal="left"/>
    </xf>
    <xf numFmtId="0" fontId="127" fillId="0" borderId="0" xfId="0" applyFont="1" applyAlignment="1" applyProtection="1">
      <alignment horizontal="left"/>
    </xf>
    <xf numFmtId="0" fontId="1" fillId="0" borderId="0" xfId="0" applyFont="1" applyAlignment="1" applyProtection="1">
      <alignment vertical="center"/>
    </xf>
    <xf numFmtId="0" fontId="0" fillId="45" borderId="0" xfId="0" applyFill="1" applyAlignment="1" applyProtection="1">
      <alignment horizontal="left"/>
    </xf>
    <xf numFmtId="0" fontId="130" fillId="0" borderId="0" xfId="0" applyFont="1" applyAlignment="1" applyProtection="1">
      <alignment horizontal="left"/>
    </xf>
    <xf numFmtId="0" fontId="130" fillId="23" borderId="0" xfId="0" applyFont="1" applyFill="1" applyAlignment="1" applyProtection="1">
      <alignment horizontal="left"/>
    </xf>
    <xf numFmtId="0" fontId="132" fillId="23" borderId="0" xfId="3" applyFont="1" applyFill="1" applyAlignment="1">
      <alignment vertical="center"/>
    </xf>
    <xf numFmtId="0" fontId="132" fillId="23" borderId="0" xfId="0" applyFont="1" applyFill="1" applyAlignment="1">
      <alignment vertical="center"/>
    </xf>
    <xf numFmtId="0" fontId="95" fillId="23" borderId="0" xfId="3" applyFont="1" applyFill="1" applyAlignment="1">
      <alignment vertical="center"/>
    </xf>
    <xf numFmtId="0" fontId="51" fillId="23" borderId="0" xfId="0" applyFont="1" applyFill="1" applyAlignment="1">
      <alignment horizontal="center" vertical="center"/>
    </xf>
    <xf numFmtId="0" fontId="16" fillId="0" borderId="0" xfId="0" applyFont="1" applyAlignment="1" applyProtection="1">
      <alignment horizontal="left"/>
    </xf>
    <xf numFmtId="0" fontId="33" fillId="32" borderId="138" xfId="2" applyFont="1" applyFill="1" applyBorder="1" applyAlignment="1" applyProtection="1">
      <alignment horizontal="center" vertical="center" textRotation="90"/>
    </xf>
    <xf numFmtId="0" fontId="33" fillId="32" borderId="139" xfId="2" applyFont="1" applyFill="1" applyBorder="1" applyAlignment="1" applyProtection="1">
      <alignment horizontal="center" vertical="center" textRotation="90"/>
    </xf>
    <xf numFmtId="0" fontId="33" fillId="32" borderId="140" xfId="2" applyFont="1" applyFill="1" applyBorder="1" applyAlignment="1" applyProtection="1">
      <alignment horizontal="center" vertical="center" textRotation="90"/>
    </xf>
    <xf numFmtId="0" fontId="33" fillId="13" borderId="141" xfId="2" applyFont="1" applyFill="1" applyBorder="1" applyAlignment="1" applyProtection="1">
      <alignment horizontal="center" vertical="center" textRotation="90"/>
    </xf>
    <xf numFmtId="0" fontId="33" fillId="13" borderId="142" xfId="2" applyFont="1" applyFill="1" applyBorder="1" applyAlignment="1" applyProtection="1">
      <alignment horizontal="center" vertical="center" textRotation="90"/>
    </xf>
    <xf numFmtId="0" fontId="33" fillId="13" borderId="143" xfId="2" applyFont="1" applyFill="1" applyBorder="1" applyAlignment="1" applyProtection="1">
      <alignment horizontal="center" vertical="center" textRotation="90"/>
    </xf>
    <xf numFmtId="0" fontId="39" fillId="24" borderId="4" xfId="0" applyFont="1" applyFill="1" applyBorder="1" applyAlignment="1" applyProtection="1">
      <alignment horizontal="center" vertical="center" textRotation="90" wrapText="1"/>
    </xf>
    <xf numFmtId="0" fontId="39" fillId="24" borderId="19" xfId="0" applyFont="1" applyFill="1" applyBorder="1" applyAlignment="1" applyProtection="1">
      <alignment horizontal="center" vertical="center" textRotation="90" wrapText="1"/>
    </xf>
    <xf numFmtId="0" fontId="39" fillId="24" borderId="1" xfId="0" applyFont="1" applyFill="1" applyBorder="1" applyAlignment="1" applyProtection="1">
      <alignment horizontal="center" vertical="center" textRotation="90" wrapText="1"/>
    </xf>
    <xf numFmtId="0" fontId="39" fillId="24" borderId="3" xfId="0" applyFont="1" applyFill="1" applyBorder="1" applyAlignment="1" applyProtection="1">
      <alignment horizontal="center" vertical="center" textRotation="90" wrapText="1"/>
    </xf>
    <xf numFmtId="0" fontId="39" fillId="24" borderId="35" xfId="0" applyFont="1" applyFill="1" applyBorder="1" applyAlignment="1" applyProtection="1">
      <alignment horizontal="center" vertical="center" textRotation="90" wrapText="1"/>
    </xf>
    <xf numFmtId="0" fontId="39" fillId="24" borderId="20" xfId="0" applyFont="1" applyFill="1" applyBorder="1" applyAlignment="1" applyProtection="1">
      <alignment horizontal="center" vertical="center" textRotation="90" wrapText="1"/>
    </xf>
    <xf numFmtId="201" fontId="0" fillId="0" borderId="0" xfId="0" applyNumberFormat="1" applyAlignment="1" applyProtection="1">
      <alignment horizontal="center"/>
    </xf>
    <xf numFmtId="0" fontId="39" fillId="13" borderId="135" xfId="2" applyFont="1" applyFill="1" applyBorder="1" applyAlignment="1" applyProtection="1">
      <alignment horizontal="center" vertical="center"/>
    </xf>
    <xf numFmtId="0" fontId="39" fillId="13" borderId="136" xfId="2" applyFont="1" applyFill="1" applyBorder="1" applyAlignment="1" applyProtection="1">
      <alignment horizontal="center" vertical="center"/>
    </xf>
    <xf numFmtId="0" fontId="39" fillId="13" borderId="137" xfId="2" applyFont="1" applyFill="1" applyBorder="1" applyAlignment="1" applyProtection="1">
      <alignment horizontal="center" vertical="center"/>
    </xf>
    <xf numFmtId="0" fontId="39" fillId="0" borderId="4" xfId="0" applyFont="1" applyBorder="1" applyAlignment="1" applyProtection="1">
      <alignment horizontal="center" vertical="top" textRotation="90"/>
    </xf>
    <xf numFmtId="0" fontId="39" fillId="0" borderId="19" xfId="0" applyFont="1" applyBorder="1" applyAlignment="1" applyProtection="1">
      <alignment horizontal="center" vertical="top" textRotation="90"/>
    </xf>
    <xf numFmtId="0" fontId="39" fillId="0" borderId="1" xfId="0" applyFont="1" applyBorder="1" applyAlignment="1" applyProtection="1">
      <alignment horizontal="center" vertical="top" textRotation="90"/>
    </xf>
    <xf numFmtId="0" fontId="39" fillId="0" borderId="3" xfId="0" applyFont="1" applyBorder="1" applyAlignment="1" applyProtection="1">
      <alignment horizontal="center" vertical="top" textRotation="90"/>
    </xf>
    <xf numFmtId="0" fontId="39" fillId="0" borderId="35" xfId="0" applyFont="1" applyBorder="1" applyAlignment="1" applyProtection="1">
      <alignment horizontal="center" vertical="top" textRotation="90"/>
    </xf>
    <xf numFmtId="0" fontId="39" fillId="0" borderId="20" xfId="0" applyFont="1" applyBorder="1" applyAlignment="1" applyProtection="1">
      <alignment horizontal="center" vertical="top" textRotation="90"/>
    </xf>
    <xf numFmtId="0" fontId="39" fillId="0" borderId="4" xfId="0" applyFont="1" applyBorder="1" applyAlignment="1" applyProtection="1">
      <alignment horizontal="center" vertical="center" textRotation="90" wrapText="1"/>
    </xf>
    <xf numFmtId="0" fontId="39" fillId="0" borderId="19" xfId="0" applyFont="1" applyBorder="1" applyAlignment="1" applyProtection="1">
      <alignment horizontal="center" vertical="center" textRotation="90" wrapText="1"/>
    </xf>
    <xf numFmtId="0" fontId="39" fillId="0" borderId="1" xfId="0" applyFont="1" applyBorder="1" applyAlignment="1" applyProtection="1">
      <alignment horizontal="center" vertical="center" textRotation="90" wrapText="1"/>
    </xf>
    <xf numFmtId="0" fontId="39" fillId="0" borderId="0" xfId="0" applyFont="1" applyBorder="1" applyAlignment="1" applyProtection="1">
      <alignment horizontal="center" vertical="center" textRotation="90" wrapText="1"/>
    </xf>
    <xf numFmtId="0" fontId="39" fillId="0" borderId="35" xfId="0" applyFont="1" applyBorder="1" applyAlignment="1" applyProtection="1">
      <alignment horizontal="center" vertical="center" textRotation="90" wrapText="1"/>
    </xf>
    <xf numFmtId="0" fontId="39" fillId="0" borderId="6" xfId="0" applyFont="1" applyBorder="1" applyAlignment="1" applyProtection="1">
      <alignment horizontal="center" vertical="center" textRotation="90" wrapText="1"/>
    </xf>
    <xf numFmtId="0" fontId="54" fillId="0" borderId="0" xfId="0" applyFont="1" applyAlignment="1" applyProtection="1">
      <alignment horizontal="center"/>
    </xf>
    <xf numFmtId="0" fontId="3" fillId="41" borderId="224" xfId="2" applyFill="1" applyBorder="1" applyAlignment="1" applyProtection="1">
      <alignment horizontal="center" vertical="center"/>
    </xf>
    <xf numFmtId="0" fontId="3" fillId="41" borderId="225" xfId="2" applyFill="1" applyBorder="1" applyAlignment="1" applyProtection="1">
      <alignment horizontal="center" vertical="center"/>
    </xf>
    <xf numFmtId="0" fontId="3" fillId="41" borderId="226" xfId="2" applyFill="1" applyBorder="1" applyAlignment="1" applyProtection="1">
      <alignment horizontal="center" vertical="center"/>
    </xf>
    <xf numFmtId="0" fontId="3" fillId="41" borderId="227" xfId="2" applyFill="1" applyBorder="1" applyAlignment="1" applyProtection="1">
      <alignment horizontal="center" vertical="center"/>
    </xf>
    <xf numFmtId="0" fontId="3" fillId="41" borderId="0" xfId="2" applyFill="1" applyBorder="1" applyAlignment="1" applyProtection="1">
      <alignment horizontal="center" vertical="center"/>
    </xf>
    <xf numFmtId="0" fontId="3" fillId="41" borderId="228" xfId="2" applyFill="1" applyBorder="1" applyAlignment="1" applyProtection="1">
      <alignment horizontal="center" vertical="center"/>
    </xf>
    <xf numFmtId="0" fontId="3" fillId="41" borderId="229" xfId="2" applyFill="1" applyBorder="1" applyAlignment="1" applyProtection="1">
      <alignment horizontal="center" vertical="center"/>
    </xf>
    <xf numFmtId="0" fontId="3" fillId="41" borderId="230" xfId="2" applyFill="1" applyBorder="1" applyAlignment="1" applyProtection="1">
      <alignment horizontal="center" vertical="center"/>
    </xf>
    <xf numFmtId="0" fontId="3" fillId="41" borderId="231" xfId="2" applyFill="1" applyBorder="1" applyAlignment="1" applyProtection="1">
      <alignment horizontal="center" vertical="center"/>
    </xf>
    <xf numFmtId="0" fontId="36" fillId="13" borderId="125" xfId="2" applyFont="1" applyFill="1" applyBorder="1" applyAlignment="1" applyProtection="1">
      <alignment horizontal="center" vertical="center" wrapText="1"/>
    </xf>
    <xf numFmtId="0" fontId="36" fillId="13" borderId="126" xfId="2" applyFont="1" applyFill="1" applyBorder="1" applyAlignment="1" applyProtection="1">
      <alignment horizontal="center" vertical="center" wrapText="1"/>
    </xf>
    <xf numFmtId="0" fontId="36" fillId="13" borderId="127" xfId="2" applyFont="1" applyFill="1" applyBorder="1" applyAlignment="1" applyProtection="1">
      <alignment horizontal="center" vertical="center" wrapText="1"/>
    </xf>
    <xf numFmtId="0" fontId="36" fillId="13" borderId="128" xfId="2" applyFont="1" applyFill="1" applyBorder="1" applyAlignment="1" applyProtection="1">
      <alignment horizontal="center" vertical="center" wrapText="1"/>
    </xf>
    <xf numFmtId="0" fontId="36" fillId="13" borderId="0" xfId="2" applyFont="1" applyFill="1" applyBorder="1" applyAlignment="1" applyProtection="1">
      <alignment horizontal="center" vertical="center" wrapText="1"/>
    </xf>
    <xf numFmtId="0" fontId="36" fillId="13" borderId="129" xfId="2" applyFont="1" applyFill="1" applyBorder="1" applyAlignment="1" applyProtection="1">
      <alignment horizontal="center" vertical="center" wrapText="1"/>
    </xf>
    <xf numFmtId="0" fontId="36" fillId="13" borderId="130" xfId="2" applyFont="1" applyFill="1" applyBorder="1" applyAlignment="1" applyProtection="1">
      <alignment horizontal="center" vertical="center" wrapText="1"/>
    </xf>
    <xf numFmtId="0" fontId="36" fillId="13" borderId="131" xfId="2" applyFont="1" applyFill="1" applyBorder="1" applyAlignment="1" applyProtection="1">
      <alignment horizontal="center" vertical="center" wrapText="1"/>
    </xf>
    <xf numFmtId="0" fontId="36" fillId="13" borderId="132" xfId="2" applyFont="1" applyFill="1" applyBorder="1" applyAlignment="1" applyProtection="1">
      <alignment horizontal="center" vertical="center" wrapText="1"/>
    </xf>
    <xf numFmtId="0" fontId="3" fillId="10" borderId="198" xfId="2" applyFill="1" applyBorder="1" applyAlignment="1" applyProtection="1">
      <alignment horizontal="center"/>
    </xf>
    <xf numFmtId="0" fontId="3" fillId="10" borderId="199" xfId="2" applyFill="1" applyBorder="1" applyAlignment="1" applyProtection="1">
      <alignment horizontal="center"/>
    </xf>
    <xf numFmtId="0" fontId="3" fillId="10" borderId="200" xfId="2" applyFill="1" applyBorder="1" applyAlignment="1" applyProtection="1">
      <alignment horizontal="center"/>
    </xf>
    <xf numFmtId="0" fontId="39" fillId="13" borderId="37" xfId="2" applyFont="1" applyFill="1" applyBorder="1" applyAlignment="1" applyProtection="1">
      <alignment horizontal="center" vertical="center"/>
    </xf>
    <xf numFmtId="0" fontId="39" fillId="13" borderId="38" xfId="2" applyFont="1" applyFill="1" applyBorder="1" applyAlignment="1" applyProtection="1">
      <alignment horizontal="center" vertical="center"/>
    </xf>
    <xf numFmtId="0" fontId="39" fillId="13" borderId="39" xfId="2" applyFont="1" applyFill="1" applyBorder="1" applyAlignment="1" applyProtection="1">
      <alignment horizontal="center" vertical="center"/>
    </xf>
    <xf numFmtId="0" fontId="3" fillId="0" borderId="0" xfId="2" applyAlignment="1" applyProtection="1"/>
    <xf numFmtId="0" fontId="89" fillId="23" borderId="50" xfId="0" applyFont="1" applyFill="1" applyBorder="1" applyAlignment="1" applyProtection="1">
      <alignment horizontal="center" vertical="center" textRotation="90"/>
    </xf>
    <xf numFmtId="0" fontId="89" fillId="23" borderId="49" xfId="0" applyFont="1" applyFill="1" applyBorder="1" applyAlignment="1" applyProtection="1">
      <alignment horizontal="center" vertical="center" textRotation="90"/>
    </xf>
    <xf numFmtId="0" fontId="89" fillId="23" borderId="47" xfId="0" applyFont="1" applyFill="1" applyBorder="1" applyAlignment="1" applyProtection="1">
      <alignment horizontal="center" vertical="center" textRotation="90"/>
    </xf>
    <xf numFmtId="0" fontId="89" fillId="27" borderId="50" xfId="0" applyFont="1" applyFill="1" applyBorder="1" applyAlignment="1" applyProtection="1">
      <alignment horizontal="center" vertical="center" textRotation="90"/>
    </xf>
    <xf numFmtId="0" fontId="89" fillId="27" borderId="49" xfId="0" applyFont="1" applyFill="1" applyBorder="1" applyAlignment="1" applyProtection="1">
      <alignment horizontal="center" vertical="center" textRotation="90"/>
    </xf>
    <xf numFmtId="0" fontId="89" fillId="27" borderId="47" xfId="0" applyFont="1" applyFill="1" applyBorder="1" applyAlignment="1" applyProtection="1">
      <alignment horizontal="center" vertical="center" textRotation="90"/>
    </xf>
    <xf numFmtId="3" fontId="0" fillId="0" borderId="15" xfId="0" applyNumberFormat="1" applyBorder="1" applyAlignment="1" applyProtection="1">
      <alignment horizontal="center" vertical="center" shrinkToFit="1"/>
    </xf>
    <xf numFmtId="3" fontId="0" fillId="0" borderId="48" xfId="0" applyNumberFormat="1" applyBorder="1" applyAlignment="1" applyProtection="1">
      <alignment horizontal="center" vertical="center" shrinkToFit="1"/>
    </xf>
    <xf numFmtId="254" fontId="1" fillId="0" borderId="15" xfId="0" applyNumberFormat="1" applyFont="1" applyBorder="1" applyAlignment="1" applyProtection="1">
      <alignment horizontal="center" vertical="center" shrinkToFit="1"/>
    </xf>
    <xf numFmtId="254" fontId="1" fillId="0" borderId="48" xfId="0" applyNumberFormat="1" applyFont="1" applyBorder="1" applyAlignment="1" applyProtection="1">
      <alignment horizontal="center" vertical="center" shrinkToFit="1"/>
    </xf>
    <xf numFmtId="201" fontId="0" fillId="0" borderId="15" xfId="0" applyNumberFormat="1" applyBorder="1" applyAlignment="1" applyProtection="1">
      <alignment horizontal="center" vertical="center"/>
    </xf>
    <xf numFmtId="201" fontId="0" fillId="0" borderId="48" xfId="0" applyNumberFormat="1" applyBorder="1" applyAlignment="1" applyProtection="1">
      <alignment horizontal="center" vertical="center"/>
    </xf>
    <xf numFmtId="256" fontId="1" fillId="0" borderId="15" xfId="0" applyNumberFormat="1" applyFont="1" applyBorder="1" applyAlignment="1" applyProtection="1">
      <alignment horizontal="center" vertical="center" shrinkToFit="1"/>
    </xf>
    <xf numFmtId="256" fontId="1" fillId="0" borderId="48" xfId="0" applyNumberFormat="1" applyFont="1" applyBorder="1" applyAlignment="1" applyProtection="1">
      <alignment horizontal="center" vertical="center" shrinkToFit="1"/>
    </xf>
    <xf numFmtId="245" fontId="91" fillId="40" borderId="0" xfId="0" applyNumberFormat="1" applyFont="1" applyFill="1" applyBorder="1" applyAlignment="1" applyProtection="1">
      <alignment horizontal="right" vertical="center" shrinkToFit="1"/>
    </xf>
    <xf numFmtId="245" fontId="97" fillId="40" borderId="0" xfId="0" applyNumberFormat="1" applyFont="1" applyFill="1" applyBorder="1" applyAlignment="1" applyProtection="1">
      <alignment horizontal="right" vertical="center" shrinkToFit="1"/>
    </xf>
    <xf numFmtId="177" fontId="97" fillId="40" borderId="0" xfId="0" applyNumberFormat="1" applyFont="1" applyFill="1" applyBorder="1" applyAlignment="1" applyProtection="1">
      <alignment horizontal="right" vertical="center" shrinkToFit="1"/>
    </xf>
    <xf numFmtId="245" fontId="89" fillId="40" borderId="0" xfId="0" applyNumberFormat="1" applyFont="1" applyFill="1" applyBorder="1" applyAlignment="1" applyProtection="1">
      <alignment horizontal="right" vertical="center" shrinkToFit="1"/>
    </xf>
    <xf numFmtId="177" fontId="61" fillId="6" borderId="0" xfId="0" applyNumberFormat="1" applyFont="1" applyFill="1" applyBorder="1" applyAlignment="1" applyProtection="1">
      <alignment horizontal="center" vertical="center" shrinkToFit="1"/>
    </xf>
    <xf numFmtId="245" fontId="114" fillId="40" borderId="0" xfId="0" applyNumberFormat="1" applyFont="1" applyFill="1" applyBorder="1" applyAlignment="1" applyProtection="1">
      <alignment horizontal="right" vertical="center" shrinkToFit="1"/>
    </xf>
    <xf numFmtId="245" fontId="115" fillId="40" borderId="0" xfId="0" applyNumberFormat="1" applyFont="1" applyFill="1" applyBorder="1" applyAlignment="1" applyProtection="1">
      <alignment horizontal="right" vertical="center" shrinkToFit="1"/>
    </xf>
    <xf numFmtId="245" fontId="114" fillId="40" borderId="6" xfId="0" applyNumberFormat="1" applyFont="1" applyFill="1" applyBorder="1" applyAlignment="1" applyProtection="1">
      <alignment horizontal="right" vertical="center" shrinkToFit="1"/>
    </xf>
    <xf numFmtId="194" fontId="8" fillId="6" borderId="0" xfId="0" applyNumberFormat="1" applyFont="1" applyFill="1" applyAlignment="1" applyProtection="1">
      <alignment vertical="center" shrinkToFit="1"/>
    </xf>
    <xf numFmtId="242" fontId="0" fillId="40" borderId="0" xfId="0" applyNumberFormat="1" applyFill="1" applyBorder="1" applyAlignment="1" applyProtection="1">
      <alignment horizontal="center" vertical="center" shrinkToFit="1"/>
    </xf>
    <xf numFmtId="243" fontId="0" fillId="40" borderId="6" xfId="0" applyNumberFormat="1" applyFill="1" applyBorder="1" applyAlignment="1" applyProtection="1">
      <alignment horizontal="center" vertical="center"/>
    </xf>
    <xf numFmtId="238" fontId="4" fillId="6" borderId="0" xfId="0" applyNumberFormat="1" applyFont="1" applyFill="1" applyBorder="1" applyAlignment="1" applyProtection="1">
      <alignment horizontal="right" vertical="center" shrinkToFit="1"/>
    </xf>
    <xf numFmtId="173" fontId="0" fillId="0" borderId="0" xfId="0" applyNumberFormat="1" applyBorder="1" applyAlignment="1" applyProtection="1">
      <alignment horizontal="right" vertical="center"/>
    </xf>
    <xf numFmtId="3" fontId="0" fillId="0" borderId="0" xfId="0" applyNumberFormat="1" applyBorder="1" applyAlignment="1" applyProtection="1">
      <alignment horizontal="right" vertical="center"/>
    </xf>
    <xf numFmtId="3" fontId="89" fillId="40" borderId="0" xfId="0" applyNumberFormat="1" applyFont="1" applyFill="1" applyBorder="1" applyAlignment="1" applyProtection="1">
      <alignment horizontal="right" vertical="center"/>
    </xf>
    <xf numFmtId="3" fontId="91" fillId="40" borderId="0" xfId="0" applyNumberFormat="1" applyFont="1" applyFill="1" applyBorder="1" applyAlignment="1" applyProtection="1">
      <alignment horizontal="right" vertical="center"/>
    </xf>
    <xf numFmtId="245" fontId="97" fillId="40" borderId="6" xfId="0" applyNumberFormat="1" applyFont="1" applyFill="1" applyBorder="1" applyAlignment="1" applyProtection="1">
      <alignment horizontal="right" vertical="center" shrinkToFit="1"/>
    </xf>
    <xf numFmtId="3" fontId="91" fillId="40" borderId="6" xfId="0" applyNumberFormat="1" applyFont="1" applyFill="1" applyBorder="1" applyAlignment="1" applyProtection="1">
      <alignment horizontal="right" vertical="center"/>
    </xf>
    <xf numFmtId="3" fontId="97" fillId="40" borderId="6" xfId="0" applyNumberFormat="1" applyFont="1" applyFill="1" applyBorder="1" applyAlignment="1" applyProtection="1">
      <alignment horizontal="right" vertical="center"/>
    </xf>
    <xf numFmtId="3" fontId="97" fillId="40" borderId="0" xfId="0" applyNumberFormat="1" applyFont="1" applyFill="1" applyBorder="1" applyAlignment="1" applyProtection="1">
      <alignment horizontal="right" vertical="center"/>
    </xf>
    <xf numFmtId="245" fontId="91" fillId="40" borderId="6" xfId="0" applyNumberFormat="1" applyFont="1" applyFill="1" applyBorder="1" applyAlignment="1" applyProtection="1">
      <alignment horizontal="right" vertical="center" shrinkToFit="1"/>
    </xf>
    <xf numFmtId="0" fontId="8" fillId="24" borderId="0" xfId="0" applyFont="1" applyFill="1" applyBorder="1" applyAlignment="1" applyProtection="1">
      <alignment horizontal="left" vertical="top" wrapText="1"/>
    </xf>
    <xf numFmtId="245" fontId="2" fillId="40" borderId="6" xfId="0" applyNumberFormat="1" applyFont="1" applyFill="1" applyBorder="1" applyAlignment="1" applyProtection="1">
      <alignment horizontal="right" vertical="center" shrinkToFit="1"/>
    </xf>
    <xf numFmtId="3" fontId="2" fillId="40" borderId="6" xfId="0" applyNumberFormat="1" applyFont="1" applyFill="1" applyBorder="1" applyAlignment="1" applyProtection="1">
      <alignment horizontal="right" vertical="center"/>
    </xf>
    <xf numFmtId="241" fontId="0" fillId="23" borderId="0" xfId="0" applyNumberFormat="1" applyFill="1" applyBorder="1" applyAlignment="1" applyProtection="1">
      <alignment horizontal="right" vertical="center" indent="1" shrinkToFit="1"/>
    </xf>
    <xf numFmtId="239" fontId="0" fillId="23" borderId="0" xfId="0" applyNumberFormat="1" applyFill="1" applyBorder="1" applyAlignment="1" applyProtection="1">
      <alignment horizontal="right" vertical="center" indent="1" shrinkToFit="1"/>
    </xf>
    <xf numFmtId="240" fontId="0" fillId="23" borderId="6" xfId="0" applyNumberFormat="1" applyFill="1" applyBorder="1" applyAlignment="1" applyProtection="1">
      <alignment horizontal="right" vertical="center" indent="1" shrinkToFit="1"/>
    </xf>
    <xf numFmtId="0" fontId="90" fillId="0" borderId="4" xfId="0" applyFont="1" applyBorder="1" applyAlignment="1" applyProtection="1">
      <alignment horizontal="center" vertical="center" wrapText="1"/>
    </xf>
    <xf numFmtId="0" fontId="90" fillId="0" borderId="5" xfId="0" applyFont="1" applyBorder="1" applyAlignment="1" applyProtection="1">
      <alignment horizontal="center" vertical="center" wrapText="1"/>
    </xf>
    <xf numFmtId="0" fontId="90" fillId="0" borderId="19" xfId="0" applyFont="1" applyBorder="1" applyAlignment="1" applyProtection="1">
      <alignment horizontal="center" vertical="center" wrapText="1"/>
    </xf>
    <xf numFmtId="0" fontId="90" fillId="0" borderId="1" xfId="0" applyFont="1" applyBorder="1" applyAlignment="1" applyProtection="1">
      <alignment horizontal="center" vertical="center" wrapText="1"/>
    </xf>
    <xf numFmtId="0" fontId="90" fillId="0" borderId="0" xfId="0" applyFont="1" applyBorder="1" applyAlignment="1" applyProtection="1">
      <alignment horizontal="center" vertical="center" wrapText="1"/>
    </xf>
    <xf numFmtId="0" fontId="90" fillId="0" borderId="3" xfId="0" applyFont="1" applyBorder="1" applyAlignment="1" applyProtection="1">
      <alignment horizontal="center" vertical="center" wrapText="1"/>
    </xf>
    <xf numFmtId="0" fontId="90" fillId="0" borderId="35" xfId="0" applyFont="1" applyBorder="1" applyAlignment="1" applyProtection="1">
      <alignment horizontal="center" vertical="center" wrapText="1"/>
    </xf>
    <xf numFmtId="0" fontId="90" fillId="0" borderId="6" xfId="0" applyFont="1" applyBorder="1" applyAlignment="1" applyProtection="1">
      <alignment horizontal="center" vertical="center" wrapText="1"/>
    </xf>
    <xf numFmtId="0" fontId="90" fillId="0" borderId="20" xfId="0" applyFont="1" applyBorder="1" applyAlignment="1" applyProtection="1">
      <alignment horizontal="center" vertical="center" wrapText="1"/>
    </xf>
    <xf numFmtId="190" fontId="0" fillId="0" borderId="0" xfId="0" applyNumberFormat="1" applyBorder="1" applyAlignment="1" applyProtection="1">
      <alignment horizontal="center" vertical="center"/>
    </xf>
    <xf numFmtId="190" fontId="0" fillId="0" borderId="3" xfId="0" applyNumberFormat="1" applyBorder="1" applyAlignment="1" applyProtection="1">
      <alignment horizontal="center" vertical="center"/>
    </xf>
    <xf numFmtId="1" fontId="0" fillId="0" borderId="0" xfId="0" applyNumberFormat="1" applyBorder="1" applyAlignment="1" applyProtection="1">
      <alignment horizontal="right" vertical="center" shrinkToFit="1"/>
    </xf>
    <xf numFmtId="203" fontId="0" fillId="0" borderId="0" xfId="0" applyNumberFormat="1" applyBorder="1" applyAlignment="1">
      <alignment horizontal="center" vertical="center"/>
    </xf>
    <xf numFmtId="203" fontId="0" fillId="0" borderId="3" xfId="0" applyNumberFormat="1" applyBorder="1" applyAlignment="1">
      <alignment horizontal="center" vertical="center"/>
    </xf>
    <xf numFmtId="0" fontId="0" fillId="25" borderId="0" xfId="0" applyFill="1" applyAlignment="1" applyProtection="1">
      <alignment horizontal="left" vertical="center" shrinkToFit="1"/>
    </xf>
    <xf numFmtId="201" fontId="8" fillId="0" borderId="0" xfId="0" applyNumberFormat="1" applyFont="1" applyAlignment="1" applyProtection="1">
      <alignment horizontal="right" vertical="center"/>
    </xf>
    <xf numFmtId="0" fontId="8" fillId="24" borderId="0" xfId="0" applyFont="1" applyFill="1" applyBorder="1" applyAlignment="1" applyProtection="1">
      <alignment horizontal="left" vertical="center"/>
    </xf>
    <xf numFmtId="0" fontId="0" fillId="0" borderId="0" xfId="0" applyAlignment="1" applyProtection="1">
      <alignment vertical="center" shrinkToFit="1"/>
    </xf>
    <xf numFmtId="194" fontId="8" fillId="6" borderId="0" xfId="0" applyNumberFormat="1" applyFont="1" applyFill="1" applyBorder="1" applyAlignment="1" applyProtection="1">
      <alignment vertical="center" shrinkToFit="1"/>
    </xf>
    <xf numFmtId="0" fontId="0" fillId="0" borderId="0" xfId="0" applyBorder="1" applyAlignment="1" applyProtection="1">
      <alignment vertical="center" shrinkToFit="1"/>
    </xf>
    <xf numFmtId="1" fontId="0" fillId="0" borderId="6" xfId="0" applyNumberFormat="1" applyBorder="1" applyAlignment="1" applyProtection="1">
      <alignment horizontal="right" vertical="center" shrinkToFit="1"/>
    </xf>
    <xf numFmtId="0" fontId="8" fillId="0" borderId="0" xfId="0" applyFont="1" applyAlignment="1" applyProtection="1">
      <alignment horizontal="left" vertical="center" wrapText="1" indent="1"/>
    </xf>
    <xf numFmtId="1" fontId="8" fillId="24" borderId="0" xfId="0" applyNumberFormat="1" applyFont="1" applyFill="1" applyBorder="1" applyAlignment="1" applyProtection="1">
      <alignment horizontal="right" vertical="center"/>
    </xf>
    <xf numFmtId="226" fontId="0" fillId="0" borderId="1" xfId="0" applyNumberFormat="1" applyBorder="1" applyAlignment="1" applyProtection="1">
      <alignment horizontal="right" vertical="center"/>
    </xf>
    <xf numFmtId="226" fontId="0" fillId="0" borderId="0" xfId="0" applyNumberFormat="1" applyBorder="1" applyAlignment="1" applyProtection="1">
      <alignment horizontal="right" vertical="center"/>
    </xf>
    <xf numFmtId="227" fontId="0" fillId="0" borderId="1" xfId="0" applyNumberFormat="1" applyBorder="1" applyAlignment="1" applyProtection="1">
      <alignment horizontal="right" vertical="center"/>
    </xf>
    <xf numFmtId="227" fontId="0" fillId="0" borderId="0" xfId="0" applyNumberFormat="1" applyBorder="1" applyAlignment="1" applyProtection="1">
      <alignment horizontal="right" vertical="center"/>
    </xf>
    <xf numFmtId="235" fontId="9" fillId="24" borderId="0" xfId="0" applyNumberFormat="1" applyFont="1" applyFill="1" applyBorder="1" applyAlignment="1" applyProtection="1">
      <alignment horizontal="right" vertical="center" shrinkToFit="1"/>
    </xf>
    <xf numFmtId="3" fontId="8" fillId="24" borderId="0" xfId="0" applyNumberFormat="1" applyFont="1" applyFill="1" applyBorder="1" applyAlignment="1" applyProtection="1">
      <alignment horizontal="right" vertical="center" shrinkToFit="1"/>
    </xf>
    <xf numFmtId="2" fontId="8" fillId="24" borderId="0" xfId="0" applyNumberFormat="1" applyFont="1" applyFill="1" applyBorder="1" applyAlignment="1" applyProtection="1">
      <alignment horizontal="right" vertical="center"/>
    </xf>
    <xf numFmtId="235" fontId="8" fillId="24" borderId="0" xfId="0" applyNumberFormat="1" applyFont="1" applyFill="1" applyBorder="1" applyAlignment="1" applyProtection="1">
      <alignment horizontal="right" vertical="center"/>
    </xf>
    <xf numFmtId="1" fontId="8" fillId="24" borderId="6" xfId="0" applyNumberFormat="1" applyFont="1" applyFill="1" applyBorder="1" applyAlignment="1" applyProtection="1">
      <alignment horizontal="right" vertical="center"/>
    </xf>
    <xf numFmtId="188" fontId="92" fillId="23" borderId="0" xfId="0" applyNumberFormat="1" applyFont="1" applyFill="1" applyBorder="1" applyAlignment="1" applyProtection="1">
      <alignment vertical="center" shrinkToFit="1"/>
    </xf>
    <xf numFmtId="3" fontId="2" fillId="0" borderId="15" xfId="0" applyNumberFormat="1" applyFont="1" applyBorder="1" applyAlignment="1" applyProtection="1">
      <alignment horizontal="right" vertical="center"/>
    </xf>
    <xf numFmtId="3" fontId="2" fillId="0" borderId="16" xfId="0" applyNumberFormat="1" applyFont="1" applyBorder="1" applyAlignment="1" applyProtection="1">
      <alignment horizontal="right" vertical="center"/>
    </xf>
    <xf numFmtId="0" fontId="8" fillId="23" borderId="0" xfId="0" applyFont="1" applyFill="1" applyBorder="1" applyAlignment="1" applyProtection="1">
      <alignment horizontal="right" vertical="center"/>
    </xf>
    <xf numFmtId="169" fontId="2" fillId="3" borderId="0" xfId="0" applyNumberFormat="1" applyFont="1" applyFill="1" applyAlignment="1" applyProtection="1">
      <alignment horizontal="right" vertical="center" shrinkToFit="1"/>
    </xf>
    <xf numFmtId="0" fontId="2" fillId="3" borderId="0" xfId="0" applyFont="1" applyFill="1" applyAlignment="1" applyProtection="1">
      <alignment horizontal="right" vertical="center" shrinkToFit="1"/>
    </xf>
    <xf numFmtId="0" fontId="8" fillId="0" borderId="6" xfId="0" applyFont="1" applyBorder="1" applyAlignment="1" applyProtection="1">
      <alignment horizontal="right" vertical="center" shrinkToFit="1"/>
    </xf>
    <xf numFmtId="0" fontId="8" fillId="0" borderId="20" xfId="0" applyFont="1" applyBorder="1" applyAlignment="1" applyProtection="1">
      <alignment horizontal="right" vertical="center" shrinkToFit="1"/>
    </xf>
    <xf numFmtId="0" fontId="116" fillId="0" borderId="204" xfId="0" applyFont="1" applyBorder="1" applyAlignment="1" applyProtection="1">
      <alignment horizontal="left" vertical="top" wrapText="1"/>
    </xf>
    <xf numFmtId="0" fontId="116" fillId="0" borderId="205" xfId="0" applyFont="1" applyBorder="1" applyAlignment="1" applyProtection="1">
      <alignment horizontal="left" vertical="top" wrapText="1"/>
    </xf>
    <xf numFmtId="0" fontId="116" fillId="0" borderId="206" xfId="0" applyFont="1" applyBorder="1" applyAlignment="1" applyProtection="1">
      <alignment horizontal="left" vertical="top" wrapText="1"/>
    </xf>
    <xf numFmtId="0" fontId="116" fillId="0" borderId="207" xfId="0" applyFont="1" applyBorder="1" applyAlignment="1" applyProtection="1">
      <alignment horizontal="left" vertical="top" wrapText="1"/>
    </xf>
    <xf numFmtId="0" fontId="116" fillId="0" borderId="0" xfId="0" applyFont="1" applyBorder="1" applyAlignment="1" applyProtection="1">
      <alignment horizontal="left" vertical="top" wrapText="1"/>
    </xf>
    <xf numFmtId="0" fontId="116" fillId="0" borderId="208" xfId="0" applyFont="1" applyBorder="1" applyAlignment="1" applyProtection="1">
      <alignment horizontal="left" vertical="top" wrapText="1"/>
    </xf>
    <xf numFmtId="205" fontId="4" fillId="0" borderId="1" xfId="0" applyNumberFormat="1" applyFont="1" applyBorder="1" applyAlignment="1" applyProtection="1">
      <alignment horizontal="left" vertical="center"/>
    </xf>
    <xf numFmtId="205" fontId="4" fillId="0" borderId="0" xfId="0" applyNumberFormat="1" applyFont="1" applyBorder="1" applyAlignment="1" applyProtection="1">
      <alignment horizontal="left" vertical="center"/>
    </xf>
    <xf numFmtId="246" fontId="89" fillId="25" borderId="0" xfId="0" applyNumberFormat="1" applyFont="1" applyFill="1" applyBorder="1" applyAlignment="1" applyProtection="1">
      <alignment horizontal="left" vertical="center"/>
    </xf>
    <xf numFmtId="215" fontId="0" fillId="0" borderId="0" xfId="0" applyNumberFormat="1" applyBorder="1" applyAlignment="1">
      <alignment horizontal="center" vertical="center"/>
    </xf>
    <xf numFmtId="215" fontId="0" fillId="0" borderId="3" xfId="0" applyNumberFormat="1" applyBorder="1" applyAlignment="1">
      <alignment horizontal="center" vertical="center"/>
    </xf>
    <xf numFmtId="203" fontId="0" fillId="23" borderId="0" xfId="0" applyNumberFormat="1" applyFill="1" applyBorder="1" applyAlignment="1">
      <alignment horizontal="center" vertical="center"/>
    </xf>
    <xf numFmtId="203" fontId="0" fillId="23" borderId="3" xfId="0" applyNumberFormat="1" applyFill="1" applyBorder="1" applyAlignment="1">
      <alignment horizontal="center" vertical="center"/>
    </xf>
    <xf numFmtId="0" fontId="8" fillId="24" borderId="3" xfId="0" applyFont="1" applyFill="1" applyBorder="1" applyAlignment="1" applyProtection="1">
      <alignment horizontal="left" vertical="top" wrapText="1"/>
    </xf>
    <xf numFmtId="188" fontId="0" fillId="0" borderId="4" xfId="0" applyNumberFormat="1" applyBorder="1" applyAlignment="1" applyProtection="1">
      <alignment horizontal="right" vertical="center" shrinkToFit="1"/>
    </xf>
    <xf numFmtId="188" fontId="0" fillId="0" borderId="5" xfId="0" applyNumberFormat="1" applyBorder="1" applyAlignment="1" applyProtection="1">
      <alignment horizontal="right" vertical="center" shrinkToFit="1"/>
    </xf>
    <xf numFmtId="0" fontId="8" fillId="6" borderId="35" xfId="0" applyFont="1" applyFill="1" applyBorder="1" applyAlignment="1" applyProtection="1">
      <alignment horizontal="center" vertical="center" wrapText="1"/>
    </xf>
    <xf numFmtId="0" fontId="8" fillId="6" borderId="20" xfId="0" applyFont="1" applyFill="1" applyBorder="1" applyAlignment="1" applyProtection="1">
      <alignment horizontal="center" vertical="center" wrapText="1"/>
    </xf>
    <xf numFmtId="169" fontId="4" fillId="2" borderId="155" xfId="0" applyNumberFormat="1" applyFont="1" applyFill="1" applyBorder="1" applyAlignment="1" applyProtection="1">
      <alignment horizontal="right" vertical="center" shrinkToFit="1"/>
      <protection locked="0"/>
    </xf>
    <xf numFmtId="169" fontId="4" fillId="2" borderId="156" xfId="0" applyNumberFormat="1" applyFont="1" applyFill="1" applyBorder="1" applyAlignment="1" applyProtection="1">
      <alignment horizontal="right" vertical="center" shrinkToFit="1"/>
      <protection locked="0"/>
    </xf>
    <xf numFmtId="169" fontId="4" fillId="2" borderId="157" xfId="0" applyNumberFormat="1" applyFont="1" applyFill="1" applyBorder="1" applyAlignment="1" applyProtection="1">
      <alignment horizontal="right" vertical="center" shrinkToFit="1"/>
      <protection locked="0"/>
    </xf>
    <xf numFmtId="3" fontId="0" fillId="0" borderId="4" xfId="0" applyNumberFormat="1" applyBorder="1" applyAlignment="1" applyProtection="1">
      <alignment horizontal="right" vertical="center"/>
    </xf>
    <xf numFmtId="3" fontId="0" fillId="0" borderId="5" xfId="0" applyNumberFormat="1" applyBorder="1" applyAlignment="1" applyProtection="1">
      <alignment horizontal="right" vertical="center"/>
    </xf>
    <xf numFmtId="0" fontId="113" fillId="0" borderId="207" xfId="0" applyFont="1" applyBorder="1" applyAlignment="1" applyProtection="1">
      <alignment horizontal="left" vertical="top" wrapText="1"/>
    </xf>
    <xf numFmtId="0" fontId="113" fillId="0" borderId="0" xfId="0" applyFont="1" applyBorder="1" applyAlignment="1" applyProtection="1">
      <alignment horizontal="left" vertical="top" wrapText="1"/>
    </xf>
    <xf numFmtId="0" fontId="113" fillId="0" borderId="208" xfId="0" applyFont="1" applyBorder="1" applyAlignment="1" applyProtection="1">
      <alignment horizontal="left" vertical="top" wrapText="1"/>
    </xf>
    <xf numFmtId="0" fontId="113" fillId="0" borderId="209" xfId="0" applyFont="1" applyBorder="1" applyAlignment="1" applyProtection="1">
      <alignment horizontal="left" vertical="top" wrapText="1"/>
    </xf>
    <xf numFmtId="0" fontId="113" fillId="0" borderId="210" xfId="0" applyFont="1" applyBorder="1" applyAlignment="1" applyProtection="1">
      <alignment horizontal="left" vertical="top" wrapText="1"/>
    </xf>
    <xf numFmtId="0" fontId="113" fillId="0" borderId="211" xfId="0" applyFont="1" applyBorder="1" applyAlignment="1" applyProtection="1">
      <alignment horizontal="left" vertical="top" wrapText="1"/>
    </xf>
    <xf numFmtId="210" fontId="4" fillId="0" borderId="1" xfId="0" applyNumberFormat="1" applyFont="1" applyBorder="1" applyAlignment="1" applyProtection="1">
      <alignment horizontal="left" vertical="center" shrinkToFit="1"/>
    </xf>
    <xf numFmtId="210" fontId="4" fillId="0" borderId="0" xfId="0" applyNumberFormat="1" applyFont="1" applyBorder="1" applyAlignment="1" applyProtection="1">
      <alignment horizontal="left" vertical="center" shrinkToFit="1"/>
    </xf>
    <xf numFmtId="3" fontId="0" fillId="0" borderId="52" xfId="0" applyNumberFormat="1" applyBorder="1" applyAlignment="1" applyProtection="1">
      <alignment horizontal="right" vertical="center"/>
    </xf>
    <xf numFmtId="3" fontId="0" fillId="0" borderId="2" xfId="0" applyNumberFormat="1" applyBorder="1" applyAlignment="1" applyProtection="1">
      <alignment horizontal="right" vertical="center"/>
    </xf>
    <xf numFmtId="231" fontId="89" fillId="25" borderId="0" xfId="0" applyNumberFormat="1" applyFont="1" applyFill="1" applyBorder="1" applyAlignment="1" applyProtection="1">
      <alignment horizontal="left" vertical="center" wrapText="1"/>
    </xf>
    <xf numFmtId="174" fontId="0" fillId="2" borderId="52" xfId="0" applyNumberFormat="1" applyFill="1" applyBorder="1" applyAlignment="1" applyProtection="1">
      <alignment horizontal="right" vertical="center" shrinkToFit="1"/>
      <protection locked="0"/>
    </xf>
    <xf numFmtId="174" fontId="0" fillId="2" borderId="111" xfId="0" applyNumberFormat="1" applyFill="1" applyBorder="1" applyAlignment="1" applyProtection="1">
      <alignment horizontal="right" vertical="center" shrinkToFit="1"/>
      <protection locked="0"/>
    </xf>
    <xf numFmtId="188" fontId="4" fillId="3" borderId="6" xfId="0" applyNumberFormat="1" applyFont="1" applyFill="1" applyBorder="1" applyAlignment="1" applyProtection="1">
      <alignment vertical="center" shrinkToFit="1"/>
    </xf>
    <xf numFmtId="0" fontId="0" fillId="2" borderId="2" xfId="0" applyFill="1" applyBorder="1" applyAlignment="1" applyProtection="1">
      <alignment horizontal="left" vertical="center"/>
      <protection locked="0"/>
    </xf>
    <xf numFmtId="0" fontId="0" fillId="2" borderId="158" xfId="0" applyFill="1" applyBorder="1" applyAlignment="1" applyProtection="1">
      <alignment horizontal="left" vertical="center"/>
      <protection locked="0"/>
    </xf>
    <xf numFmtId="0" fontId="8" fillId="6" borderId="6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/>
    </xf>
    <xf numFmtId="166" fontId="4" fillId="25" borderId="6" xfId="0" applyNumberFormat="1" applyFont="1" applyFill="1" applyBorder="1" applyAlignment="1" applyProtection="1">
      <alignment horizontal="right" vertical="center" shrinkToFit="1"/>
      <protection locked="0"/>
    </xf>
    <xf numFmtId="0" fontId="11" fillId="3" borderId="6" xfId="0" applyFont="1" applyFill="1" applyBorder="1" applyAlignment="1" applyProtection="1">
      <alignment horizontal="center" vertical="center" wrapText="1" shrinkToFit="1"/>
    </xf>
    <xf numFmtId="0" fontId="11" fillId="3" borderId="20" xfId="0" applyFont="1" applyFill="1" applyBorder="1" applyAlignment="1" applyProtection="1">
      <alignment horizontal="center" vertical="center" wrapText="1" shrinkToFit="1"/>
    </xf>
    <xf numFmtId="212" fontId="4" fillId="0" borderId="1" xfId="0" applyNumberFormat="1" applyFont="1" applyBorder="1" applyAlignment="1" applyProtection="1">
      <alignment horizontal="left" vertical="center" shrinkToFit="1"/>
    </xf>
    <xf numFmtId="212" fontId="4" fillId="0" borderId="0" xfId="0" applyNumberFormat="1" applyFont="1" applyBorder="1" applyAlignment="1" applyProtection="1">
      <alignment horizontal="left" vertical="center" shrinkToFit="1"/>
    </xf>
    <xf numFmtId="190" fontId="0" fillId="0" borderId="6" xfId="0" applyNumberFormat="1" applyBorder="1" applyAlignment="1" applyProtection="1">
      <alignment horizontal="center" vertical="center"/>
    </xf>
    <xf numFmtId="190" fontId="0" fillId="0" borderId="20" xfId="0" applyNumberFormat="1" applyBorder="1" applyAlignment="1" applyProtection="1">
      <alignment horizontal="center" vertical="center"/>
    </xf>
    <xf numFmtId="3" fontId="89" fillId="0" borderId="5" xfId="0" applyNumberFormat="1" applyFont="1" applyBorder="1" applyAlignment="1" applyProtection="1">
      <alignment horizontal="right" vertical="center"/>
    </xf>
    <xf numFmtId="169" fontId="0" fillId="2" borderId="1" xfId="0" applyNumberFormat="1" applyFill="1" applyBorder="1" applyAlignment="1" applyProtection="1">
      <alignment horizontal="right" vertical="center" shrinkToFit="1"/>
      <protection locked="0"/>
    </xf>
    <xf numFmtId="169" fontId="0" fillId="2" borderId="0" xfId="0" applyNumberFormat="1" applyFill="1" applyBorder="1" applyAlignment="1" applyProtection="1">
      <alignment horizontal="right" vertical="center" shrinkToFit="1"/>
      <protection locked="0"/>
    </xf>
    <xf numFmtId="169" fontId="0" fillId="2" borderId="3" xfId="0" applyNumberFormat="1" applyFill="1" applyBorder="1" applyAlignment="1" applyProtection="1">
      <alignment horizontal="right" vertical="center" shrinkToFit="1"/>
      <protection locked="0"/>
    </xf>
    <xf numFmtId="0" fontId="20" fillId="2" borderId="15" xfId="0" applyFont="1" applyFill="1" applyBorder="1" applyAlignment="1" applyProtection="1">
      <alignment horizontal="center" vertical="center" shrinkToFit="1"/>
    </xf>
    <xf numFmtId="0" fontId="20" fillId="2" borderId="16" xfId="0" applyFont="1" applyFill="1" applyBorder="1" applyAlignment="1" applyProtection="1">
      <alignment horizontal="center" vertical="center" shrinkToFit="1"/>
    </xf>
    <xf numFmtId="0" fontId="20" fillId="2" borderId="48" xfId="0" applyFont="1" applyFill="1" applyBorder="1" applyAlignment="1" applyProtection="1">
      <alignment horizontal="center" vertical="center" shrinkToFit="1"/>
    </xf>
    <xf numFmtId="197" fontId="2" fillId="6" borderId="77" xfId="0" applyNumberFormat="1" applyFont="1" applyFill="1" applyBorder="1" applyAlignment="1" applyProtection="1">
      <alignment horizontal="right" vertical="center" shrinkToFit="1"/>
    </xf>
    <xf numFmtId="3" fontId="0" fillId="0" borderId="0" xfId="0" applyNumberFormat="1" applyBorder="1" applyAlignment="1" applyProtection="1">
      <alignment horizontal="center" vertical="center"/>
    </xf>
    <xf numFmtId="0" fontId="10" fillId="6" borderId="78" xfId="0" applyFont="1" applyFill="1" applyBorder="1" applyAlignment="1" applyProtection="1">
      <alignment horizontal="center" vertical="center"/>
    </xf>
    <xf numFmtId="169" fontId="0" fillId="0" borderId="0" xfId="0" applyNumberFormat="1" applyFill="1" applyBorder="1" applyAlignment="1" applyProtection="1">
      <alignment horizontal="center" vertical="center"/>
    </xf>
    <xf numFmtId="197" fontId="0" fillId="6" borderId="80" xfId="0" applyNumberFormat="1" applyFill="1" applyBorder="1" applyAlignment="1" applyProtection="1">
      <alignment horizontal="right" vertical="center" shrinkToFit="1"/>
    </xf>
    <xf numFmtId="197" fontId="0" fillId="0" borderId="80" xfId="0" applyNumberFormat="1" applyBorder="1" applyAlignment="1">
      <alignment horizontal="right" vertical="center" shrinkToFit="1"/>
    </xf>
    <xf numFmtId="197" fontId="0" fillId="0" borderId="144" xfId="0" applyNumberFormat="1" applyBorder="1" applyAlignment="1">
      <alignment horizontal="right" vertical="center" shrinkToFit="1"/>
    </xf>
    <xf numFmtId="216" fontId="0" fillId="23" borderId="0" xfId="0" applyNumberFormat="1" applyFill="1" applyAlignment="1" applyProtection="1">
      <alignment horizontal="right" vertical="center"/>
    </xf>
    <xf numFmtId="3" fontId="0" fillId="23" borderId="0" xfId="0" applyNumberFormat="1" applyFill="1" applyAlignment="1" applyProtection="1">
      <alignment horizontal="right" vertical="center"/>
    </xf>
    <xf numFmtId="10" fontId="8" fillId="6" borderId="0" xfId="0" applyNumberFormat="1" applyFont="1" applyFill="1" applyBorder="1" applyAlignment="1" applyProtection="1">
      <alignment horizontal="center" vertical="center" shrinkToFit="1"/>
    </xf>
    <xf numFmtId="174" fontId="0" fillId="2" borderId="1" xfId="0" applyNumberFormat="1" applyFill="1" applyBorder="1" applyAlignment="1" applyProtection="1">
      <alignment horizontal="right" vertical="center" shrinkToFit="1"/>
      <protection locked="0"/>
    </xf>
    <xf numFmtId="174" fontId="0" fillId="2" borderId="3" xfId="0" applyNumberFormat="1" applyFill="1" applyBorder="1" applyAlignment="1" applyProtection="1">
      <alignment horizontal="right" vertical="center" shrinkToFit="1"/>
      <protection locked="0"/>
    </xf>
    <xf numFmtId="221" fontId="4" fillId="25" borderId="6" xfId="0" applyNumberFormat="1" applyFont="1" applyFill="1" applyBorder="1" applyAlignment="1" applyProtection="1">
      <alignment horizontal="center" vertical="center" shrinkToFit="1"/>
      <protection locked="0"/>
    </xf>
    <xf numFmtId="198" fontId="4" fillId="23" borderId="35" xfId="0" applyNumberFormat="1" applyFont="1" applyFill="1" applyBorder="1" applyAlignment="1" applyProtection="1">
      <alignment horizontal="right" vertical="center" shrinkToFit="1"/>
    </xf>
    <xf numFmtId="198" fontId="4" fillId="23" borderId="20" xfId="0" applyNumberFormat="1" applyFont="1" applyFill="1" applyBorder="1" applyAlignment="1" applyProtection="1">
      <alignment horizontal="right" vertical="center" shrinkToFit="1"/>
    </xf>
    <xf numFmtId="173" fontId="89" fillId="0" borderId="5" xfId="0" applyNumberFormat="1" applyFont="1" applyBorder="1" applyAlignment="1" applyProtection="1">
      <alignment horizontal="right" vertical="center"/>
    </xf>
    <xf numFmtId="197" fontId="8" fillId="6" borderId="145" xfId="0" applyNumberFormat="1" applyFont="1" applyFill="1" applyBorder="1" applyAlignment="1" applyProtection="1">
      <alignment horizontal="right" vertical="center" shrinkToFit="1"/>
    </xf>
    <xf numFmtId="197" fontId="8" fillId="6" borderId="80" xfId="0" applyNumberFormat="1" applyFont="1" applyFill="1" applyBorder="1" applyAlignment="1" applyProtection="1">
      <alignment horizontal="right" vertical="center" shrinkToFit="1"/>
    </xf>
    <xf numFmtId="3" fontId="0" fillId="0" borderId="0" xfId="0" applyNumberFormat="1" applyAlignment="1" applyProtection="1">
      <alignment horizontal="center" vertical="center"/>
    </xf>
    <xf numFmtId="224" fontId="0" fillId="0" borderId="0" xfId="0" applyNumberFormat="1" applyAlignment="1" applyProtection="1">
      <alignment horizontal="center" vertical="center"/>
    </xf>
    <xf numFmtId="225" fontId="0" fillId="23" borderId="15" xfId="0" applyNumberFormat="1" applyFill="1" applyBorder="1" applyAlignment="1" applyProtection="1">
      <alignment horizontal="center" vertical="center"/>
    </xf>
    <xf numFmtId="225" fontId="0" fillId="23" borderId="16" xfId="0" applyNumberFormat="1" applyFill="1" applyBorder="1" applyAlignment="1" applyProtection="1">
      <alignment horizontal="center" vertical="center"/>
    </xf>
    <xf numFmtId="225" fontId="0" fillId="23" borderId="48" xfId="0" applyNumberFormat="1" applyFill="1" applyBorder="1" applyAlignment="1" applyProtection="1">
      <alignment horizontal="center" vertical="center"/>
    </xf>
    <xf numFmtId="3" fontId="0" fillId="29" borderId="0" xfId="0" applyNumberFormat="1" applyFill="1" applyAlignment="1" applyProtection="1">
      <alignment horizontal="center" vertical="center"/>
    </xf>
    <xf numFmtId="0" fontId="8" fillId="6" borderId="0" xfId="0" applyFont="1" applyFill="1" applyBorder="1" applyAlignment="1" applyProtection="1">
      <alignment horizontal="center" vertical="center" wrapText="1"/>
    </xf>
    <xf numFmtId="169" fontId="4" fillId="17" borderId="15" xfId="0" applyNumberFormat="1" applyFont="1" applyFill="1" applyBorder="1" applyAlignment="1" applyProtection="1">
      <alignment horizontal="right" vertical="center" shrinkToFit="1"/>
    </xf>
    <xf numFmtId="169" fontId="4" fillId="17" borderId="16" xfId="0" applyNumberFormat="1" applyFont="1" applyFill="1" applyBorder="1" applyAlignment="1" applyProtection="1">
      <alignment horizontal="right" vertical="center" shrinkToFit="1"/>
    </xf>
    <xf numFmtId="169" fontId="4" fillId="17" borderId="48" xfId="0" applyNumberFormat="1" applyFont="1" applyFill="1" applyBorder="1" applyAlignment="1" applyProtection="1">
      <alignment horizontal="right" vertical="center" shrinkToFit="1"/>
    </xf>
    <xf numFmtId="169" fontId="4" fillId="23" borderId="2" xfId="0" applyNumberFormat="1" applyFont="1" applyFill="1" applyBorder="1" applyAlignment="1" applyProtection="1">
      <alignment horizontal="right" vertical="center" shrinkToFit="1"/>
    </xf>
    <xf numFmtId="0" fontId="10" fillId="6" borderId="77" xfId="0" applyFont="1" applyFill="1" applyBorder="1" applyAlignment="1" applyProtection="1">
      <alignment horizontal="center" vertical="center"/>
    </xf>
    <xf numFmtId="3" fontId="0" fillId="0" borderId="6" xfId="0" applyNumberFormat="1" applyBorder="1" applyAlignment="1" applyProtection="1">
      <alignment horizontal="center" vertical="center"/>
    </xf>
    <xf numFmtId="223" fontId="0" fillId="0" borderId="0" xfId="0" applyNumberFormat="1" applyAlignment="1" applyProtection="1">
      <alignment horizontal="center" vertical="center"/>
    </xf>
    <xf numFmtId="222" fontId="0" fillId="0" borderId="0" xfId="0" applyNumberFormat="1" applyAlignment="1" applyProtection="1">
      <alignment horizontal="left" vertical="center" shrinkToFit="1"/>
    </xf>
    <xf numFmtId="169" fontId="0" fillId="0" borderId="6" xfId="0" applyNumberFormat="1" applyFill="1" applyBorder="1" applyAlignment="1" applyProtection="1">
      <alignment horizontal="center" vertical="center"/>
    </xf>
    <xf numFmtId="169" fontId="4" fillId="0" borderId="1" xfId="0" applyNumberFormat="1" applyFont="1" applyFill="1" applyBorder="1" applyAlignment="1" applyProtection="1">
      <alignment horizontal="right" vertical="center"/>
    </xf>
    <xf numFmtId="169" fontId="4" fillId="0" borderId="0" xfId="0" applyNumberFormat="1" applyFont="1" applyFill="1" applyBorder="1" applyAlignment="1" applyProtection="1">
      <alignment horizontal="right" vertical="center"/>
    </xf>
    <xf numFmtId="169" fontId="4" fillId="0" borderId="3" xfId="0" applyNumberFormat="1" applyFont="1" applyFill="1" applyBorder="1" applyAlignment="1" applyProtection="1">
      <alignment horizontal="right" vertical="center"/>
    </xf>
    <xf numFmtId="169" fontId="0" fillId="6" borderId="1" xfId="0" applyNumberFormat="1" applyFill="1" applyBorder="1" applyAlignment="1" applyProtection="1">
      <alignment horizontal="right" vertical="center"/>
    </xf>
    <xf numFmtId="169" fontId="0" fillId="6" borderId="0" xfId="0" applyNumberFormat="1" applyFill="1" applyBorder="1" applyAlignment="1" applyProtection="1">
      <alignment horizontal="right" vertical="center"/>
    </xf>
    <xf numFmtId="169" fontId="0" fillId="6" borderId="3" xfId="0" applyNumberFormat="1" applyFill="1" applyBorder="1" applyAlignment="1" applyProtection="1">
      <alignment horizontal="right" vertical="center"/>
    </xf>
    <xf numFmtId="197" fontId="0" fillId="6" borderId="59" xfId="0" applyNumberFormat="1" applyFill="1" applyBorder="1" applyAlignment="1" applyProtection="1">
      <alignment horizontal="right" vertical="center" shrinkToFit="1"/>
    </xf>
    <xf numFmtId="197" fontId="0" fillId="6" borderId="3" xfId="0" applyNumberFormat="1" applyFill="1" applyBorder="1" applyAlignment="1" applyProtection="1">
      <alignment horizontal="right" vertical="center" shrinkToFit="1"/>
    </xf>
    <xf numFmtId="197" fontId="0" fillId="6" borderId="1" xfId="0" applyNumberFormat="1" applyFill="1" applyBorder="1" applyAlignment="1" applyProtection="1">
      <alignment horizontal="right" vertical="center" shrinkToFit="1"/>
    </xf>
    <xf numFmtId="197" fontId="0" fillId="6" borderId="0" xfId="0" applyNumberFormat="1" applyFill="1" applyBorder="1" applyAlignment="1" applyProtection="1">
      <alignment horizontal="right" vertical="center" shrinkToFit="1"/>
    </xf>
    <xf numFmtId="197" fontId="0" fillId="6" borderId="108" xfId="0" applyNumberFormat="1" applyFill="1" applyBorder="1" applyAlignment="1" applyProtection="1">
      <alignment horizontal="right" vertical="center" shrinkToFit="1"/>
    </xf>
    <xf numFmtId="169" fontId="4" fillId="0" borderId="35" xfId="0" applyNumberFormat="1" applyFont="1" applyFill="1" applyBorder="1" applyAlignment="1" applyProtection="1">
      <alignment horizontal="right" vertical="center"/>
    </xf>
    <xf numFmtId="169" fontId="4" fillId="0" borderId="6" xfId="0" applyNumberFormat="1" applyFont="1" applyFill="1" applyBorder="1" applyAlignment="1" applyProtection="1">
      <alignment horizontal="right" vertical="center"/>
    </xf>
    <xf numFmtId="169" fontId="4" fillId="0" borderId="20" xfId="0" applyNumberFormat="1" applyFont="1" applyFill="1" applyBorder="1" applyAlignment="1" applyProtection="1">
      <alignment horizontal="right" vertical="center"/>
    </xf>
    <xf numFmtId="0" fontId="0" fillId="6" borderId="0" xfId="0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197" fontId="2" fillId="6" borderId="80" xfId="0" applyNumberFormat="1" applyFont="1" applyFill="1" applyBorder="1" applyAlignment="1" applyProtection="1">
      <alignment horizontal="right" vertical="center" shrinkToFit="1"/>
    </xf>
    <xf numFmtId="197" fontId="2" fillId="6" borderId="144" xfId="0" applyNumberFormat="1" applyFont="1" applyFill="1" applyBorder="1" applyAlignment="1" applyProtection="1">
      <alignment horizontal="right" vertical="center" shrinkToFit="1"/>
    </xf>
    <xf numFmtId="197" fontId="4" fillId="23" borderId="146" xfId="0" applyNumberFormat="1" applyFont="1" applyFill="1" applyBorder="1" applyAlignment="1" applyProtection="1">
      <alignment horizontal="right" vertical="center" shrinkToFit="1"/>
    </xf>
    <xf numFmtId="197" fontId="4" fillId="23" borderId="147" xfId="0" applyNumberFormat="1" applyFont="1" applyFill="1" applyBorder="1" applyAlignment="1" applyProtection="1">
      <alignment horizontal="right" vertical="center" shrinkToFit="1"/>
    </xf>
    <xf numFmtId="197" fontId="2" fillId="23" borderId="1" xfId="0" applyNumberFormat="1" applyFont="1" applyFill="1" applyBorder="1" applyAlignment="1" applyProtection="1">
      <alignment horizontal="right" vertical="center" shrinkToFit="1"/>
    </xf>
    <xf numFmtId="197" fontId="2" fillId="23" borderId="0" xfId="0" applyNumberFormat="1" applyFont="1" applyFill="1" applyBorder="1" applyAlignment="1" applyProtection="1">
      <alignment horizontal="right" vertical="center" shrinkToFit="1"/>
    </xf>
    <xf numFmtId="0" fontId="0" fillId="0" borderId="0" xfId="0" applyBorder="1" applyAlignment="1" applyProtection="1">
      <alignment horizontal="center" vertical="center"/>
    </xf>
    <xf numFmtId="0" fontId="65" fillId="0" borderId="5" xfId="0" applyFont="1" applyBorder="1" applyAlignment="1" applyProtection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206" fontId="0" fillId="16" borderId="99" xfId="0" applyNumberFormat="1" applyFill="1" applyBorder="1" applyAlignment="1" applyProtection="1">
      <alignment horizontal="center" vertical="center" shrinkToFit="1"/>
    </xf>
    <xf numFmtId="206" fontId="0" fillId="16" borderId="133" xfId="0" applyNumberFormat="1" applyFill="1" applyBorder="1" applyAlignment="1" applyProtection="1">
      <alignment horizontal="center" vertical="center" shrinkToFit="1"/>
    </xf>
    <xf numFmtId="206" fontId="0" fillId="16" borderId="100" xfId="0" applyNumberFormat="1" applyFill="1" applyBorder="1" applyAlignment="1" applyProtection="1">
      <alignment horizontal="center" vertical="center" shrinkToFit="1"/>
    </xf>
    <xf numFmtId="0" fontId="11" fillId="6" borderId="15" xfId="0" applyFont="1" applyFill="1" applyBorder="1" applyAlignment="1" applyProtection="1">
      <alignment horizontal="center" vertical="center"/>
    </xf>
    <xf numFmtId="0" fontId="0" fillId="0" borderId="16" xfId="0" applyBorder="1" applyAlignment="1">
      <alignment vertical="center"/>
    </xf>
    <xf numFmtId="0" fontId="0" fillId="0" borderId="48" xfId="0" applyBorder="1" applyAlignment="1">
      <alignment vertical="center"/>
    </xf>
    <xf numFmtId="0" fontId="10" fillId="6" borderId="78" xfId="0" applyFont="1" applyFill="1" applyBorder="1" applyAlignment="1">
      <alignment horizontal="center" vertical="center"/>
    </xf>
    <xf numFmtId="0" fontId="4" fillId="25" borderId="6" xfId="0" applyFont="1" applyFill="1" applyBorder="1" applyAlignment="1" applyProtection="1">
      <alignment horizontal="left" vertical="center"/>
      <protection locked="0"/>
    </xf>
    <xf numFmtId="0" fontId="0" fillId="25" borderId="6" xfId="0" applyFill="1" applyBorder="1" applyAlignment="1" applyProtection="1">
      <alignment horizontal="left" vertical="center"/>
      <protection locked="0"/>
    </xf>
    <xf numFmtId="181" fontId="2" fillId="3" borderId="16" xfId="0" applyNumberFormat="1" applyFont="1" applyFill="1" applyBorder="1" applyAlignment="1" applyProtection="1">
      <alignment horizontal="right" vertical="center" shrinkToFit="1"/>
    </xf>
    <xf numFmtId="0" fontId="10" fillId="6" borderId="148" xfId="0" applyFont="1" applyFill="1" applyBorder="1" applyAlignment="1" applyProtection="1">
      <alignment horizontal="center" vertical="center"/>
    </xf>
    <xf numFmtId="0" fontId="8" fillId="2" borderId="2" xfId="0" applyFont="1" applyFill="1" applyBorder="1" applyAlignment="1" applyProtection="1">
      <alignment horizontal="right" vertical="center" shrinkToFit="1"/>
      <protection locked="0"/>
    </xf>
    <xf numFmtId="3" fontId="0" fillId="23" borderId="2" xfId="0" applyNumberFormat="1" applyFill="1" applyBorder="1" applyAlignment="1" applyProtection="1">
      <alignment horizontal="center" vertical="center"/>
    </xf>
    <xf numFmtId="198" fontId="0" fillId="6" borderId="1" xfId="0" applyNumberFormat="1" applyFill="1" applyBorder="1" applyAlignment="1" applyProtection="1">
      <alignment horizontal="right" vertical="center" shrinkToFit="1"/>
    </xf>
    <xf numFmtId="198" fontId="0" fillId="6" borderId="0" xfId="0" applyNumberFormat="1" applyFill="1" applyBorder="1" applyAlignment="1" applyProtection="1">
      <alignment horizontal="right" vertical="center" shrinkToFit="1"/>
    </xf>
    <xf numFmtId="198" fontId="0" fillId="6" borderId="59" xfId="0" applyNumberFormat="1" applyFill="1" applyBorder="1" applyAlignment="1" applyProtection="1">
      <alignment horizontal="right" vertical="center" shrinkToFit="1"/>
    </xf>
    <xf numFmtId="169" fontId="0" fillId="6" borderId="0" xfId="0" applyNumberFormat="1" applyFill="1" applyAlignment="1" applyProtection="1">
      <alignment horizontal="left" vertical="center"/>
    </xf>
    <xf numFmtId="169" fontId="0" fillId="6" borderId="0" xfId="0" applyNumberFormat="1" applyFill="1" applyAlignment="1" applyProtection="1">
      <alignment horizontal="right" vertical="center"/>
    </xf>
    <xf numFmtId="166" fontId="0" fillId="6" borderId="53" xfId="0" applyNumberFormat="1" applyFill="1" applyBorder="1" applyAlignment="1" applyProtection="1">
      <alignment horizontal="right" vertical="center"/>
    </xf>
    <xf numFmtId="166" fontId="0" fillId="6" borderId="0" xfId="0" applyNumberFormat="1" applyFill="1" applyAlignment="1" applyProtection="1">
      <alignment horizontal="right" vertical="center"/>
    </xf>
    <xf numFmtId="0" fontId="0" fillId="6" borderId="0" xfId="0" applyFill="1" applyAlignment="1" applyProtection="1">
      <alignment horizontal="center" vertical="center"/>
    </xf>
    <xf numFmtId="0" fontId="0" fillId="6" borderId="0" xfId="0" applyFill="1" applyAlignment="1" applyProtection="1">
      <alignment horizontal="left" vertical="center"/>
    </xf>
    <xf numFmtId="169" fontId="0" fillId="21" borderId="15" xfId="0" applyNumberFormat="1" applyFill="1" applyBorder="1" applyAlignment="1" applyProtection="1">
      <alignment horizontal="center" vertical="center" shrinkToFit="1"/>
    </xf>
    <xf numFmtId="169" fontId="0" fillId="21" borderId="48" xfId="0" applyNumberFormat="1" applyFill="1" applyBorder="1" applyAlignment="1" applyProtection="1">
      <alignment horizontal="center" vertical="center" shrinkToFit="1"/>
    </xf>
    <xf numFmtId="0" fontId="9" fillId="26" borderId="50" xfId="0" applyFont="1" applyFill="1" applyBorder="1" applyAlignment="1" applyProtection="1">
      <alignment horizontal="center" vertical="center" textRotation="90"/>
    </xf>
    <xf numFmtId="0" fontId="9" fillId="26" borderId="49" xfId="0" applyFont="1" applyFill="1" applyBorder="1" applyAlignment="1" applyProtection="1">
      <alignment horizontal="center" vertical="center" textRotation="90"/>
    </xf>
    <xf numFmtId="0" fontId="9" fillId="26" borderId="47" xfId="0" applyFont="1" applyFill="1" applyBorder="1" applyAlignment="1" applyProtection="1">
      <alignment horizontal="center" vertical="center" textRotation="90"/>
    </xf>
    <xf numFmtId="0" fontId="0" fillId="6" borderId="0" xfId="0" applyFill="1" applyBorder="1" applyAlignment="1" applyProtection="1">
      <alignment horizontal="left" vertical="center" shrinkToFit="1"/>
    </xf>
    <xf numFmtId="0" fontId="0" fillId="6" borderId="3" xfId="0" applyFill="1" applyBorder="1" applyAlignment="1" applyProtection="1">
      <alignment horizontal="left" vertical="center" shrinkToFit="1"/>
    </xf>
    <xf numFmtId="0" fontId="0" fillId="6" borderId="2" xfId="0" applyFill="1" applyBorder="1" applyAlignment="1" applyProtection="1">
      <alignment horizontal="left" vertical="center" shrinkToFit="1"/>
    </xf>
    <xf numFmtId="0" fontId="0" fillId="6" borderId="111" xfId="0" applyFill="1" applyBorder="1" applyAlignment="1" applyProtection="1">
      <alignment horizontal="left" vertical="center" shrinkToFit="1"/>
    </xf>
    <xf numFmtId="0" fontId="8" fillId="6" borderId="6" xfId="0" applyFont="1" applyFill="1" applyBorder="1" applyAlignment="1" applyProtection="1">
      <alignment horizontal="left" vertical="center" wrapText="1"/>
    </xf>
    <xf numFmtId="0" fontId="8" fillId="6" borderId="6" xfId="0" applyFont="1" applyFill="1" applyBorder="1" applyAlignment="1" applyProtection="1">
      <alignment horizontal="left" vertical="center"/>
    </xf>
    <xf numFmtId="0" fontId="2" fillId="0" borderId="15" xfId="0" applyFont="1" applyFill="1" applyBorder="1" applyAlignment="1" applyProtection="1">
      <alignment horizontal="left" vertical="center" shrinkToFit="1"/>
    </xf>
    <xf numFmtId="0" fontId="0" fillId="0" borderId="16" xfId="0" applyBorder="1" applyAlignment="1">
      <alignment horizontal="left" vertical="center" shrinkToFit="1"/>
    </xf>
    <xf numFmtId="0" fontId="10" fillId="21" borderId="0" xfId="0" applyFont="1" applyFill="1" applyAlignment="1" applyProtection="1">
      <alignment horizontal="left" vertical="center" wrapText="1" indent="1"/>
    </xf>
    <xf numFmtId="170" fontId="0" fillId="2" borderId="1" xfId="0" applyNumberFormat="1" applyFill="1" applyBorder="1" applyAlignment="1" applyProtection="1">
      <alignment horizontal="right" vertical="center" shrinkToFit="1"/>
      <protection locked="0"/>
    </xf>
    <xf numFmtId="170" fontId="0" fillId="2" borderId="3" xfId="0" applyNumberFormat="1" applyFill="1" applyBorder="1" applyAlignment="1" applyProtection="1">
      <alignment horizontal="right" vertical="center" shrinkToFit="1"/>
      <protection locked="0"/>
    </xf>
    <xf numFmtId="0" fontId="58" fillId="6" borderId="0" xfId="0" applyFont="1" applyFill="1" applyBorder="1" applyAlignment="1" applyProtection="1">
      <alignment horizontal="left" vertical="center" wrapText="1"/>
    </xf>
    <xf numFmtId="0" fontId="58" fillId="6" borderId="3" xfId="0" applyFont="1" applyFill="1" applyBorder="1" applyAlignment="1" applyProtection="1">
      <alignment horizontal="left" vertical="center" wrapText="1"/>
    </xf>
    <xf numFmtId="0" fontId="58" fillId="6" borderId="2" xfId="0" applyFont="1" applyFill="1" applyBorder="1" applyAlignment="1" applyProtection="1">
      <alignment horizontal="left" vertical="center" wrapText="1"/>
    </xf>
    <xf numFmtId="0" fontId="58" fillId="6" borderId="111" xfId="0" applyFont="1" applyFill="1" applyBorder="1" applyAlignment="1" applyProtection="1">
      <alignment horizontal="left" vertical="center" wrapText="1"/>
    </xf>
    <xf numFmtId="0" fontId="10" fillId="6" borderId="149" xfId="0" applyFont="1" applyFill="1" applyBorder="1" applyAlignment="1" applyProtection="1">
      <alignment horizontal="center" vertical="center"/>
    </xf>
    <xf numFmtId="169" fontId="0" fillId="6" borderId="52" xfId="0" applyNumberFormat="1" applyFill="1" applyBorder="1" applyAlignment="1" applyProtection="1">
      <alignment horizontal="right" vertical="center" shrinkToFit="1"/>
    </xf>
    <xf numFmtId="169" fontId="0" fillId="6" borderId="2" xfId="0" applyNumberFormat="1" applyFill="1" applyBorder="1" applyAlignment="1" applyProtection="1">
      <alignment horizontal="right" vertical="center" shrinkToFit="1"/>
    </xf>
    <xf numFmtId="169" fontId="0" fillId="6" borderId="111" xfId="0" applyNumberFormat="1" applyFill="1" applyBorder="1" applyAlignment="1" applyProtection="1">
      <alignment horizontal="right" vertical="center" shrinkToFit="1"/>
    </xf>
    <xf numFmtId="0" fontId="10" fillId="6" borderId="80" xfId="0" applyFont="1" applyFill="1" applyBorder="1" applyAlignment="1" applyProtection="1">
      <alignment horizontal="center" vertical="center"/>
    </xf>
    <xf numFmtId="169" fontId="0" fillId="0" borderId="5" xfId="0" applyNumberFormat="1" applyFill="1" applyBorder="1" applyAlignment="1" applyProtection="1">
      <alignment horizontal="center" vertical="center" shrinkToFit="1"/>
    </xf>
    <xf numFmtId="3" fontId="0" fillId="0" borderId="17" xfId="0" applyNumberFormat="1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/>
    </xf>
    <xf numFmtId="169" fontId="2" fillId="6" borderId="99" xfId="0" applyNumberFormat="1" applyFont="1" applyFill="1" applyBorder="1" applyAlignment="1" applyProtection="1">
      <alignment horizontal="right" vertical="center"/>
    </xf>
    <xf numFmtId="0" fontId="2" fillId="6" borderId="133" xfId="0" applyFont="1" applyFill="1" applyBorder="1" applyAlignment="1" applyProtection="1">
      <alignment horizontal="right" vertical="center"/>
    </xf>
    <xf numFmtId="0" fontId="2" fillId="6" borderId="100" xfId="0" applyFont="1" applyFill="1" applyBorder="1" applyAlignment="1" applyProtection="1">
      <alignment horizontal="right" vertical="center"/>
    </xf>
    <xf numFmtId="2" fontId="0" fillId="0" borderId="0" xfId="0" applyNumberFormat="1" applyAlignment="1" applyProtection="1">
      <alignment horizontal="center" vertical="center"/>
    </xf>
    <xf numFmtId="3" fontId="0" fillId="0" borderId="54" xfId="0" applyNumberFormat="1" applyBorder="1" applyAlignment="1" applyProtection="1">
      <alignment horizontal="center" vertical="center"/>
    </xf>
    <xf numFmtId="169" fontId="0" fillId="6" borderId="35" xfId="0" applyNumberFormat="1" applyFill="1" applyBorder="1" applyAlignment="1" applyProtection="1">
      <alignment horizontal="right" vertical="center"/>
    </xf>
    <xf numFmtId="169" fontId="0" fillId="6" borderId="6" xfId="0" applyNumberFormat="1" applyFill="1" applyBorder="1" applyAlignment="1" applyProtection="1">
      <alignment horizontal="right" vertical="center"/>
    </xf>
    <xf numFmtId="169" fontId="0" fillId="6" borderId="20" xfId="0" applyNumberFormat="1" applyFill="1" applyBorder="1" applyAlignment="1" applyProtection="1">
      <alignment horizontal="right" vertical="center"/>
    </xf>
    <xf numFmtId="198" fontId="0" fillId="6" borderId="3" xfId="0" applyNumberFormat="1" applyFill="1" applyBorder="1" applyAlignment="1" applyProtection="1">
      <alignment horizontal="right" vertical="center" shrinkToFit="1"/>
    </xf>
    <xf numFmtId="197" fontId="4" fillId="23" borderId="35" xfId="0" applyNumberFormat="1" applyFont="1" applyFill="1" applyBorder="1" applyAlignment="1" applyProtection="1">
      <alignment horizontal="right" vertical="center" shrinkToFit="1"/>
    </xf>
    <xf numFmtId="197" fontId="4" fillId="23" borderId="6" xfId="0" applyNumberFormat="1" applyFont="1" applyFill="1" applyBorder="1" applyAlignment="1" applyProtection="1">
      <alignment horizontal="right" vertical="center" shrinkToFit="1"/>
    </xf>
    <xf numFmtId="197" fontId="4" fillId="23" borderId="20" xfId="0" applyNumberFormat="1" applyFont="1" applyFill="1" applyBorder="1" applyAlignment="1" applyProtection="1">
      <alignment horizontal="right" vertical="center" shrinkToFit="1"/>
    </xf>
    <xf numFmtId="197" fontId="4" fillId="23" borderId="1" xfId="0" applyNumberFormat="1" applyFont="1" applyFill="1" applyBorder="1" applyAlignment="1" applyProtection="1">
      <alignment horizontal="right" vertical="center" shrinkToFit="1"/>
    </xf>
    <xf numFmtId="197" fontId="4" fillId="23" borderId="3" xfId="0" applyNumberFormat="1" applyFont="1" applyFill="1" applyBorder="1" applyAlignment="1" applyProtection="1">
      <alignment horizontal="right" vertical="center" shrinkToFit="1"/>
    </xf>
    <xf numFmtId="0" fontId="26" fillId="0" borderId="0" xfId="0" applyFont="1" applyAlignment="1" applyProtection="1">
      <alignment horizontal="center" vertical="center" wrapText="1"/>
    </xf>
    <xf numFmtId="4" fontId="2" fillId="6" borderId="0" xfId="0" applyNumberFormat="1" applyFont="1" applyFill="1" applyBorder="1" applyAlignment="1" applyProtection="1">
      <alignment horizontal="right" vertical="center"/>
    </xf>
    <xf numFmtId="4" fontId="0" fillId="2" borderId="0" xfId="0" applyNumberFormat="1" applyFill="1" applyBorder="1" applyAlignment="1" applyProtection="1">
      <alignment horizontal="right" vertical="center" shrinkToFit="1"/>
      <protection locked="0"/>
    </xf>
    <xf numFmtId="2" fontId="0" fillId="2" borderId="0" xfId="0" applyNumberFormat="1" applyFill="1" applyBorder="1" applyAlignment="1" applyProtection="1">
      <alignment horizontal="right" vertical="center" shrinkToFit="1"/>
      <protection locked="0"/>
    </xf>
    <xf numFmtId="4" fontId="0" fillId="0" borderId="0" xfId="0" applyNumberFormat="1" applyFill="1" applyBorder="1" applyAlignment="1" applyProtection="1">
      <alignment horizontal="right" vertical="center"/>
    </xf>
    <xf numFmtId="0" fontId="8" fillId="6" borderId="35" xfId="0" applyFont="1" applyFill="1" applyBorder="1" applyAlignment="1" applyProtection="1">
      <alignment horizontal="left" vertical="center" wrapText="1"/>
    </xf>
    <xf numFmtId="0" fontId="8" fillId="6" borderId="20" xfId="0" applyFont="1" applyFill="1" applyBorder="1" applyAlignment="1" applyProtection="1">
      <alignment horizontal="left" vertical="center" wrapText="1"/>
    </xf>
    <xf numFmtId="0" fontId="2" fillId="2" borderId="4" xfId="0" applyFont="1" applyFill="1" applyBorder="1" applyAlignment="1" applyProtection="1">
      <alignment horizontal="left" vertical="center" wrapText="1"/>
      <protection locked="0"/>
    </xf>
    <xf numFmtId="0" fontId="2" fillId="2" borderId="5" xfId="0" applyFont="1" applyFill="1" applyBorder="1" applyAlignment="1" applyProtection="1">
      <alignment horizontal="left" vertical="center" wrapText="1"/>
      <protection locked="0"/>
    </xf>
    <xf numFmtId="0" fontId="2" fillId="2" borderId="19" xfId="0" applyFont="1" applyFill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 applyProtection="1">
      <alignment horizontal="left" vertical="center" wrapText="1"/>
      <protection locked="0"/>
    </xf>
    <xf numFmtId="0" fontId="2" fillId="2" borderId="0" xfId="0" applyFont="1" applyFill="1" applyBorder="1" applyAlignment="1" applyProtection="1">
      <alignment horizontal="left" vertical="center" wrapText="1"/>
      <protection locked="0"/>
    </xf>
    <xf numFmtId="0" fontId="2" fillId="2" borderId="3" xfId="0" applyFont="1" applyFill="1" applyBorder="1" applyAlignment="1" applyProtection="1">
      <alignment horizontal="left" vertical="center" wrapText="1"/>
      <protection locked="0"/>
    </xf>
    <xf numFmtId="0" fontId="2" fillId="2" borderId="35" xfId="0" applyFont="1" applyFill="1" applyBorder="1" applyAlignment="1" applyProtection="1">
      <alignment horizontal="left" vertical="center" wrapText="1"/>
      <protection locked="0"/>
    </xf>
    <xf numFmtId="0" fontId="2" fillId="2" borderId="6" xfId="0" applyFont="1" applyFill="1" applyBorder="1" applyAlignment="1" applyProtection="1">
      <alignment horizontal="left" vertical="center" wrapText="1"/>
      <protection locked="0"/>
    </xf>
    <xf numFmtId="0" fontId="2" fillId="2" borderId="20" xfId="0" applyFont="1" applyFill="1" applyBorder="1" applyAlignment="1" applyProtection="1">
      <alignment horizontal="left" vertical="center" wrapText="1"/>
      <protection locked="0"/>
    </xf>
    <xf numFmtId="0" fontId="0" fillId="6" borderId="0" xfId="0" applyFill="1" applyBorder="1" applyAlignment="1" applyProtection="1">
      <alignment horizontal="left" vertical="center" wrapText="1"/>
    </xf>
    <xf numFmtId="0" fontId="9" fillId="0" borderId="6" xfId="0" applyFont="1" applyFill="1" applyBorder="1" applyAlignment="1" applyProtection="1">
      <alignment horizontal="right" vertical="center"/>
    </xf>
    <xf numFmtId="0" fontId="0" fillId="2" borderId="1" xfId="0" applyFill="1" applyBorder="1" applyAlignment="1" applyProtection="1">
      <alignment horizontal="left" vertical="center" shrinkToFit="1"/>
      <protection locked="0"/>
    </xf>
    <xf numFmtId="0" fontId="0" fillId="2" borderId="0" xfId="0" applyFill="1" applyBorder="1" applyAlignment="1" applyProtection="1">
      <alignment horizontal="left" vertical="center" shrinkToFit="1"/>
      <protection locked="0"/>
    </xf>
    <xf numFmtId="0" fontId="0" fillId="2" borderId="3" xfId="0" applyFill="1" applyBorder="1" applyAlignment="1" applyProtection="1">
      <alignment horizontal="left" vertical="center" shrinkToFit="1"/>
      <protection locked="0"/>
    </xf>
    <xf numFmtId="0" fontId="0" fillId="6" borderId="52" xfId="0" applyFill="1" applyBorder="1" applyAlignment="1" applyProtection="1">
      <alignment horizontal="left" vertical="center" shrinkToFit="1"/>
    </xf>
    <xf numFmtId="0" fontId="0" fillId="2" borderId="52" xfId="0" applyFill="1" applyBorder="1" applyAlignment="1" applyProtection="1">
      <alignment horizontal="left" vertical="center" shrinkToFit="1"/>
      <protection locked="0"/>
    </xf>
    <xf numFmtId="0" fontId="0" fillId="2" borderId="2" xfId="0" applyFill="1" applyBorder="1" applyAlignment="1" applyProtection="1">
      <alignment horizontal="left" vertical="center" shrinkToFit="1"/>
      <protection locked="0"/>
    </xf>
    <xf numFmtId="0" fontId="0" fillId="2" borderId="111" xfId="0" applyFill="1" applyBorder="1" applyAlignment="1" applyProtection="1">
      <alignment horizontal="left" vertical="center" shrinkToFit="1"/>
      <protection locked="0"/>
    </xf>
    <xf numFmtId="0" fontId="0" fillId="6" borderId="1" xfId="0" applyFill="1" applyBorder="1" applyAlignment="1" applyProtection="1">
      <alignment horizontal="left" vertical="center" shrinkToFit="1"/>
    </xf>
    <xf numFmtId="169" fontId="0" fillId="2" borderId="52" xfId="0" applyNumberFormat="1" applyFill="1" applyBorder="1" applyAlignment="1" applyProtection="1">
      <alignment horizontal="right" vertical="center" shrinkToFit="1"/>
      <protection locked="0"/>
    </xf>
    <xf numFmtId="169" fontId="0" fillId="2" borderId="2" xfId="0" applyNumberFormat="1" applyFill="1" applyBorder="1" applyAlignment="1" applyProtection="1">
      <alignment horizontal="right" vertical="center" shrinkToFit="1"/>
      <protection locked="0"/>
    </xf>
    <xf numFmtId="169" fontId="0" fillId="2" borderId="111" xfId="0" applyNumberFormat="1" applyFill="1" applyBorder="1" applyAlignment="1" applyProtection="1">
      <alignment horizontal="right" vertical="center" shrinkToFit="1"/>
      <protection locked="0"/>
    </xf>
    <xf numFmtId="179" fontId="0" fillId="2" borderId="6" xfId="0" applyNumberFormat="1" applyFill="1" applyBorder="1" applyAlignment="1" applyProtection="1">
      <alignment horizontal="center" vertical="center" wrapText="1"/>
      <protection locked="0"/>
    </xf>
    <xf numFmtId="0" fontId="9" fillId="6" borderId="35" xfId="0" applyFont="1" applyFill="1" applyBorder="1" applyAlignment="1" applyProtection="1">
      <alignment horizontal="center" vertical="center" wrapText="1"/>
    </xf>
    <xf numFmtId="0" fontId="9" fillId="6" borderId="20" xfId="0" applyFont="1" applyFill="1" applyBorder="1" applyAlignment="1" applyProtection="1">
      <alignment horizontal="center" vertical="center" wrapText="1"/>
    </xf>
    <xf numFmtId="169" fontId="0" fillId="0" borderId="0" xfId="0" applyNumberFormat="1" applyAlignment="1" applyProtection="1">
      <alignment horizontal="center" vertical="center"/>
    </xf>
    <xf numFmtId="169" fontId="4" fillId="0" borderId="4" xfId="0" applyNumberFormat="1" applyFont="1" applyFill="1" applyBorder="1" applyAlignment="1" applyProtection="1">
      <alignment horizontal="right" vertical="center"/>
    </xf>
    <xf numFmtId="169" fontId="4" fillId="0" borderId="5" xfId="0" applyNumberFormat="1" applyFont="1" applyFill="1" applyBorder="1" applyAlignment="1" applyProtection="1">
      <alignment horizontal="right" vertical="center"/>
    </xf>
    <xf numFmtId="169" fontId="4" fillId="0" borderId="19" xfId="0" applyNumberFormat="1" applyFont="1" applyFill="1" applyBorder="1" applyAlignment="1" applyProtection="1">
      <alignment horizontal="right" vertical="center"/>
    </xf>
    <xf numFmtId="0" fontId="33" fillId="13" borderId="37" xfId="2" applyFont="1" applyFill="1" applyBorder="1" applyAlignment="1" applyProtection="1">
      <alignment horizontal="center" vertical="center"/>
    </xf>
    <xf numFmtId="0" fontId="33" fillId="13" borderId="38" xfId="2" applyFont="1" applyFill="1" applyBorder="1" applyAlignment="1" applyProtection="1">
      <alignment horizontal="center" vertical="center"/>
    </xf>
    <xf numFmtId="0" fontId="33" fillId="13" borderId="39" xfId="2" applyFont="1" applyFill="1" applyBorder="1" applyAlignment="1" applyProtection="1">
      <alignment horizontal="center" vertical="center"/>
    </xf>
    <xf numFmtId="0" fontId="12" fillId="6" borderId="0" xfId="0" applyFont="1" applyFill="1" applyBorder="1" applyAlignment="1" applyProtection="1">
      <alignment horizontal="center" vertical="center" textRotation="90" wrapText="1"/>
    </xf>
    <xf numFmtId="0" fontId="12" fillId="6" borderId="6" xfId="0" applyFont="1" applyFill="1" applyBorder="1" applyAlignment="1" applyProtection="1">
      <alignment horizontal="center" vertical="center" textRotation="90" wrapText="1"/>
    </xf>
    <xf numFmtId="0" fontId="0" fillId="2" borderId="0" xfId="0" applyFill="1" applyAlignment="1" applyProtection="1">
      <alignment horizontal="left" vertical="center" shrinkToFit="1"/>
      <protection locked="0"/>
    </xf>
    <xf numFmtId="4" fontId="0" fillId="6" borderId="0" xfId="0" applyNumberFormat="1" applyFill="1" applyBorder="1" applyAlignment="1" applyProtection="1">
      <alignment horizontal="right" vertical="center" shrinkToFit="1"/>
    </xf>
    <xf numFmtId="4" fontId="7" fillId="25" borderId="6" xfId="0" applyNumberFormat="1" applyFont="1" applyFill="1" applyBorder="1" applyAlignment="1" applyProtection="1">
      <alignment horizontal="center" vertical="center" shrinkToFit="1"/>
      <protection locked="0"/>
    </xf>
    <xf numFmtId="169" fontId="2" fillId="40" borderId="15" xfId="0" applyNumberFormat="1" applyFont="1" applyFill="1" applyBorder="1" applyAlignment="1" applyProtection="1">
      <alignment horizontal="center" vertical="center" shrinkToFit="1"/>
    </xf>
    <xf numFmtId="169" fontId="2" fillId="40" borderId="16" xfId="0" applyNumberFormat="1" applyFont="1" applyFill="1" applyBorder="1" applyAlignment="1" applyProtection="1">
      <alignment horizontal="center" vertical="center" shrinkToFit="1"/>
    </xf>
    <xf numFmtId="169" fontId="2" fillId="40" borderId="48" xfId="0" applyNumberFormat="1" applyFont="1" applyFill="1" applyBorder="1" applyAlignment="1" applyProtection="1">
      <alignment horizontal="center" vertical="center" shrinkToFit="1"/>
    </xf>
    <xf numFmtId="1" fontId="2" fillId="6" borderId="6" xfId="0" applyNumberFormat="1" applyFont="1" applyFill="1" applyBorder="1" applyAlignment="1" applyProtection="1">
      <alignment horizontal="center" vertical="center"/>
    </xf>
    <xf numFmtId="169" fontId="2" fillId="26" borderId="0" xfId="0" applyNumberFormat="1" applyFont="1" applyFill="1" applyAlignment="1" applyProtection="1">
      <alignment horizontal="right" vertical="center" shrinkToFit="1"/>
    </xf>
    <xf numFmtId="0" fontId="0" fillId="6" borderId="0" xfId="0" applyFill="1" applyAlignment="1" applyProtection="1">
      <alignment horizontal="right" vertical="center" indent="1"/>
    </xf>
    <xf numFmtId="169" fontId="2" fillId="3" borderId="2" xfId="0" applyNumberFormat="1" applyFont="1" applyFill="1" applyBorder="1" applyAlignment="1" applyProtection="1">
      <alignment horizontal="right" vertical="center" shrinkToFit="1"/>
    </xf>
    <xf numFmtId="0" fontId="2" fillId="3" borderId="2" xfId="0" applyFont="1" applyFill="1" applyBorder="1" applyAlignment="1" applyProtection="1">
      <alignment horizontal="right" vertical="center" shrinkToFit="1"/>
    </xf>
    <xf numFmtId="218" fontId="0" fillId="23" borderId="0" xfId="0" applyNumberFormat="1" applyFill="1" applyAlignment="1" applyProtection="1">
      <alignment horizontal="left" vertical="center"/>
    </xf>
    <xf numFmtId="0" fontId="112" fillId="21" borderId="0" xfId="0" applyFont="1" applyFill="1" applyAlignment="1" applyProtection="1">
      <alignment horizontal="left" vertical="center" wrapText="1" indent="1"/>
    </xf>
    <xf numFmtId="176" fontId="0" fillId="0" borderId="150" xfId="0" applyNumberFormat="1" applyBorder="1" applyAlignment="1" applyProtection="1">
      <alignment horizontal="right" vertical="center"/>
    </xf>
    <xf numFmtId="176" fontId="0" fillId="0" borderId="151" xfId="0" applyNumberFormat="1" applyBorder="1" applyAlignment="1" applyProtection="1">
      <alignment horizontal="right" vertical="center"/>
    </xf>
    <xf numFmtId="176" fontId="0" fillId="0" borderId="56" xfId="0" applyNumberFormat="1" applyBorder="1" applyAlignment="1" applyProtection="1">
      <alignment horizontal="right" vertical="center"/>
    </xf>
    <xf numFmtId="167" fontId="0" fillId="0" borderId="15" xfId="0" applyNumberFormat="1" applyBorder="1" applyAlignment="1" applyProtection="1">
      <alignment horizontal="right" vertical="center"/>
    </xf>
    <xf numFmtId="167" fontId="0" fillId="0" borderId="16" xfId="0" applyNumberFormat="1" applyBorder="1" applyAlignment="1" applyProtection="1">
      <alignment horizontal="right" vertical="center"/>
    </xf>
    <xf numFmtId="167" fontId="0" fillId="0" borderId="48" xfId="0" applyNumberFormat="1" applyBorder="1" applyAlignment="1" applyProtection="1">
      <alignment horizontal="right" vertical="center"/>
    </xf>
    <xf numFmtId="176" fontId="0" fillId="0" borderId="15" xfId="0" applyNumberFormat="1" applyBorder="1" applyAlignment="1" applyProtection="1">
      <alignment horizontal="right" vertical="center"/>
    </xf>
    <xf numFmtId="176" fontId="0" fillId="0" borderId="16" xfId="0" applyNumberFormat="1" applyBorder="1" applyAlignment="1" applyProtection="1">
      <alignment horizontal="right" vertical="center"/>
    </xf>
    <xf numFmtId="176" fontId="0" fillId="0" borderId="48" xfId="0" applyNumberFormat="1" applyBorder="1" applyAlignment="1" applyProtection="1">
      <alignment horizontal="right" vertical="center"/>
    </xf>
    <xf numFmtId="167" fontId="0" fillId="0" borderId="57" xfId="0" applyNumberFormat="1" applyBorder="1" applyAlignment="1" applyProtection="1">
      <alignment horizontal="right" vertical="center"/>
    </xf>
    <xf numFmtId="167" fontId="0" fillId="0" borderId="17" xfId="0" applyNumberFormat="1" applyBorder="1" applyAlignment="1" applyProtection="1">
      <alignment horizontal="right" vertical="center"/>
    </xf>
    <xf numFmtId="167" fontId="0" fillId="0" borderId="150" xfId="0" applyNumberFormat="1" applyBorder="1" applyAlignment="1" applyProtection="1">
      <alignment horizontal="right" vertical="center"/>
    </xf>
    <xf numFmtId="167" fontId="0" fillId="0" borderId="151" xfId="0" applyNumberFormat="1" applyBorder="1" applyAlignment="1" applyProtection="1">
      <alignment horizontal="right" vertical="center"/>
    </xf>
    <xf numFmtId="167" fontId="0" fillId="0" borderId="56" xfId="0" applyNumberFormat="1" applyBorder="1" applyAlignment="1" applyProtection="1">
      <alignment horizontal="right" vertical="center"/>
    </xf>
    <xf numFmtId="167" fontId="0" fillId="0" borderId="152" xfId="0" applyNumberFormat="1" applyBorder="1" applyAlignment="1" applyProtection="1">
      <alignment horizontal="right" vertical="center"/>
    </xf>
    <xf numFmtId="167" fontId="0" fillId="0" borderId="113" xfId="0" applyNumberFormat="1" applyBorder="1" applyAlignment="1" applyProtection="1">
      <alignment horizontal="right" vertical="center"/>
    </xf>
    <xf numFmtId="167" fontId="0" fillId="0" borderId="153" xfId="0" applyNumberFormat="1" applyBorder="1" applyAlignment="1" applyProtection="1">
      <alignment horizontal="right" vertical="center"/>
    </xf>
    <xf numFmtId="167" fontId="0" fillId="0" borderId="35" xfId="0" applyNumberFormat="1" applyBorder="1" applyAlignment="1" applyProtection="1">
      <alignment horizontal="right" vertical="center"/>
    </xf>
    <xf numFmtId="167" fontId="0" fillId="0" borderId="6" xfId="0" applyNumberFormat="1" applyBorder="1" applyAlignment="1" applyProtection="1">
      <alignment horizontal="right" vertical="center"/>
    </xf>
    <xf numFmtId="167" fontId="0" fillId="0" borderId="20" xfId="0" applyNumberFormat="1" applyBorder="1" applyAlignment="1" applyProtection="1">
      <alignment horizontal="right" vertical="center"/>
    </xf>
    <xf numFmtId="0" fontId="11" fillId="6" borderId="15" xfId="0" applyFont="1" applyFill="1" applyBorder="1" applyAlignment="1">
      <alignment horizontal="center" vertical="center"/>
    </xf>
    <xf numFmtId="0" fontId="11" fillId="6" borderId="16" xfId="0" applyFont="1" applyFill="1" applyBorder="1" applyAlignment="1">
      <alignment horizontal="center" vertical="center"/>
    </xf>
    <xf numFmtId="0" fontId="11" fillId="6" borderId="48" xfId="0" applyFont="1" applyFill="1" applyBorder="1" applyAlignment="1">
      <alignment horizontal="center" vertical="center"/>
    </xf>
    <xf numFmtId="0" fontId="10" fillId="0" borderId="78" xfId="0" applyFont="1" applyBorder="1" applyAlignment="1">
      <alignment horizontal="center" vertical="center"/>
    </xf>
    <xf numFmtId="0" fontId="10" fillId="6" borderId="154" xfId="0" applyFont="1" applyFill="1" applyBorder="1" applyAlignment="1" applyProtection="1">
      <alignment horizontal="center" vertical="center"/>
    </xf>
    <xf numFmtId="0" fontId="10" fillId="6" borderId="159" xfId="0" applyFont="1" applyFill="1" applyBorder="1" applyAlignment="1" applyProtection="1">
      <alignment horizontal="center" vertical="center"/>
    </xf>
    <xf numFmtId="2" fontId="0" fillId="2" borderId="16" xfId="0" applyNumberFormat="1" applyFill="1" applyBorder="1" applyAlignment="1" applyProtection="1">
      <alignment horizontal="right" vertical="center" shrinkToFit="1"/>
      <protection locked="0"/>
    </xf>
    <xf numFmtId="0" fontId="10" fillId="6" borderId="145" xfId="0" applyFont="1" applyFill="1" applyBorder="1" applyAlignment="1" applyProtection="1">
      <alignment horizontal="center" vertical="center"/>
    </xf>
    <xf numFmtId="0" fontId="10" fillId="0" borderId="80" xfId="0" applyFont="1" applyBorder="1" applyAlignment="1">
      <alignment horizontal="center" vertical="center"/>
    </xf>
    <xf numFmtId="0" fontId="0" fillId="0" borderId="99" xfId="0" applyBorder="1" applyAlignment="1" applyProtection="1">
      <alignment horizontal="center" vertical="center"/>
    </xf>
    <xf numFmtId="0" fontId="0" fillId="0" borderId="133" xfId="0" applyBorder="1" applyAlignment="1" applyProtection="1">
      <alignment horizontal="center" vertical="center"/>
    </xf>
    <xf numFmtId="0" fontId="0" fillId="0" borderId="100" xfId="0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right" vertical="center"/>
    </xf>
    <xf numFmtId="0" fontId="0" fillId="0" borderId="0" xfId="0" applyBorder="1" applyAlignment="1">
      <alignment horizontal="left" vertical="center"/>
    </xf>
    <xf numFmtId="0" fontId="10" fillId="6" borderId="144" xfId="0" applyFont="1" applyFill="1" applyBorder="1" applyAlignment="1" applyProtection="1">
      <alignment horizontal="center" vertical="center"/>
    </xf>
    <xf numFmtId="0" fontId="10" fillId="0" borderId="77" xfId="0" applyFont="1" applyBorder="1" applyAlignment="1">
      <alignment horizontal="center" vertical="center"/>
    </xf>
    <xf numFmtId="169" fontId="0" fillId="0" borderId="6" xfId="0" applyNumberFormat="1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 textRotation="90"/>
    </xf>
    <xf numFmtId="0" fontId="8" fillId="0" borderId="6" xfId="0" applyFont="1" applyBorder="1" applyAlignment="1" applyProtection="1">
      <alignment horizontal="center" vertical="center" textRotation="90"/>
    </xf>
    <xf numFmtId="169" fontId="6" fillId="0" borderId="0" xfId="0" applyNumberFormat="1" applyFont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0" fillId="0" borderId="5" xfId="0" applyBorder="1"/>
    <xf numFmtId="0" fontId="0" fillId="0" borderId="19" xfId="0" applyBorder="1"/>
    <xf numFmtId="0" fontId="0" fillId="0" borderId="1" xfId="0" applyBorder="1"/>
    <xf numFmtId="0" fontId="0" fillId="0" borderId="0" xfId="0" applyBorder="1"/>
    <xf numFmtId="0" fontId="0" fillId="0" borderId="3" xfId="0" applyBorder="1"/>
    <xf numFmtId="0" fontId="0" fillId="0" borderId="35" xfId="0" applyBorder="1"/>
    <xf numFmtId="0" fontId="0" fillId="0" borderId="6" xfId="0" applyBorder="1"/>
    <xf numFmtId="0" fontId="0" fillId="0" borderId="20" xfId="0" applyBorder="1"/>
    <xf numFmtId="0" fontId="10" fillId="0" borderId="4" xfId="0" applyFont="1" applyBorder="1" applyAlignment="1">
      <alignment horizontal="left" vertical="center" wrapText="1" indent="1"/>
    </xf>
    <xf numFmtId="0" fontId="10" fillId="0" borderId="5" xfId="0" applyFont="1" applyBorder="1" applyAlignment="1">
      <alignment horizontal="left" vertical="center" wrapText="1" indent="1"/>
    </xf>
    <xf numFmtId="0" fontId="10" fillId="0" borderId="19" xfId="0" applyFont="1" applyBorder="1" applyAlignment="1">
      <alignment horizontal="left" vertical="center" wrapText="1" indent="1"/>
    </xf>
    <xf numFmtId="0" fontId="10" fillId="0" borderId="1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horizontal="left" vertical="center" wrapText="1" indent="1"/>
    </xf>
    <xf numFmtId="0" fontId="10" fillId="0" borderId="3" xfId="0" applyFont="1" applyBorder="1" applyAlignment="1">
      <alignment horizontal="left" vertical="center" wrapText="1" indent="1"/>
    </xf>
    <xf numFmtId="197" fontId="2" fillId="6" borderId="154" xfId="0" applyNumberFormat="1" applyFont="1" applyFill="1" applyBorder="1" applyAlignment="1" applyProtection="1">
      <alignment horizontal="right" vertical="center" shrinkToFit="1"/>
    </xf>
    <xf numFmtId="0" fontId="9" fillId="23" borderId="0" xfId="0" applyFont="1" applyFill="1" applyBorder="1" applyAlignment="1" applyProtection="1">
      <alignment horizontal="center" vertical="center"/>
    </xf>
    <xf numFmtId="176" fontId="0" fillId="25" borderId="15" xfId="0" applyNumberFormat="1" applyFill="1" applyBorder="1" applyAlignment="1" applyProtection="1">
      <alignment horizontal="right" vertical="center"/>
    </xf>
    <xf numFmtId="176" fontId="0" fillId="25" borderId="16" xfId="0" applyNumberFormat="1" applyFill="1" applyBorder="1" applyAlignment="1" applyProtection="1">
      <alignment horizontal="right" vertical="center"/>
    </xf>
    <xf numFmtId="176" fontId="0" fillId="25" borderId="48" xfId="0" applyNumberFormat="1" applyFill="1" applyBorder="1" applyAlignment="1" applyProtection="1">
      <alignment horizontal="right" vertical="center"/>
    </xf>
    <xf numFmtId="176" fontId="0" fillId="25" borderId="150" xfId="0" applyNumberFormat="1" applyFill="1" applyBorder="1" applyAlignment="1" applyProtection="1">
      <alignment horizontal="right" vertical="center"/>
    </xf>
    <xf numFmtId="176" fontId="0" fillId="25" borderId="151" xfId="0" applyNumberFormat="1" applyFill="1" applyBorder="1" applyAlignment="1" applyProtection="1">
      <alignment horizontal="right" vertical="center"/>
    </xf>
    <xf numFmtId="176" fontId="0" fillId="25" borderId="56" xfId="0" applyNumberFormat="1" applyFill="1" applyBorder="1" applyAlignment="1" applyProtection="1">
      <alignment horizontal="right" vertical="center"/>
    </xf>
    <xf numFmtId="176" fontId="0" fillId="41" borderId="15" xfId="0" applyNumberFormat="1" applyFill="1" applyBorder="1" applyAlignment="1" applyProtection="1">
      <alignment horizontal="right" vertical="center"/>
    </xf>
    <xf numFmtId="176" fontId="0" fillId="41" borderId="16" xfId="0" applyNumberFormat="1" applyFill="1" applyBorder="1" applyAlignment="1" applyProtection="1">
      <alignment horizontal="right" vertical="center"/>
    </xf>
    <xf numFmtId="176" fontId="0" fillId="41" borderId="48" xfId="0" applyNumberFormat="1" applyFill="1" applyBorder="1" applyAlignment="1" applyProtection="1">
      <alignment horizontal="right" vertical="center"/>
    </xf>
    <xf numFmtId="0" fontId="4" fillId="16" borderId="99" xfId="0" applyFont="1" applyFill="1" applyBorder="1" applyAlignment="1" applyProtection="1">
      <alignment horizontal="center" vertical="center"/>
    </xf>
    <xf numFmtId="0" fontId="0" fillId="16" borderId="133" xfId="0" applyFill="1" applyBorder="1" applyAlignment="1" applyProtection="1">
      <alignment horizontal="center" vertical="center"/>
    </xf>
    <xf numFmtId="0" fontId="0" fillId="16" borderId="100" xfId="0" applyFill="1" applyBorder="1" applyAlignment="1" applyProtection="1">
      <alignment horizontal="center" vertical="center"/>
    </xf>
    <xf numFmtId="209" fontId="0" fillId="0" borderId="99" xfId="0" applyNumberFormat="1" applyBorder="1" applyAlignment="1" applyProtection="1">
      <alignment horizontal="center" vertical="center" shrinkToFit="1"/>
    </xf>
    <xf numFmtId="209" fontId="0" fillId="0" borderId="133" xfId="0" applyNumberFormat="1" applyBorder="1" applyAlignment="1" applyProtection="1">
      <alignment horizontal="center" vertical="center" shrinkToFit="1"/>
    </xf>
    <xf numFmtId="209" fontId="0" fillId="0" borderId="100" xfId="0" applyNumberFormat="1" applyBorder="1" applyAlignment="1" applyProtection="1">
      <alignment horizontal="center" vertical="center" shrinkToFit="1"/>
    </xf>
    <xf numFmtId="175" fontId="0" fillId="0" borderId="15" xfId="0" applyNumberFormat="1" applyBorder="1" applyAlignment="1" applyProtection="1">
      <alignment horizontal="right" vertical="center"/>
    </xf>
    <xf numFmtId="175" fontId="0" fillId="0" borderId="16" xfId="0" applyNumberFormat="1" applyBorder="1" applyAlignment="1" applyProtection="1">
      <alignment horizontal="right" vertical="center"/>
    </xf>
    <xf numFmtId="175" fontId="0" fillId="0" borderId="48" xfId="0" applyNumberFormat="1" applyBorder="1" applyAlignment="1" applyProtection="1">
      <alignment horizontal="right" vertical="center"/>
    </xf>
    <xf numFmtId="175" fontId="0" fillId="0" borderId="150" xfId="0" applyNumberFormat="1" applyBorder="1" applyAlignment="1" applyProtection="1">
      <alignment horizontal="right" vertical="center"/>
    </xf>
    <xf numFmtId="175" fontId="0" fillId="0" borderId="151" xfId="0" applyNumberFormat="1" applyBorder="1" applyAlignment="1" applyProtection="1">
      <alignment horizontal="right" vertical="center"/>
    </xf>
    <xf numFmtId="175" fontId="0" fillId="0" borderId="56" xfId="0" applyNumberFormat="1" applyBorder="1" applyAlignment="1" applyProtection="1">
      <alignment horizontal="right" vertical="center"/>
    </xf>
    <xf numFmtId="169" fontId="0" fillId="0" borderId="15" xfId="0" applyNumberFormat="1" applyBorder="1" applyAlignment="1" applyProtection="1">
      <alignment horizontal="right" vertical="center"/>
    </xf>
    <xf numFmtId="169" fontId="0" fillId="0" borderId="16" xfId="0" applyNumberFormat="1" applyBorder="1" applyAlignment="1" applyProtection="1">
      <alignment horizontal="right" vertical="center"/>
    </xf>
    <xf numFmtId="169" fontId="0" fillId="0" borderId="48" xfId="0" applyNumberFormat="1" applyBorder="1" applyAlignment="1" applyProtection="1">
      <alignment horizontal="right" vertical="center"/>
    </xf>
    <xf numFmtId="0" fontId="0" fillId="12" borderId="99" xfId="0" applyFill="1" applyBorder="1" applyAlignment="1" applyProtection="1">
      <alignment horizontal="center" vertical="center"/>
    </xf>
    <xf numFmtId="0" fontId="0" fillId="12" borderId="133" xfId="0" applyFill="1" applyBorder="1" applyAlignment="1" applyProtection="1">
      <alignment horizontal="center" vertical="center"/>
    </xf>
    <xf numFmtId="0" fontId="0" fillId="12" borderId="100" xfId="0" applyFill="1" applyBorder="1" applyAlignment="1" applyProtection="1">
      <alignment horizontal="center" vertical="center"/>
    </xf>
    <xf numFmtId="169" fontId="0" fillId="0" borderId="150" xfId="0" applyNumberFormat="1" applyBorder="1" applyAlignment="1" applyProtection="1">
      <alignment horizontal="right" vertical="center"/>
    </xf>
    <xf numFmtId="169" fontId="0" fillId="0" borderId="151" xfId="0" applyNumberFormat="1" applyBorder="1" applyAlignment="1" applyProtection="1">
      <alignment horizontal="right" vertical="center"/>
    </xf>
    <xf numFmtId="169" fontId="0" fillId="0" borderId="56" xfId="0" applyNumberFormat="1" applyBorder="1" applyAlignment="1" applyProtection="1">
      <alignment horizontal="right" vertical="center"/>
    </xf>
    <xf numFmtId="0" fontId="0" fillId="16" borderId="99" xfId="0" applyFill="1" applyBorder="1" applyAlignment="1" applyProtection="1">
      <alignment horizontal="center" vertical="center"/>
    </xf>
    <xf numFmtId="221" fontId="4" fillId="25" borderId="6" xfId="0" applyNumberFormat="1" applyFont="1" applyFill="1" applyBorder="1" applyAlignment="1" applyProtection="1">
      <alignment horizontal="right" vertical="center" shrinkToFit="1"/>
      <protection locked="0"/>
    </xf>
    <xf numFmtId="0" fontId="4" fillId="2" borderId="2" xfId="0" applyFont="1" applyFill="1" applyBorder="1" applyAlignment="1" applyProtection="1">
      <alignment horizontal="left" vertical="center"/>
      <protection locked="0"/>
    </xf>
    <xf numFmtId="217" fontId="2" fillId="7" borderId="16" xfId="0" applyNumberFormat="1" applyFont="1" applyFill="1" applyBorder="1" applyAlignment="1" applyProtection="1">
      <alignment horizontal="right" shrinkToFit="1"/>
    </xf>
    <xf numFmtId="0" fontId="0" fillId="7" borderId="16" xfId="0" applyFill="1" applyBorder="1" applyAlignment="1" applyProtection="1">
      <alignment horizontal="left" shrinkToFit="1"/>
    </xf>
    <xf numFmtId="0" fontId="0" fillId="0" borderId="16" xfId="0" applyBorder="1" applyAlignment="1">
      <alignment horizontal="left" shrinkToFit="1"/>
    </xf>
    <xf numFmtId="191" fontId="0" fillId="18" borderId="1" xfId="0" applyNumberFormat="1" applyFill="1" applyBorder="1" applyAlignment="1" applyProtection="1">
      <alignment horizontal="right" vertical="center" shrinkToFit="1"/>
      <protection locked="0"/>
    </xf>
    <xf numFmtId="191" fontId="0" fillId="18" borderId="3" xfId="0" applyNumberFormat="1" applyFill="1" applyBorder="1" applyAlignment="1" applyProtection="1">
      <alignment horizontal="right" vertical="center" shrinkToFit="1"/>
      <protection locked="0"/>
    </xf>
    <xf numFmtId="220" fontId="8" fillId="6" borderId="0" xfId="0" applyNumberFormat="1" applyFont="1" applyFill="1" applyAlignment="1" applyProtection="1">
      <alignment horizontal="left" vertical="center"/>
    </xf>
    <xf numFmtId="220" fontId="8" fillId="6" borderId="3" xfId="0" applyNumberFormat="1" applyFont="1" applyFill="1" applyBorder="1" applyAlignment="1" applyProtection="1">
      <alignment horizontal="left" vertical="center"/>
    </xf>
    <xf numFmtId="191" fontId="0" fillId="18" borderId="52" xfId="0" applyNumberFormat="1" applyFill="1" applyBorder="1" applyAlignment="1" applyProtection="1">
      <alignment horizontal="right" vertical="center" shrinkToFit="1"/>
      <protection locked="0"/>
    </xf>
    <xf numFmtId="191" fontId="0" fillId="18" borderId="111" xfId="0" applyNumberFormat="1" applyFill="1" applyBorder="1" applyAlignment="1" applyProtection="1">
      <alignment horizontal="right" vertical="center" shrinkToFit="1"/>
      <protection locked="0"/>
    </xf>
    <xf numFmtId="182" fontId="2" fillId="25" borderId="15" xfId="0" applyNumberFormat="1" applyFont="1" applyFill="1" applyBorder="1" applyAlignment="1" applyProtection="1">
      <alignment horizontal="left" vertical="center" shrinkToFit="1"/>
    </xf>
    <xf numFmtId="182" fontId="2" fillId="25" borderId="16" xfId="0" applyNumberFormat="1" applyFont="1" applyFill="1" applyBorder="1" applyAlignment="1" applyProtection="1">
      <alignment horizontal="left" vertical="center" shrinkToFit="1"/>
    </xf>
    <xf numFmtId="182" fontId="2" fillId="25" borderId="48" xfId="0" applyNumberFormat="1" applyFont="1" applyFill="1" applyBorder="1" applyAlignment="1" applyProtection="1">
      <alignment horizontal="left" vertical="center" shrinkToFit="1"/>
    </xf>
    <xf numFmtId="169" fontId="68" fillId="2" borderId="6" xfId="0" applyNumberFormat="1" applyFont="1" applyFill="1" applyBorder="1" applyAlignment="1" applyProtection="1">
      <alignment horizontal="right" vertical="center" shrinkToFit="1"/>
      <protection locked="0"/>
    </xf>
    <xf numFmtId="169" fontId="2" fillId="21" borderId="15" xfId="0" applyNumberFormat="1" applyFont="1" applyFill="1" applyBorder="1" applyAlignment="1" applyProtection="1">
      <alignment horizontal="right" vertical="center" shrinkToFit="1"/>
    </xf>
    <xf numFmtId="169" fontId="2" fillId="21" borderId="16" xfId="0" applyNumberFormat="1" applyFont="1" applyFill="1" applyBorder="1" applyAlignment="1" applyProtection="1">
      <alignment horizontal="right" vertical="center" shrinkToFit="1"/>
    </xf>
    <xf numFmtId="169" fontId="2" fillId="21" borderId="48" xfId="0" applyNumberFormat="1" applyFont="1" applyFill="1" applyBorder="1" applyAlignment="1" applyProtection="1">
      <alignment horizontal="right" vertical="center" shrinkToFit="1"/>
    </xf>
    <xf numFmtId="170" fontId="0" fillId="2" borderId="52" xfId="0" applyNumberFormat="1" applyFill="1" applyBorder="1" applyAlignment="1" applyProtection="1">
      <alignment horizontal="right" vertical="center" shrinkToFit="1"/>
      <protection locked="0"/>
    </xf>
    <xf numFmtId="170" fontId="0" fillId="2" borderId="111" xfId="0" applyNumberFormat="1" applyFill="1" applyBorder="1" applyAlignment="1" applyProtection="1">
      <alignment horizontal="right" vertical="center" shrinkToFit="1"/>
      <protection locked="0"/>
    </xf>
    <xf numFmtId="169" fontId="9" fillId="6" borderId="0" xfId="0" applyNumberFormat="1" applyFont="1" applyFill="1" applyBorder="1" applyAlignment="1" applyProtection="1">
      <alignment horizontal="center" vertical="center" wrapText="1"/>
    </xf>
    <xf numFmtId="2" fontId="8" fillId="6" borderId="2" xfId="0" applyNumberFormat="1" applyFont="1" applyFill="1" applyBorder="1" applyAlignment="1" applyProtection="1">
      <alignment horizontal="center" vertical="center" shrinkToFit="1"/>
    </xf>
    <xf numFmtId="169" fontId="2" fillId="3" borderId="46" xfId="0" applyNumberFormat="1" applyFont="1" applyFill="1" applyBorder="1" applyAlignment="1" applyProtection="1">
      <alignment horizontal="right" vertical="center" shrinkToFit="1"/>
    </xf>
    <xf numFmtId="0" fontId="2" fillId="3" borderId="46" xfId="0" applyFont="1" applyFill="1" applyBorder="1" applyAlignment="1" applyProtection="1">
      <alignment horizontal="right" vertical="center" shrinkToFit="1"/>
    </xf>
    <xf numFmtId="0" fontId="61" fillId="6" borderId="0" xfId="0" applyFont="1" applyFill="1" applyAlignment="1" applyProtection="1">
      <alignment horizontal="center" vertical="center"/>
    </xf>
    <xf numFmtId="0" fontId="10" fillId="6" borderId="0" xfId="0" applyFont="1" applyFill="1" applyBorder="1" applyAlignment="1" applyProtection="1">
      <alignment horizontal="left" vertical="center"/>
    </xf>
    <xf numFmtId="0" fontId="11" fillId="21" borderId="0" xfId="0" applyFont="1" applyFill="1" applyAlignment="1" applyProtection="1">
      <alignment horizontal="left" vertical="center" wrapText="1" indent="1"/>
    </xf>
    <xf numFmtId="0" fontId="0" fillId="0" borderId="0" xfId="0" applyAlignment="1" applyProtection="1">
      <alignment horizontal="center" vertical="center" textRotation="90"/>
    </xf>
    <xf numFmtId="0" fontId="0" fillId="0" borderId="6" xfId="0" applyBorder="1" applyAlignment="1" applyProtection="1">
      <alignment horizontal="center" vertical="center" textRotation="90"/>
    </xf>
    <xf numFmtId="219" fontId="0" fillId="25" borderId="0" xfId="0" applyNumberFormat="1" applyFill="1" applyAlignment="1">
      <alignment horizontal="right"/>
    </xf>
    <xf numFmtId="176" fontId="0" fillId="0" borderId="152" xfId="0" applyNumberFormat="1" applyBorder="1" applyAlignment="1" applyProtection="1">
      <alignment horizontal="right" vertical="center"/>
    </xf>
    <xf numFmtId="176" fontId="0" fillId="0" borderId="113" xfId="0" applyNumberFormat="1" applyBorder="1" applyAlignment="1" applyProtection="1">
      <alignment horizontal="right" vertical="center"/>
    </xf>
    <xf numFmtId="176" fontId="0" fillId="0" borderId="153" xfId="0" applyNumberFormat="1" applyBorder="1" applyAlignment="1" applyProtection="1">
      <alignment horizontal="right" vertical="center"/>
    </xf>
    <xf numFmtId="2" fontId="8" fillId="2" borderId="2" xfId="0" applyNumberFormat="1" applyFont="1" applyFill="1" applyBorder="1" applyAlignment="1" applyProtection="1">
      <alignment horizontal="center" vertical="center" shrinkToFit="1"/>
      <protection locked="0"/>
    </xf>
    <xf numFmtId="169" fontId="4" fillId="6" borderId="0" xfId="0" applyNumberFormat="1" applyFont="1" applyFill="1" applyBorder="1" applyAlignment="1" applyProtection="1">
      <alignment horizontal="right" vertical="center" shrinkToFit="1"/>
    </xf>
    <xf numFmtId="236" fontId="4" fillId="25" borderId="6" xfId="0" applyNumberFormat="1" applyFont="1" applyFill="1" applyBorder="1" applyAlignment="1" applyProtection="1">
      <alignment horizontal="right" vertical="center" shrinkToFit="1"/>
      <protection locked="0"/>
    </xf>
    <xf numFmtId="202" fontId="8" fillId="2" borderId="15" xfId="0" applyNumberFormat="1" applyFont="1" applyFill="1" applyBorder="1" applyAlignment="1" applyProtection="1">
      <alignment horizontal="center" vertical="center"/>
    </xf>
    <xf numFmtId="202" fontId="8" fillId="2" borderId="48" xfId="0" applyNumberFormat="1" applyFont="1" applyFill="1" applyBorder="1" applyAlignment="1" applyProtection="1">
      <alignment horizontal="center" vertical="center"/>
    </xf>
    <xf numFmtId="178" fontId="0" fillId="7" borderId="16" xfId="0" applyNumberFormat="1" applyFill="1" applyBorder="1" applyAlignment="1" applyProtection="1">
      <alignment horizontal="left" vertical="center" shrinkToFit="1"/>
    </xf>
    <xf numFmtId="169" fontId="2" fillId="3" borderId="0" xfId="0" applyNumberFormat="1" applyFont="1" applyFill="1" applyBorder="1" applyAlignment="1" applyProtection="1">
      <alignment horizontal="right" vertical="center" shrinkToFit="1"/>
    </xf>
    <xf numFmtId="237" fontId="8" fillId="6" borderId="0" xfId="0" applyNumberFormat="1" applyFont="1" applyFill="1" applyAlignment="1" applyProtection="1">
      <alignment horizontal="left" vertical="center" shrinkToFit="1"/>
    </xf>
    <xf numFmtId="2" fontId="30" fillId="2" borderId="16" xfId="0" applyNumberFormat="1" applyFont="1" applyFill="1" applyBorder="1" applyAlignment="1" applyProtection="1">
      <alignment horizontal="right" vertical="center" shrinkToFit="1"/>
      <protection locked="0"/>
    </xf>
    <xf numFmtId="169" fontId="2" fillId="3" borderId="16" xfId="0" applyNumberFormat="1" applyFont="1" applyFill="1" applyBorder="1" applyAlignment="1" applyProtection="1">
      <alignment horizontal="right" vertical="center" shrinkToFit="1"/>
    </xf>
    <xf numFmtId="3" fontId="0" fillId="0" borderId="17" xfId="0" applyNumberFormat="1" applyBorder="1" applyAlignment="1" applyProtection="1">
      <alignment horizontal="center" vertical="center" shrinkToFit="1"/>
    </xf>
    <xf numFmtId="3" fontId="0" fillId="0" borderId="0" xfId="0" applyNumberFormat="1" applyFill="1" applyBorder="1" applyAlignment="1" applyProtection="1">
      <alignment horizontal="center" vertical="center"/>
    </xf>
    <xf numFmtId="173" fontId="2" fillId="23" borderId="6" xfId="0" quotePrefix="1" applyNumberFormat="1" applyFont="1" applyFill="1" applyBorder="1" applyAlignment="1" applyProtection="1">
      <alignment horizontal="right" vertical="center"/>
    </xf>
    <xf numFmtId="173" fontId="2" fillId="23" borderId="6" xfId="0" applyNumberFormat="1" applyFont="1" applyFill="1" applyBorder="1" applyAlignment="1" applyProtection="1">
      <alignment horizontal="right" vertical="center"/>
    </xf>
    <xf numFmtId="203" fontId="92" fillId="0" borderId="0" xfId="0" applyNumberFormat="1" applyFont="1" applyBorder="1" applyAlignment="1">
      <alignment horizontal="center" vertical="center"/>
    </xf>
    <xf numFmtId="203" fontId="92" fillId="0" borderId="3" xfId="0" applyNumberFormat="1" applyFont="1" applyBorder="1" applyAlignment="1">
      <alignment horizontal="center" vertical="center"/>
    </xf>
    <xf numFmtId="214" fontId="0" fillId="0" borderId="0" xfId="0" applyNumberFormat="1" applyBorder="1" applyAlignment="1">
      <alignment horizontal="center" vertical="center"/>
    </xf>
    <xf numFmtId="214" fontId="0" fillId="0" borderId="3" xfId="0" applyNumberFormat="1" applyBorder="1" applyAlignment="1">
      <alignment horizontal="center" vertical="center"/>
    </xf>
    <xf numFmtId="3" fontId="0" fillId="9" borderId="0" xfId="0" applyNumberFormat="1" applyFill="1" applyBorder="1" applyAlignment="1" applyProtection="1">
      <alignment horizontal="right" vertical="center"/>
    </xf>
    <xf numFmtId="0" fontId="2" fillId="24" borderId="0" xfId="0" applyFont="1" applyFill="1" applyBorder="1" applyAlignment="1" applyProtection="1">
      <alignment horizontal="left" vertical="top" wrapText="1"/>
    </xf>
    <xf numFmtId="0" fontId="77" fillId="24" borderId="0" xfId="0" applyFont="1" applyFill="1" applyBorder="1" applyAlignment="1" applyProtection="1">
      <alignment horizontal="left" vertical="center" wrapText="1"/>
    </xf>
    <xf numFmtId="0" fontId="8" fillId="24" borderId="0" xfId="0" applyFont="1" applyFill="1" applyBorder="1" applyAlignment="1" applyProtection="1">
      <alignment horizontal="left" vertical="center" wrapText="1"/>
    </xf>
    <xf numFmtId="0" fontId="15" fillId="24" borderId="0" xfId="0" applyFont="1" applyFill="1" applyBorder="1" applyAlignment="1" applyProtection="1">
      <alignment horizontal="left" vertical="top" wrapText="1"/>
    </xf>
    <xf numFmtId="0" fontId="122" fillId="25" borderId="0" xfId="0" applyFont="1" applyFill="1" applyAlignment="1" applyProtection="1">
      <alignment horizontal="left" vertical="center" shrinkToFit="1"/>
    </xf>
    <xf numFmtId="0" fontId="90" fillId="6" borderId="0" xfId="0" applyFont="1" applyFill="1" applyAlignment="1" applyProtection="1">
      <alignment horizontal="center" vertical="center" shrinkToFit="1"/>
    </xf>
    <xf numFmtId="3" fontId="0" fillId="0" borderId="6" xfId="0" applyNumberFormat="1" applyFill="1" applyBorder="1" applyAlignment="1" applyProtection="1">
      <alignment horizontal="center" vertical="center"/>
    </xf>
    <xf numFmtId="0" fontId="81" fillId="36" borderId="138" xfId="2" applyFont="1" applyFill="1" applyBorder="1" applyAlignment="1" applyProtection="1">
      <alignment horizontal="center" vertical="center"/>
    </xf>
    <xf numFmtId="0" fontId="81" fillId="36" borderId="139" xfId="2" applyFont="1" applyFill="1" applyBorder="1" applyAlignment="1" applyProtection="1">
      <alignment horizontal="center" vertical="center"/>
    </xf>
    <xf numFmtId="0" fontId="81" fillId="36" borderId="140" xfId="2" applyFont="1" applyFill="1" applyBorder="1" applyAlignment="1" applyProtection="1">
      <alignment horizontal="center" vertical="center"/>
    </xf>
    <xf numFmtId="0" fontId="110" fillId="36" borderId="0" xfId="0" applyFont="1" applyFill="1" applyAlignment="1">
      <alignment horizontal="center" vertical="center"/>
    </xf>
    <xf numFmtId="0" fontId="85" fillId="36" borderId="99" xfId="0" applyFont="1" applyFill="1" applyBorder="1" applyAlignment="1">
      <alignment horizontal="center" vertical="center"/>
    </xf>
    <xf numFmtId="0" fontId="85" fillId="36" borderId="133" xfId="0" applyFont="1" applyFill="1" applyBorder="1" applyAlignment="1">
      <alignment horizontal="center" vertical="center"/>
    </xf>
    <xf numFmtId="0" fontId="85" fillId="36" borderId="100" xfId="0" applyFont="1" applyFill="1" applyBorder="1" applyAlignment="1">
      <alignment horizontal="center" vertical="center"/>
    </xf>
    <xf numFmtId="0" fontId="85" fillId="37" borderId="99" xfId="0" applyFont="1" applyFill="1" applyBorder="1" applyAlignment="1">
      <alignment horizontal="center" vertical="center"/>
    </xf>
    <xf numFmtId="0" fontId="85" fillId="37" borderId="133" xfId="0" applyFont="1" applyFill="1" applyBorder="1" applyAlignment="1">
      <alignment horizontal="center" vertical="center"/>
    </xf>
    <xf numFmtId="0" fontId="85" fillId="37" borderId="100" xfId="0" applyFont="1" applyFill="1" applyBorder="1" applyAlignment="1">
      <alignment horizontal="center" vertical="center"/>
    </xf>
    <xf numFmtId="0" fontId="111" fillId="39" borderId="202" xfId="2" applyFont="1" applyFill="1" applyBorder="1" applyAlignment="1" applyProtection="1">
      <alignment horizontal="center" vertical="center"/>
    </xf>
    <xf numFmtId="0" fontId="111" fillId="39" borderId="203" xfId="2" applyFont="1" applyFill="1" applyBorder="1" applyAlignment="1" applyProtection="1">
      <alignment horizontal="center" vertical="center"/>
    </xf>
    <xf numFmtId="0" fontId="85" fillId="23" borderId="99" xfId="0" applyFont="1" applyFill="1" applyBorder="1" applyAlignment="1">
      <alignment horizontal="center" vertical="center"/>
    </xf>
    <xf numFmtId="0" fontId="85" fillId="23" borderId="133" xfId="0" applyFont="1" applyFill="1" applyBorder="1" applyAlignment="1">
      <alignment horizontal="center" vertical="center"/>
    </xf>
    <xf numFmtId="0" fontId="85" fillId="23" borderId="100" xfId="0" applyFont="1" applyFill="1" applyBorder="1" applyAlignment="1">
      <alignment horizontal="center" vertical="center"/>
    </xf>
    <xf numFmtId="0" fontId="85" fillId="36" borderId="133" xfId="0" applyFont="1" applyFill="1" applyBorder="1" applyAlignment="1">
      <alignment horizontal="left" vertical="center" indent="2"/>
    </xf>
    <xf numFmtId="0" fontId="85" fillId="23" borderId="133" xfId="0" applyFont="1" applyFill="1" applyBorder="1" applyAlignment="1">
      <alignment horizontal="left" vertical="center" indent="2"/>
    </xf>
    <xf numFmtId="0" fontId="1" fillId="13" borderId="212" xfId="0" quotePrefix="1" applyFont="1" applyFill="1" applyBorder="1" applyAlignment="1">
      <alignment horizontal="center" shrinkToFit="1"/>
    </xf>
    <xf numFmtId="0" fontId="0" fillId="13" borderId="213" xfId="0" applyFill="1" applyBorder="1" applyAlignment="1">
      <alignment horizontal="center" shrinkToFit="1"/>
    </xf>
    <xf numFmtId="0" fontId="0" fillId="13" borderId="214" xfId="0" applyFill="1" applyBorder="1" applyAlignment="1">
      <alignment horizontal="center" shrinkToFit="1"/>
    </xf>
    <xf numFmtId="0" fontId="1" fillId="22" borderId="215" xfId="0" applyFont="1" applyFill="1" applyBorder="1" applyAlignment="1">
      <alignment horizontal="center" shrinkToFit="1"/>
    </xf>
    <xf numFmtId="0" fontId="4" fillId="22" borderId="213" xfId="0" applyFont="1" applyFill="1" applyBorder="1" applyAlignment="1">
      <alignment horizontal="center" shrinkToFit="1"/>
    </xf>
    <xf numFmtId="0" fontId="4" fillId="22" borderId="216" xfId="0" applyFont="1" applyFill="1" applyBorder="1" applyAlignment="1">
      <alignment horizontal="center" shrinkToFit="1"/>
    </xf>
    <xf numFmtId="0" fontId="0" fillId="2" borderId="88" xfId="0" applyFill="1" applyBorder="1" applyAlignment="1">
      <alignment horizontal="center" shrinkToFit="1"/>
    </xf>
    <xf numFmtId="0" fontId="0" fillId="2" borderId="61" xfId="0" applyFill="1" applyBorder="1" applyAlignment="1">
      <alignment horizontal="center" shrinkToFit="1"/>
    </xf>
    <xf numFmtId="0" fontId="0" fillId="2" borderId="89" xfId="0" applyFill="1" applyBorder="1" applyAlignment="1">
      <alignment horizontal="center" shrinkToFit="1"/>
    </xf>
    <xf numFmtId="0" fontId="10" fillId="7" borderId="106" xfId="0" applyFont="1" applyFill="1" applyBorder="1" applyAlignment="1">
      <alignment horizontal="center" textRotation="90"/>
    </xf>
    <xf numFmtId="0" fontId="10" fillId="7" borderId="108" xfId="0" applyFont="1" applyFill="1" applyBorder="1" applyAlignment="1">
      <alignment horizontal="center" textRotation="90"/>
    </xf>
    <xf numFmtId="0" fontId="10" fillId="7" borderId="234" xfId="0" applyFont="1" applyFill="1" applyBorder="1" applyAlignment="1">
      <alignment horizontal="center" textRotation="90"/>
    </xf>
    <xf numFmtId="0" fontId="10" fillId="7" borderId="235" xfId="0" applyFont="1" applyFill="1" applyBorder="1" applyAlignment="1">
      <alignment horizontal="center" textRotation="90"/>
    </xf>
    <xf numFmtId="0" fontId="10" fillId="7" borderId="59" xfId="0" applyFont="1" applyFill="1" applyBorder="1" applyAlignment="1">
      <alignment horizontal="center" textRotation="90"/>
    </xf>
    <xf numFmtId="0" fontId="10" fillId="7" borderId="233" xfId="0" applyFont="1" applyFill="1" applyBorder="1" applyAlignment="1">
      <alignment horizontal="center" textRotation="90"/>
    </xf>
    <xf numFmtId="0" fontId="0" fillId="2" borderId="213" xfId="0" applyFill="1" applyBorder="1" applyAlignment="1">
      <alignment horizontal="center" shrinkToFit="1"/>
    </xf>
    <xf numFmtId="0" fontId="0" fillId="2" borderId="220" xfId="0" applyFill="1" applyBorder="1" applyAlignment="1">
      <alignment horizontal="center" shrinkToFit="1"/>
    </xf>
    <xf numFmtId="0" fontId="0" fillId="8" borderId="221" xfId="0" applyFill="1" applyBorder="1" applyAlignment="1">
      <alignment horizontal="center" shrinkToFit="1"/>
    </xf>
    <xf numFmtId="0" fontId="0" fillId="8" borderId="213" xfId="0" applyFill="1" applyBorder="1" applyAlignment="1">
      <alignment horizontal="center" shrinkToFit="1"/>
    </xf>
    <xf numFmtId="0" fontId="0" fillId="8" borderId="220" xfId="0" applyFill="1" applyBorder="1" applyAlignment="1">
      <alignment horizontal="center" shrinkToFit="1"/>
    </xf>
    <xf numFmtId="0" fontId="1" fillId="12" borderId="212" xfId="0" applyFont="1" applyFill="1" applyBorder="1" applyAlignment="1">
      <alignment horizontal="center" shrinkToFit="1"/>
    </xf>
    <xf numFmtId="0" fontId="0" fillId="12" borderId="213" xfId="0" applyFill="1" applyBorder="1" applyAlignment="1">
      <alignment horizontal="center" shrinkToFit="1"/>
    </xf>
    <xf numFmtId="0" fontId="0" fillId="12" borderId="222" xfId="0" applyFill="1" applyBorder="1" applyAlignment="1">
      <alignment horizontal="center" shrinkToFit="1"/>
    </xf>
    <xf numFmtId="0" fontId="0" fillId="2" borderId="244" xfId="0" applyFill="1" applyBorder="1" applyAlignment="1">
      <alignment horizontal="center" shrinkToFit="1"/>
    </xf>
    <xf numFmtId="0" fontId="0" fillId="2" borderId="218" xfId="0" applyFill="1" applyBorder="1" applyAlignment="1">
      <alignment horizontal="center" shrinkToFit="1"/>
    </xf>
    <xf numFmtId="0" fontId="0" fillId="2" borderId="245" xfId="0" applyFill="1" applyBorder="1" applyAlignment="1">
      <alignment horizontal="center" shrinkToFit="1"/>
    </xf>
    <xf numFmtId="0" fontId="0" fillId="8" borderId="244" xfId="0" applyFill="1" applyBorder="1" applyAlignment="1">
      <alignment horizontal="center" shrinkToFit="1"/>
    </xf>
    <xf numFmtId="0" fontId="0" fillId="8" borderId="218" xfId="0" applyFill="1" applyBorder="1" applyAlignment="1">
      <alignment horizontal="center" shrinkToFit="1"/>
    </xf>
    <xf numFmtId="0" fontId="0" fillId="8" borderId="245" xfId="0" applyFill="1" applyBorder="1" applyAlignment="1">
      <alignment horizontal="center" shrinkToFit="1"/>
    </xf>
    <xf numFmtId="0" fontId="0" fillId="12" borderId="244" xfId="0" applyFill="1" applyBorder="1" applyAlignment="1">
      <alignment horizontal="center" shrinkToFit="1"/>
    </xf>
    <xf numFmtId="0" fontId="0" fillId="12" borderId="218" xfId="0" applyFill="1" applyBorder="1" applyAlignment="1">
      <alignment horizontal="center" shrinkToFit="1"/>
    </xf>
    <xf numFmtId="0" fontId="0" fillId="12" borderId="245" xfId="0" applyFill="1" applyBorder="1" applyAlignment="1">
      <alignment horizontal="center" shrinkToFit="1"/>
    </xf>
    <xf numFmtId="0" fontId="0" fillId="13" borderId="218" xfId="0" applyFill="1" applyBorder="1" applyAlignment="1">
      <alignment horizontal="center" shrinkToFit="1"/>
    </xf>
    <xf numFmtId="0" fontId="0" fillId="13" borderId="250" xfId="0" applyFill="1" applyBorder="1" applyAlignment="1">
      <alignment horizontal="center" shrinkToFit="1"/>
    </xf>
    <xf numFmtId="0" fontId="0" fillId="8" borderId="88" xfId="0" applyFill="1" applyBorder="1" applyAlignment="1">
      <alignment horizontal="center" shrinkToFit="1"/>
    </xf>
    <xf numFmtId="0" fontId="0" fillId="8" borderId="61" xfId="0" applyFill="1" applyBorder="1" applyAlignment="1">
      <alignment horizontal="center" shrinkToFit="1"/>
    </xf>
    <xf numFmtId="0" fontId="0" fillId="8" borderId="89" xfId="0" applyFill="1" applyBorder="1" applyAlignment="1">
      <alignment horizontal="center" shrinkToFit="1"/>
    </xf>
    <xf numFmtId="0" fontId="0" fillId="12" borderId="162" xfId="0" applyFill="1" applyBorder="1" applyAlignment="1">
      <alignment horizontal="center" shrinkToFit="1"/>
    </xf>
    <xf numFmtId="0" fontId="0" fillId="12" borderId="61" xfId="0" applyFill="1" applyBorder="1" applyAlignment="1">
      <alignment horizontal="center" shrinkToFit="1"/>
    </xf>
    <xf numFmtId="0" fontId="0" fillId="12" borderId="163" xfId="0" applyFill="1" applyBorder="1" applyAlignment="1">
      <alignment horizontal="center" shrinkToFit="1"/>
    </xf>
    <xf numFmtId="0" fontId="0" fillId="12" borderId="212" xfId="0" applyFill="1" applyBorder="1" applyAlignment="1">
      <alignment horizontal="center" shrinkToFit="1"/>
    </xf>
    <xf numFmtId="231" fontId="97" fillId="7" borderId="35" xfId="0" applyNumberFormat="1" applyFont="1" applyFill="1" applyBorder="1" applyAlignment="1">
      <alignment horizontal="center" vertical="center" shrinkToFit="1"/>
    </xf>
    <xf numFmtId="231" fontId="97" fillId="7" borderId="6" xfId="0" applyNumberFormat="1" applyFont="1" applyFill="1" applyBorder="1" applyAlignment="1">
      <alignment horizontal="center" vertical="center" shrinkToFit="1"/>
    </xf>
    <xf numFmtId="231" fontId="97" fillId="7" borderId="20" xfId="0" applyNumberFormat="1" applyFont="1" applyFill="1" applyBorder="1" applyAlignment="1">
      <alignment horizontal="center" vertical="center" shrinkToFit="1"/>
    </xf>
    <xf numFmtId="231" fontId="9" fillId="7" borderId="1" xfId="0" applyNumberFormat="1" applyFont="1" applyFill="1" applyBorder="1" applyAlignment="1">
      <alignment horizontal="center" vertical="center" shrinkToFit="1"/>
    </xf>
    <xf numFmtId="231" fontId="9" fillId="7" borderId="0" xfId="0" applyNumberFormat="1" applyFont="1" applyFill="1" applyBorder="1" applyAlignment="1">
      <alignment horizontal="center" vertical="center" shrinkToFit="1"/>
    </xf>
    <xf numFmtId="231" fontId="9" fillId="7" borderId="3" xfId="0" applyNumberFormat="1" applyFont="1" applyFill="1" applyBorder="1" applyAlignment="1">
      <alignment horizontal="center" vertical="center" shrinkToFit="1"/>
    </xf>
    <xf numFmtId="231" fontId="0" fillId="7" borderId="1" xfId="0" applyNumberFormat="1" applyFill="1" applyBorder="1" applyAlignment="1">
      <alignment horizontal="center" vertical="center" shrinkToFit="1"/>
    </xf>
    <xf numFmtId="231" fontId="0" fillId="7" borderId="0" xfId="0" applyNumberFormat="1" applyFill="1" applyBorder="1" applyAlignment="1">
      <alignment horizontal="center" vertical="center" shrinkToFit="1"/>
    </xf>
    <xf numFmtId="231" fontId="0" fillId="7" borderId="3" xfId="0" applyNumberFormat="1" applyFill="1" applyBorder="1" applyAlignment="1">
      <alignment horizontal="center" vertical="center" shrinkToFit="1"/>
    </xf>
    <xf numFmtId="231" fontId="4" fillId="7" borderId="35" xfId="0" quotePrefix="1" applyNumberFormat="1" applyFont="1" applyFill="1" applyBorder="1" applyAlignment="1">
      <alignment horizontal="center" vertical="center" shrinkToFit="1"/>
    </xf>
    <xf numFmtId="231" fontId="0" fillId="7" borderId="6" xfId="0" applyNumberFormat="1" applyFill="1" applyBorder="1" applyAlignment="1">
      <alignment horizontal="center" vertical="center" shrinkToFit="1"/>
    </xf>
    <xf numFmtId="231" fontId="0" fillId="7" borderId="20" xfId="0" applyNumberFormat="1" applyFill="1" applyBorder="1" applyAlignment="1">
      <alignment horizontal="center" vertical="center" shrinkToFit="1"/>
    </xf>
    <xf numFmtId="231" fontId="97" fillId="7" borderId="35" xfId="0" quotePrefix="1" applyNumberFormat="1" applyFont="1" applyFill="1" applyBorder="1" applyAlignment="1">
      <alignment horizontal="center" vertical="center" shrinkToFit="1"/>
    </xf>
    <xf numFmtId="231" fontId="97" fillId="7" borderId="6" xfId="0" quotePrefix="1" applyNumberFormat="1" applyFont="1" applyFill="1" applyBorder="1" applyAlignment="1">
      <alignment horizontal="center" vertical="center" shrinkToFit="1"/>
    </xf>
    <xf numFmtId="231" fontId="97" fillId="7" borderId="20" xfId="0" quotePrefix="1" applyNumberFormat="1" applyFont="1" applyFill="1" applyBorder="1" applyAlignment="1">
      <alignment horizontal="center" vertical="center" shrinkToFit="1"/>
    </xf>
    <xf numFmtId="231" fontId="4" fillId="7" borderId="6" xfId="0" quotePrefix="1" applyNumberFormat="1" applyFont="1" applyFill="1" applyBorder="1" applyAlignment="1">
      <alignment horizontal="center" vertical="center" shrinkToFit="1"/>
    </xf>
    <xf numFmtId="231" fontId="4" fillId="7" borderId="20" xfId="0" quotePrefix="1" applyNumberFormat="1" applyFont="1" applyFill="1" applyBorder="1" applyAlignment="1">
      <alignment horizontal="center" vertical="center" shrinkToFit="1"/>
    </xf>
    <xf numFmtId="231" fontId="98" fillId="7" borderId="35" xfId="0" applyNumberFormat="1" applyFont="1" applyFill="1" applyBorder="1" applyAlignment="1">
      <alignment horizontal="center" vertical="center" shrinkToFit="1"/>
    </xf>
    <xf numFmtId="231" fontId="98" fillId="7" borderId="6" xfId="0" applyNumberFormat="1" applyFont="1" applyFill="1" applyBorder="1" applyAlignment="1">
      <alignment horizontal="center" vertical="center" shrinkToFit="1"/>
    </xf>
    <xf numFmtId="231" fontId="98" fillId="7" borderId="20" xfId="0" applyNumberFormat="1" applyFont="1" applyFill="1" applyBorder="1" applyAlignment="1">
      <alignment horizontal="center" vertical="center" shrinkToFit="1"/>
    </xf>
    <xf numFmtId="231" fontId="0" fillId="7" borderId="35" xfId="0" applyNumberFormat="1" applyFill="1" applyBorder="1" applyAlignment="1">
      <alignment horizontal="center" vertical="center" shrinkToFit="1"/>
    </xf>
    <xf numFmtId="0" fontId="43" fillId="7" borderId="17" xfId="0" applyFont="1" applyFill="1" applyBorder="1" applyAlignment="1">
      <alignment horizontal="center" vertical="center" shrinkToFit="1"/>
    </xf>
    <xf numFmtId="231" fontId="0" fillId="7" borderId="4" xfId="0" applyNumberFormat="1" applyFill="1" applyBorder="1" applyAlignment="1">
      <alignment horizontal="center" vertical="center" shrinkToFit="1"/>
    </xf>
    <xf numFmtId="231" fontId="0" fillId="7" borderId="5" xfId="0" applyNumberFormat="1" applyFill="1" applyBorder="1" applyAlignment="1">
      <alignment horizontal="center" vertical="center" shrinkToFit="1"/>
    </xf>
    <xf numFmtId="231" fontId="0" fillId="7" borderId="19" xfId="0" applyNumberFormat="1" applyFill="1" applyBorder="1" applyAlignment="1">
      <alignment horizontal="center" vertical="center" shrinkToFit="1"/>
    </xf>
    <xf numFmtId="231" fontId="98" fillId="7" borderId="1" xfId="0" applyNumberFormat="1" applyFont="1" applyFill="1" applyBorder="1" applyAlignment="1">
      <alignment horizontal="center" vertical="center" shrinkToFit="1"/>
    </xf>
    <xf numFmtId="231" fontId="98" fillId="7" borderId="0" xfId="0" applyNumberFormat="1" applyFont="1" applyFill="1" applyBorder="1" applyAlignment="1">
      <alignment horizontal="center" vertical="center" shrinkToFit="1"/>
    </xf>
    <xf numFmtId="231" fontId="98" fillId="7" borderId="3" xfId="0" applyNumberFormat="1" applyFont="1" applyFill="1" applyBorder="1" applyAlignment="1">
      <alignment horizontal="center" vertical="center" shrinkToFit="1"/>
    </xf>
    <xf numFmtId="0" fontId="43" fillId="7" borderId="15" xfId="0" applyFont="1" applyFill="1" applyBorder="1" applyAlignment="1">
      <alignment horizontal="center" vertical="center" shrinkToFit="1"/>
    </xf>
    <xf numFmtId="0" fontId="43" fillId="7" borderId="16" xfId="0" applyFont="1" applyFill="1" applyBorder="1" applyAlignment="1">
      <alignment horizontal="center" vertical="center" shrinkToFit="1"/>
    </xf>
    <xf numFmtId="0" fontId="43" fillId="7" borderId="48" xfId="0" applyFont="1" applyFill="1" applyBorder="1" applyAlignment="1">
      <alignment horizontal="center" vertical="center" shrinkToFit="1"/>
    </xf>
    <xf numFmtId="0" fontId="0" fillId="7" borderId="150" xfId="0" applyFill="1" applyBorder="1" applyAlignment="1">
      <alignment horizontal="center" shrinkToFit="1"/>
    </xf>
    <xf numFmtId="0" fontId="0" fillId="7" borderId="56" xfId="0" applyFill="1" applyBorder="1" applyAlignment="1">
      <alignment horizontal="center" shrinkToFit="1"/>
    </xf>
    <xf numFmtId="0" fontId="1" fillId="42" borderId="1" xfId="0" applyFont="1" applyFill="1" applyBorder="1" applyAlignment="1">
      <alignment horizontal="center" shrinkToFit="1"/>
    </xf>
    <xf numFmtId="0" fontId="1" fillId="42" borderId="3" xfId="0" applyFont="1" applyFill="1" applyBorder="1" applyAlignment="1">
      <alignment horizontal="center" shrinkToFit="1"/>
    </xf>
    <xf numFmtId="0" fontId="4" fillId="22" borderId="215" xfId="0" applyFont="1" applyFill="1" applyBorder="1" applyAlignment="1">
      <alignment horizontal="center" shrinkToFit="1"/>
    </xf>
    <xf numFmtId="0" fontId="0" fillId="13" borderId="162" xfId="0" applyFill="1" applyBorder="1" applyAlignment="1">
      <alignment horizontal="center" shrinkToFit="1"/>
    </xf>
    <xf numFmtId="0" fontId="0" fillId="13" borderId="61" xfId="0" applyFill="1" applyBorder="1" applyAlignment="1">
      <alignment horizontal="center" shrinkToFit="1"/>
    </xf>
    <xf numFmtId="0" fontId="0" fillId="13" borderId="163" xfId="0" applyFill="1" applyBorder="1" applyAlignment="1">
      <alignment horizontal="center" shrinkToFit="1"/>
    </xf>
    <xf numFmtId="0" fontId="0" fillId="3" borderId="88" xfId="0" applyFill="1" applyBorder="1" applyAlignment="1">
      <alignment horizontal="center" shrinkToFit="1"/>
    </xf>
    <xf numFmtId="0" fontId="0" fillId="3" borderId="61" xfId="0" applyFill="1" applyBorder="1" applyAlignment="1">
      <alignment horizontal="center" shrinkToFit="1"/>
    </xf>
    <xf numFmtId="0" fontId="0" fillId="3" borderId="89" xfId="0" applyFill="1" applyBorder="1" applyAlignment="1">
      <alignment horizontal="center" shrinkToFit="1"/>
    </xf>
    <xf numFmtId="0" fontId="0" fillId="3" borderId="217" xfId="0" applyFill="1" applyBorder="1" applyAlignment="1">
      <alignment horizontal="center" shrinkToFit="1"/>
    </xf>
    <xf numFmtId="0" fontId="0" fillId="3" borderId="218" xfId="0" applyFill="1" applyBorder="1" applyAlignment="1">
      <alignment horizontal="center" shrinkToFit="1"/>
    </xf>
    <xf numFmtId="0" fontId="0" fillId="3" borderId="219" xfId="0" applyFill="1" applyBorder="1" applyAlignment="1">
      <alignment horizontal="center" shrinkToFit="1"/>
    </xf>
    <xf numFmtId="0" fontId="0" fillId="13" borderId="212" xfId="0" applyFill="1" applyBorder="1" applyAlignment="1">
      <alignment horizontal="center" shrinkToFit="1"/>
    </xf>
    <xf numFmtId="0" fontId="0" fillId="19" borderId="92" xfId="0" applyFill="1" applyBorder="1" applyAlignment="1">
      <alignment horizontal="center" shrinkToFit="1"/>
    </xf>
    <xf numFmtId="0" fontId="0" fillId="19" borderId="93" xfId="0" applyFill="1" applyBorder="1" applyAlignment="1">
      <alignment horizontal="center" shrinkToFit="1"/>
    </xf>
    <xf numFmtId="0" fontId="42" fillId="9" borderId="160" xfId="0" applyFont="1" applyFill="1" applyBorder="1" applyAlignment="1">
      <alignment horizontal="center" shrinkToFit="1"/>
    </xf>
    <xf numFmtId="0" fontId="42" fillId="9" borderId="161" xfId="0" applyFont="1" applyFill="1" applyBorder="1" applyAlignment="1">
      <alignment horizontal="center" shrinkToFit="1"/>
    </xf>
    <xf numFmtId="0" fontId="0" fillId="7" borderId="61" xfId="0" applyFill="1" applyBorder="1" applyAlignment="1">
      <alignment horizontal="center" shrinkToFit="1"/>
    </xf>
    <xf numFmtId="0" fontId="0" fillId="7" borderId="89" xfId="0" applyFill="1" applyBorder="1" applyAlignment="1">
      <alignment horizontal="center" shrinkToFit="1"/>
    </xf>
    <xf numFmtId="0" fontId="0" fillId="19" borderId="88" xfId="0" applyFill="1" applyBorder="1" applyAlignment="1">
      <alignment horizontal="center" shrinkToFit="1"/>
    </xf>
    <xf numFmtId="0" fontId="0" fillId="19" borderId="89" xfId="0" applyFill="1" applyBorder="1" applyAlignment="1">
      <alignment horizontal="center" shrinkToFit="1"/>
    </xf>
    <xf numFmtId="188" fontId="4" fillId="22" borderId="249" xfId="0" applyNumberFormat="1" applyFont="1" applyFill="1" applyBorder="1" applyAlignment="1">
      <alignment horizontal="center" shrinkToFit="1"/>
    </xf>
    <xf numFmtId="0" fontId="4" fillId="22" borderId="218" xfId="0" applyFont="1" applyFill="1" applyBorder="1" applyAlignment="1">
      <alignment horizontal="center" shrinkToFit="1"/>
    </xf>
    <xf numFmtId="0" fontId="4" fillId="22" borderId="250" xfId="0" applyFont="1" applyFill="1" applyBorder="1" applyAlignment="1">
      <alignment horizontal="center" shrinkToFit="1"/>
    </xf>
    <xf numFmtId="0" fontId="4" fillId="22" borderId="249" xfId="0" applyFont="1" applyFill="1" applyBorder="1" applyAlignment="1">
      <alignment horizontal="center" shrinkToFit="1"/>
    </xf>
    <xf numFmtId="0" fontId="3" fillId="13" borderId="135" xfId="2" applyFill="1" applyBorder="1" applyAlignment="1" applyProtection="1">
      <alignment horizontal="center" vertical="center"/>
    </xf>
    <xf numFmtId="0" fontId="3" fillId="13" borderId="136" xfId="2" applyFill="1" applyBorder="1" applyAlignment="1" applyProtection="1">
      <alignment horizontal="center" vertical="center"/>
    </xf>
    <xf numFmtId="0" fontId="3" fillId="13" borderId="137" xfId="2" applyFill="1" applyBorder="1" applyAlignment="1" applyProtection="1">
      <alignment horizontal="center" vertical="center"/>
    </xf>
    <xf numFmtId="0" fontId="1" fillId="23" borderId="1" xfId="0" applyFont="1" applyFill="1" applyBorder="1" applyAlignment="1">
      <alignment horizontal="center" shrinkToFit="1"/>
    </xf>
    <xf numFmtId="0" fontId="1" fillId="23" borderId="3" xfId="0" applyFont="1" applyFill="1" applyBorder="1" applyAlignment="1">
      <alignment horizontal="center" shrinkToFit="1"/>
    </xf>
    <xf numFmtId="0" fontId="0" fillId="2" borderId="215" xfId="0" applyFill="1" applyBorder="1" applyAlignment="1">
      <alignment horizontal="center" shrinkToFit="1"/>
    </xf>
    <xf numFmtId="0" fontId="45" fillId="6" borderId="88" xfId="0" applyFont="1" applyFill="1" applyBorder="1" applyAlignment="1">
      <alignment horizontal="center" shrinkToFit="1"/>
    </xf>
    <xf numFmtId="0" fontId="45" fillId="6" borderId="61" xfId="0" applyFont="1" applyFill="1" applyBorder="1" applyAlignment="1">
      <alignment horizontal="center" shrinkToFit="1"/>
    </xf>
    <xf numFmtId="0" fontId="45" fillId="6" borderId="89" xfId="0" applyFont="1" applyFill="1" applyBorder="1" applyAlignment="1">
      <alignment horizontal="center" shrinkToFit="1"/>
    </xf>
    <xf numFmtId="0" fontId="122" fillId="7" borderId="4" xfId="0" applyFont="1" applyFill="1" applyBorder="1" applyAlignment="1">
      <alignment horizontal="center"/>
    </xf>
    <xf numFmtId="0" fontId="122" fillId="7" borderId="5" xfId="0" applyFont="1" applyFill="1" applyBorder="1" applyAlignment="1">
      <alignment horizontal="center"/>
    </xf>
    <xf numFmtId="0" fontId="122" fillId="7" borderId="19" xfId="0" applyFont="1" applyFill="1" applyBorder="1" applyAlignment="1">
      <alignment horizontal="center"/>
    </xf>
    <xf numFmtId="0" fontId="98" fillId="7" borderId="35" xfId="0" applyFont="1" applyFill="1" applyBorder="1" applyAlignment="1">
      <alignment horizontal="center"/>
    </xf>
    <xf numFmtId="0" fontId="98" fillId="7" borderId="6" xfId="0" applyFont="1" applyFill="1" applyBorder="1" applyAlignment="1">
      <alignment horizontal="center"/>
    </xf>
    <xf numFmtId="0" fontId="98" fillId="7" borderId="20" xfId="0" applyFont="1" applyFill="1" applyBorder="1" applyAlignment="1">
      <alignment horizontal="center"/>
    </xf>
    <xf numFmtId="0" fontId="98" fillId="7" borderId="4" xfId="0" applyFont="1" applyFill="1" applyBorder="1" applyAlignment="1">
      <alignment horizontal="center" shrinkToFit="1"/>
    </xf>
    <xf numFmtId="0" fontId="98" fillId="7" borderId="5" xfId="0" applyFont="1" applyFill="1" applyBorder="1" applyAlignment="1">
      <alignment horizontal="center" shrinkToFit="1"/>
    </xf>
    <xf numFmtId="0" fontId="98" fillId="7" borderId="19" xfId="0" applyFont="1" applyFill="1" applyBorder="1" applyAlignment="1">
      <alignment horizontal="center" shrinkToFit="1"/>
    </xf>
    <xf numFmtId="0" fontId="98" fillId="7" borderId="35" xfId="0" applyFont="1" applyFill="1" applyBorder="1" applyAlignment="1">
      <alignment horizontal="center" shrinkToFit="1"/>
    </xf>
    <xf numFmtId="0" fontId="98" fillId="7" borderId="6" xfId="0" applyFont="1" applyFill="1" applyBorder="1" applyAlignment="1">
      <alignment horizontal="center" shrinkToFit="1"/>
    </xf>
    <xf numFmtId="0" fontId="98" fillId="7" borderId="20" xfId="0" applyFont="1" applyFill="1" applyBorder="1" applyAlignment="1">
      <alignment horizontal="center" shrinkToFit="1"/>
    </xf>
    <xf numFmtId="0" fontId="0" fillId="13" borderId="244" xfId="0" applyFill="1" applyBorder="1" applyAlignment="1">
      <alignment horizontal="center" shrinkToFit="1"/>
    </xf>
    <xf numFmtId="0" fontId="0" fillId="13" borderId="245" xfId="0" applyFill="1" applyBorder="1" applyAlignment="1">
      <alignment horizontal="center" shrinkToFit="1"/>
    </xf>
    <xf numFmtId="2" fontId="97" fillId="7" borderId="4" xfId="0" applyNumberFormat="1" applyFont="1" applyFill="1" applyBorder="1" applyAlignment="1">
      <alignment horizontal="center"/>
    </xf>
    <xf numFmtId="2" fontId="97" fillId="7" borderId="5" xfId="0" applyNumberFormat="1" applyFont="1" applyFill="1" applyBorder="1" applyAlignment="1">
      <alignment horizontal="center"/>
    </xf>
    <xf numFmtId="2" fontId="97" fillId="7" borderId="19" xfId="0" applyNumberFormat="1" applyFont="1" applyFill="1" applyBorder="1" applyAlignment="1">
      <alignment horizontal="center"/>
    </xf>
    <xf numFmtId="2" fontId="91" fillId="7" borderId="35" xfId="0" applyNumberFormat="1" applyFont="1" applyFill="1" applyBorder="1" applyAlignment="1">
      <alignment horizontal="center"/>
    </xf>
    <xf numFmtId="2" fontId="91" fillId="7" borderId="6" xfId="0" applyNumberFormat="1" applyFont="1" applyFill="1" applyBorder="1" applyAlignment="1">
      <alignment horizontal="center"/>
    </xf>
    <xf numFmtId="2" fontId="91" fillId="7" borderId="20" xfId="0" applyNumberFormat="1" applyFont="1" applyFill="1" applyBorder="1" applyAlignment="1">
      <alignment horizontal="center"/>
    </xf>
    <xf numFmtId="2" fontId="91" fillId="7" borderId="4" xfId="0" applyNumberFormat="1" applyFont="1" applyFill="1" applyBorder="1" applyAlignment="1">
      <alignment horizontal="center" shrinkToFit="1"/>
    </xf>
    <xf numFmtId="2" fontId="91" fillId="7" borderId="5" xfId="0" applyNumberFormat="1" applyFont="1" applyFill="1" applyBorder="1" applyAlignment="1">
      <alignment horizontal="center" shrinkToFit="1"/>
    </xf>
    <xf numFmtId="2" fontId="91" fillId="7" borderId="19" xfId="0" applyNumberFormat="1" applyFont="1" applyFill="1" applyBorder="1" applyAlignment="1">
      <alignment horizontal="center" shrinkToFit="1"/>
    </xf>
    <xf numFmtId="2" fontId="91" fillId="7" borderId="35" xfId="0" applyNumberFormat="1" applyFont="1" applyFill="1" applyBorder="1" applyAlignment="1">
      <alignment horizontal="center" shrinkToFit="1"/>
    </xf>
    <xf numFmtId="2" fontId="91" fillId="7" borderId="6" xfId="0" applyNumberFormat="1" applyFont="1" applyFill="1" applyBorder="1" applyAlignment="1">
      <alignment horizontal="center" shrinkToFit="1"/>
    </xf>
    <xf numFmtId="2" fontId="91" fillId="7" borderId="20" xfId="0" applyNumberFormat="1" applyFont="1" applyFill="1" applyBorder="1" applyAlignment="1">
      <alignment horizontal="center" shrinkToFit="1"/>
    </xf>
    <xf numFmtId="3" fontId="0" fillId="0" borderId="0" xfId="0" applyNumberFormat="1" applyAlignment="1" applyProtection="1">
      <alignment horizontal="center" shrinkToFit="1"/>
    </xf>
    <xf numFmtId="169" fontId="25" fillId="4" borderId="0" xfId="0" applyNumberFormat="1" applyFont="1" applyFill="1" applyBorder="1" applyAlignment="1" applyProtection="1">
      <alignment horizontal="right" vertical="center"/>
    </xf>
    <xf numFmtId="169" fontId="25" fillId="3" borderId="1" xfId="0" applyNumberFormat="1" applyFont="1" applyFill="1" applyBorder="1" applyAlignment="1" applyProtection="1">
      <alignment horizontal="right" vertical="center"/>
    </xf>
    <xf numFmtId="169" fontId="25" fillId="3" borderId="0" xfId="0" applyNumberFormat="1" applyFont="1" applyFill="1" applyBorder="1" applyAlignment="1" applyProtection="1">
      <alignment horizontal="right" vertical="center"/>
    </xf>
    <xf numFmtId="169" fontId="25" fillId="7" borderId="1" xfId="0" applyNumberFormat="1" applyFont="1" applyFill="1" applyBorder="1" applyAlignment="1" applyProtection="1">
      <alignment horizontal="right" vertical="center"/>
    </xf>
    <xf numFmtId="169" fontId="25" fillId="7" borderId="0" xfId="0" applyNumberFormat="1" applyFont="1" applyFill="1" applyBorder="1" applyAlignment="1" applyProtection="1">
      <alignment horizontal="right" vertical="center"/>
    </xf>
    <xf numFmtId="169" fontId="25" fillId="4" borderId="1" xfId="0" applyNumberFormat="1" applyFont="1" applyFill="1" applyBorder="1" applyAlignment="1" applyProtection="1">
      <alignment horizontal="right" vertical="center"/>
    </xf>
    <xf numFmtId="10" fontId="0" fillId="0" borderId="0" xfId="0" applyNumberFormat="1" applyAlignment="1" applyProtection="1">
      <alignment horizontal="center" shrinkToFit="1"/>
    </xf>
    <xf numFmtId="0" fontId="30" fillId="7" borderId="0" xfId="0" applyFont="1" applyFill="1" applyBorder="1" applyAlignment="1" applyProtection="1">
      <alignment horizontal="center" vertical="top" wrapText="1"/>
    </xf>
    <xf numFmtId="0" fontId="0" fillId="4" borderId="0" xfId="0" applyFill="1" applyBorder="1" applyAlignment="1" applyProtection="1">
      <alignment horizontal="left" vertical="center" wrapText="1"/>
    </xf>
    <xf numFmtId="0" fontId="2" fillId="7" borderId="0" xfId="0" applyFont="1" applyFill="1" applyBorder="1" applyAlignment="1" applyProtection="1">
      <alignment horizontal="left" vertical="top" wrapText="1"/>
    </xf>
    <xf numFmtId="181" fontId="7" fillId="7" borderId="99" xfId="0" applyNumberFormat="1" applyFont="1" applyFill="1" applyBorder="1" applyAlignment="1" applyProtection="1">
      <alignment horizontal="center" vertical="center"/>
    </xf>
    <xf numFmtId="181" fontId="7" fillId="7" borderId="133" xfId="0" applyNumberFormat="1" applyFont="1" applyFill="1" applyBorder="1" applyAlignment="1" applyProtection="1">
      <alignment horizontal="center" vertical="center"/>
    </xf>
    <xf numFmtId="181" fontId="7" fillId="7" borderId="100" xfId="0" applyNumberFormat="1" applyFont="1" applyFill="1" applyBorder="1" applyAlignment="1" applyProtection="1">
      <alignment horizontal="center" vertical="center"/>
    </xf>
    <xf numFmtId="0" fontId="0" fillId="4" borderId="0" xfId="0" applyFill="1" applyBorder="1" applyAlignment="1" applyProtection="1">
      <alignment horizontal="left" vertical="top" wrapText="1"/>
    </xf>
    <xf numFmtId="165" fontId="0" fillId="0" borderId="0" xfId="0" applyNumberFormat="1" applyAlignment="1" applyProtection="1">
      <alignment horizontal="center"/>
    </xf>
    <xf numFmtId="184" fontId="0" fillId="0" borderId="0" xfId="0" applyNumberFormat="1" applyAlignment="1" applyProtection="1">
      <alignment horizontal="center" shrinkToFit="1"/>
    </xf>
    <xf numFmtId="0" fontId="8" fillId="2" borderId="0" xfId="0" applyFont="1" applyFill="1" applyAlignment="1">
      <alignment horizontal="center" textRotation="90"/>
    </xf>
    <xf numFmtId="0" fontId="8" fillId="2" borderId="4" xfId="0" applyFont="1" applyFill="1" applyBorder="1" applyAlignment="1">
      <alignment horizontal="center" textRotation="90" wrapText="1"/>
    </xf>
    <xf numFmtId="0" fontId="8" fillId="2" borderId="5" xfId="0" applyFont="1" applyFill="1" applyBorder="1" applyAlignment="1">
      <alignment horizontal="center" textRotation="90" wrapText="1"/>
    </xf>
    <xf numFmtId="0" fontId="8" fillId="2" borderId="19" xfId="0" applyFont="1" applyFill="1" applyBorder="1" applyAlignment="1">
      <alignment horizontal="center" textRotation="90" wrapText="1"/>
    </xf>
    <xf numFmtId="0" fontId="8" fillId="2" borderId="1" xfId="0" applyFont="1" applyFill="1" applyBorder="1" applyAlignment="1">
      <alignment horizontal="center" textRotation="90" wrapText="1"/>
    </xf>
    <xf numFmtId="0" fontId="8" fillId="2" borderId="0" xfId="0" applyFont="1" applyFill="1" applyBorder="1" applyAlignment="1">
      <alignment horizontal="center" textRotation="90" wrapText="1"/>
    </xf>
    <xf numFmtId="0" fontId="8" fillId="2" borderId="3" xfId="0" applyFont="1" applyFill="1" applyBorder="1" applyAlignment="1">
      <alignment horizontal="center" textRotation="90" wrapText="1"/>
    </xf>
    <xf numFmtId="169" fontId="0" fillId="0" borderId="52" xfId="0" applyNumberFormat="1" applyBorder="1" applyAlignment="1">
      <alignment horizontal="right"/>
    </xf>
    <xf numFmtId="169" fontId="0" fillId="0" borderId="2" xfId="0" applyNumberFormat="1" applyBorder="1" applyAlignment="1">
      <alignment horizontal="right"/>
    </xf>
    <xf numFmtId="169" fontId="0" fillId="0" borderId="111" xfId="0" applyNumberFormat="1" applyBorder="1" applyAlignment="1">
      <alignment horizontal="right"/>
    </xf>
    <xf numFmtId="169" fontId="0" fillId="0" borderId="35" xfId="0" applyNumberFormat="1" applyBorder="1" applyAlignment="1">
      <alignment horizontal="right"/>
    </xf>
    <xf numFmtId="169" fontId="0" fillId="0" borderId="6" xfId="0" applyNumberFormat="1" applyBorder="1" applyAlignment="1">
      <alignment horizontal="right"/>
    </xf>
    <xf numFmtId="169" fontId="0" fillId="0" borderId="20" xfId="0" applyNumberFormat="1" applyBorder="1" applyAlignment="1">
      <alignment horizontal="right"/>
    </xf>
    <xf numFmtId="0" fontId="0" fillId="0" borderId="0" xfId="0" applyFill="1" applyAlignment="1">
      <alignment horizontal="right"/>
    </xf>
    <xf numFmtId="2" fontId="0" fillId="0" borderId="0" xfId="0" applyNumberFormat="1" applyFill="1" applyAlignment="1">
      <alignment horizontal="right"/>
    </xf>
    <xf numFmtId="3" fontId="0" fillId="0" borderId="0" xfId="0" applyNumberFormat="1" applyFill="1" applyAlignment="1">
      <alignment horizontal="right"/>
    </xf>
    <xf numFmtId="0" fontId="43" fillId="4" borderId="0" xfId="0" applyFont="1" applyFill="1" applyBorder="1" applyAlignment="1" applyProtection="1">
      <alignment horizontal="center" vertical="center" wrapText="1"/>
    </xf>
    <xf numFmtId="169" fontId="0" fillId="0" borderId="52" xfId="0" applyNumberFormat="1" applyBorder="1" applyAlignment="1" applyProtection="1">
      <alignment horizontal="right" shrinkToFit="1"/>
    </xf>
    <xf numFmtId="169" fontId="0" fillId="0" borderId="2" xfId="0" applyNumberFormat="1" applyBorder="1" applyAlignment="1" applyProtection="1">
      <alignment horizontal="right" shrinkToFit="1"/>
    </xf>
    <xf numFmtId="169" fontId="0" fillId="0" borderId="111" xfId="0" applyNumberFormat="1" applyBorder="1" applyAlignment="1" applyProtection="1">
      <alignment horizontal="right" shrinkToFit="1"/>
    </xf>
    <xf numFmtId="0" fontId="0" fillId="2" borderId="18" xfId="0" applyFill="1" applyBorder="1" applyAlignment="1" applyProtection="1">
      <alignment horizontal="left"/>
      <protection locked="0"/>
    </xf>
    <xf numFmtId="0" fontId="0" fillId="2" borderId="46" xfId="0" applyFill="1" applyBorder="1" applyAlignment="1" applyProtection="1">
      <alignment horizontal="left"/>
      <protection locked="0"/>
    </xf>
    <xf numFmtId="0" fontId="0" fillId="2" borderId="36" xfId="0" applyFill="1" applyBorder="1" applyAlignment="1" applyProtection="1">
      <alignment horizontal="left"/>
      <protection locked="0"/>
    </xf>
    <xf numFmtId="174" fontId="41" fillId="2" borderId="18" xfId="0" applyNumberFormat="1" applyFont="1" applyFill="1" applyBorder="1" applyAlignment="1" applyProtection="1">
      <alignment horizontal="right" shrinkToFit="1"/>
      <protection locked="0"/>
    </xf>
    <xf numFmtId="174" fontId="41" fillId="2" borderId="36" xfId="0" applyNumberFormat="1" applyFont="1" applyFill="1" applyBorder="1" applyAlignment="1" applyProtection="1">
      <alignment horizontal="right" shrinkToFit="1"/>
      <protection locked="0"/>
    </xf>
    <xf numFmtId="0" fontId="44" fillId="10" borderId="99" xfId="0" applyFont="1" applyFill="1" applyBorder="1" applyAlignment="1" applyProtection="1">
      <alignment horizontal="center" vertical="center"/>
    </xf>
    <xf numFmtId="0" fontId="44" fillId="10" borderId="133" xfId="0" applyFont="1" applyFill="1" applyBorder="1" applyAlignment="1" applyProtection="1">
      <alignment horizontal="center" vertical="center"/>
    </xf>
    <xf numFmtId="0" fontId="44" fillId="10" borderId="100" xfId="0" applyFont="1" applyFill="1" applyBorder="1" applyAlignment="1" applyProtection="1">
      <alignment horizontal="center" vertical="center"/>
    </xf>
    <xf numFmtId="0" fontId="8" fillId="7" borderId="4" xfId="0" applyFont="1" applyFill="1" applyBorder="1" applyAlignment="1" applyProtection="1">
      <alignment horizontal="center" vertical="center" wrapText="1"/>
    </xf>
    <xf numFmtId="0" fontId="8" fillId="7" borderId="5" xfId="0" applyFont="1" applyFill="1" applyBorder="1" applyAlignment="1" applyProtection="1">
      <alignment horizontal="center" vertical="center" wrapText="1"/>
    </xf>
    <xf numFmtId="0" fontId="8" fillId="7" borderId="19" xfId="0" applyFont="1" applyFill="1" applyBorder="1" applyAlignment="1" applyProtection="1">
      <alignment horizontal="center" vertical="center" wrapText="1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7" borderId="0" xfId="0" applyFont="1" applyFill="1" applyBorder="1" applyAlignment="1" applyProtection="1">
      <alignment horizontal="center" vertical="center" wrapText="1"/>
    </xf>
    <xf numFmtId="0" fontId="8" fillId="7" borderId="3" xfId="0" applyFont="1" applyFill="1" applyBorder="1" applyAlignment="1" applyProtection="1">
      <alignment horizontal="center" vertical="center" wrapText="1"/>
    </xf>
    <xf numFmtId="0" fontId="46" fillId="15" borderId="99" xfId="0" applyFont="1" applyFill="1" applyBorder="1" applyAlignment="1" applyProtection="1">
      <alignment horizontal="center" vertical="center"/>
    </xf>
    <xf numFmtId="0" fontId="46" fillId="15" borderId="133" xfId="0" applyFont="1" applyFill="1" applyBorder="1" applyAlignment="1" applyProtection="1">
      <alignment horizontal="center" vertical="center"/>
    </xf>
    <xf numFmtId="0" fontId="46" fillId="15" borderId="100" xfId="0" applyFont="1" applyFill="1" applyBorder="1" applyAlignment="1" applyProtection="1">
      <alignment horizontal="center" vertical="center"/>
    </xf>
    <xf numFmtId="169" fontId="25" fillId="3" borderId="0" xfId="0" applyNumberFormat="1" applyFont="1" applyFill="1" applyBorder="1" applyAlignment="1" applyProtection="1">
      <alignment horizontal="right" shrinkToFit="1"/>
    </xf>
    <xf numFmtId="169" fontId="25" fillId="3" borderId="1" xfId="0" applyNumberFormat="1" applyFont="1" applyFill="1" applyBorder="1" applyAlignment="1" applyProtection="1">
      <alignment horizontal="right" shrinkToFit="1"/>
    </xf>
    <xf numFmtId="169" fontId="25" fillId="3" borderId="35" xfId="0" applyNumberFormat="1" applyFont="1" applyFill="1" applyBorder="1" applyAlignment="1" applyProtection="1">
      <alignment horizontal="right" shrinkToFit="1"/>
    </xf>
    <xf numFmtId="169" fontId="25" fillId="3" borderId="6" xfId="0" applyNumberFormat="1" applyFont="1" applyFill="1" applyBorder="1" applyAlignment="1" applyProtection="1">
      <alignment horizontal="right" shrinkToFit="1"/>
    </xf>
    <xf numFmtId="164" fontId="41" fillId="4" borderId="0" xfId="0" applyNumberFormat="1" applyFont="1" applyFill="1" applyBorder="1" applyAlignment="1" applyProtection="1">
      <alignment horizontal="right" shrinkToFit="1"/>
    </xf>
    <xf numFmtId="186" fontId="8" fillId="7" borderId="35" xfId="0" applyNumberFormat="1" applyFont="1" applyFill="1" applyBorder="1" applyAlignment="1" applyProtection="1">
      <alignment horizontal="center" wrapText="1"/>
    </xf>
    <xf numFmtId="186" fontId="8" fillId="7" borderId="6" xfId="0" applyNumberFormat="1" applyFont="1" applyFill="1" applyBorder="1" applyAlignment="1" applyProtection="1">
      <alignment horizontal="center" wrapText="1"/>
    </xf>
    <xf numFmtId="186" fontId="8" fillId="7" borderId="20" xfId="0" applyNumberFormat="1" applyFont="1" applyFill="1" applyBorder="1" applyAlignment="1" applyProtection="1">
      <alignment horizontal="center" wrapText="1"/>
    </xf>
    <xf numFmtId="169" fontId="0" fillId="0" borderId="35" xfId="0" applyNumberFormat="1" applyBorder="1" applyAlignment="1" applyProtection="1">
      <alignment horizontal="right" shrinkToFit="1"/>
    </xf>
    <xf numFmtId="169" fontId="0" fillId="0" borderId="6" xfId="0" applyNumberFormat="1" applyBorder="1" applyAlignment="1" applyProtection="1">
      <alignment horizontal="right" shrinkToFit="1"/>
    </xf>
    <xf numFmtId="169" fontId="0" fillId="0" borderId="20" xfId="0" applyNumberFormat="1" applyBorder="1" applyAlignment="1" applyProtection="1">
      <alignment horizontal="right" shrinkToFit="1"/>
    </xf>
    <xf numFmtId="164" fontId="41" fillId="2" borderId="18" xfId="0" applyNumberFormat="1" applyFont="1" applyFill="1" applyBorder="1" applyAlignment="1" applyProtection="1">
      <alignment horizontal="center" shrinkToFit="1"/>
      <protection locked="0"/>
    </xf>
    <xf numFmtId="164" fontId="41" fillId="2" borderId="46" xfId="0" applyNumberFormat="1" applyFont="1" applyFill="1" applyBorder="1" applyAlignment="1" applyProtection="1">
      <alignment horizontal="center" shrinkToFit="1"/>
      <protection locked="0"/>
    </xf>
    <xf numFmtId="164" fontId="41" fillId="2" borderId="36" xfId="0" applyNumberFormat="1" applyFont="1" applyFill="1" applyBorder="1" applyAlignment="1" applyProtection="1">
      <alignment horizontal="center" shrinkToFit="1"/>
      <protection locked="0"/>
    </xf>
    <xf numFmtId="174" fontId="41" fillId="4" borderId="114" xfId="0" applyNumberFormat="1" applyFont="1" applyFill="1" applyBorder="1" applyAlignment="1" applyProtection="1">
      <alignment horizontal="right" shrinkToFit="1"/>
    </xf>
    <xf numFmtId="174" fontId="41" fillId="4" borderId="164" xfId="0" applyNumberFormat="1" applyFont="1" applyFill="1" applyBorder="1" applyAlignment="1" applyProtection="1">
      <alignment horizontal="right" shrinkToFit="1"/>
    </xf>
    <xf numFmtId="174" fontId="25" fillId="7" borderId="15" xfId="0" applyNumberFormat="1" applyFont="1" applyFill="1" applyBorder="1" applyAlignment="1" applyProtection="1">
      <alignment horizontal="right" shrinkToFit="1"/>
    </xf>
    <xf numFmtId="174" fontId="25" fillId="7" borderId="48" xfId="0" applyNumberFormat="1" applyFont="1" applyFill="1" applyBorder="1" applyAlignment="1" applyProtection="1">
      <alignment horizontal="right" shrinkToFit="1"/>
    </xf>
    <xf numFmtId="164" fontId="41" fillId="2" borderId="18" xfId="0" applyNumberFormat="1" applyFont="1" applyFill="1" applyBorder="1" applyAlignment="1" applyProtection="1">
      <alignment horizontal="right" shrinkToFit="1"/>
      <protection locked="0"/>
    </xf>
    <xf numFmtId="164" fontId="41" fillId="2" borderId="46" xfId="0" applyNumberFormat="1" applyFont="1" applyFill="1" applyBorder="1" applyAlignment="1" applyProtection="1">
      <alignment horizontal="right" shrinkToFit="1"/>
      <protection locked="0"/>
    </xf>
    <xf numFmtId="164" fontId="41" fillId="2" borderId="36" xfId="0" applyNumberFormat="1" applyFont="1" applyFill="1" applyBorder="1" applyAlignment="1" applyProtection="1">
      <alignment horizontal="right" shrinkToFit="1"/>
      <protection locked="0"/>
    </xf>
    <xf numFmtId="165" fontId="0" fillId="0" borderId="0" xfId="0" applyNumberForma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165" fontId="0" fillId="0" borderId="53" xfId="0" applyNumberFormat="1" applyFill="1" applyBorder="1" applyAlignment="1" applyProtection="1">
      <alignment horizontal="center"/>
    </xf>
    <xf numFmtId="165" fontId="2" fillId="2" borderId="0" xfId="0" applyNumberFormat="1" applyFont="1" applyFill="1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center"/>
    </xf>
    <xf numFmtId="0" fontId="0" fillId="0" borderId="53" xfId="0" applyFill="1" applyBorder="1" applyAlignment="1" applyProtection="1">
      <alignment horizontal="center"/>
    </xf>
    <xf numFmtId="2" fontId="13" fillId="2" borderId="0" xfId="0" applyNumberFormat="1" applyFont="1" applyFill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/>
    </xf>
    <xf numFmtId="180" fontId="0" fillId="0" borderId="0" xfId="0" applyNumberFormat="1" applyBorder="1" applyAlignment="1" applyProtection="1">
      <alignment horizontal="center"/>
    </xf>
    <xf numFmtId="0" fontId="0" fillId="4" borderId="0" xfId="0" applyFill="1" applyBorder="1" applyAlignment="1" applyProtection="1">
      <alignment horizontal="center"/>
    </xf>
    <xf numFmtId="1" fontId="2" fillId="2" borderId="0" xfId="0" applyNumberFormat="1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/>
    </xf>
    <xf numFmtId="1" fontId="2" fillId="0" borderId="0" xfId="0" applyNumberFormat="1" applyFont="1" applyBorder="1" applyAlignment="1" applyProtection="1">
      <alignment horizontal="center"/>
    </xf>
    <xf numFmtId="180" fontId="0" fillId="0" borderId="0" xfId="0" applyNumberFormat="1" applyFill="1" applyBorder="1" applyAlignment="1" applyProtection="1">
      <alignment horizontal="center"/>
    </xf>
    <xf numFmtId="1" fontId="2" fillId="0" borderId="176" xfId="0" applyNumberFormat="1" applyFont="1" applyBorder="1" applyAlignment="1" applyProtection="1">
      <alignment horizontal="center"/>
    </xf>
    <xf numFmtId="1" fontId="2" fillId="0" borderId="201" xfId="0" applyNumberFormat="1" applyFont="1" applyBorder="1" applyAlignment="1" applyProtection="1">
      <alignment horizontal="center"/>
    </xf>
    <xf numFmtId="180" fontId="0" fillId="0" borderId="176" xfId="0" applyNumberFormat="1" applyBorder="1" applyAlignment="1" applyProtection="1">
      <alignment horizontal="center"/>
    </xf>
    <xf numFmtId="1" fontId="0" fillId="0" borderId="17" xfId="0" applyNumberFormat="1" applyBorder="1" applyAlignment="1" applyProtection="1">
      <alignment horizontal="center"/>
    </xf>
    <xf numFmtId="1" fontId="89" fillId="0" borderId="17" xfId="0" applyNumberFormat="1" applyFont="1" applyBorder="1" applyAlignment="1" applyProtection="1">
      <alignment horizontal="center"/>
    </xf>
    <xf numFmtId="180" fontId="0" fillId="25" borderId="17" xfId="0" applyNumberFormat="1" applyFill="1" applyBorder="1" applyAlignment="1" applyProtection="1">
      <alignment horizontal="center"/>
      <protection locked="0"/>
    </xf>
    <xf numFmtId="1" fontId="2" fillId="0" borderId="17" xfId="0" applyNumberFormat="1" applyFont="1" applyBorder="1" applyAlignment="1" applyProtection="1">
      <alignment horizontal="center"/>
    </xf>
  </cellXfs>
  <cellStyles count="4">
    <cellStyle name="Euro" xfId="1"/>
    <cellStyle name="Link" xfId="2" builtinId="8"/>
    <cellStyle name="Standard" xfId="0" builtinId="0"/>
    <cellStyle name="Standard 2" xfId="3"/>
  </cellStyles>
  <dxfs count="128"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left style="thin">
          <color indexed="16"/>
        </left>
        <right style="thin">
          <color indexed="16"/>
        </right>
        <top style="thin">
          <color indexed="16"/>
        </top>
        <bottom style="thin">
          <color indexed="16"/>
        </bottom>
      </border>
    </dxf>
    <dxf>
      <fill>
        <patternFill>
          <bgColor indexed="1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42"/>
        </patternFill>
      </fill>
    </dxf>
    <dxf>
      <fill>
        <patternFill>
          <bgColor indexed="1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1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1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auto="1"/>
      </font>
      <fill>
        <patternFill>
          <bgColor indexed="53"/>
        </patternFill>
      </fill>
    </dxf>
    <dxf>
      <fill>
        <patternFill>
          <bgColor indexed="1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42"/>
        </patternFill>
      </fill>
    </dxf>
    <dxf>
      <fill>
        <patternFill>
          <bgColor indexed="1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53"/>
        </patternFill>
      </fill>
      <border>
        <left style="thin">
          <color indexed="16"/>
        </left>
        <top style="thin">
          <color indexed="16"/>
        </top>
        <bottom style="thin">
          <color indexed="16"/>
        </bottom>
      </border>
    </dxf>
    <dxf>
      <fill>
        <patternFill>
          <bgColor indexed="53"/>
        </patternFill>
      </fill>
      <border>
        <left style="thin">
          <color indexed="16"/>
        </left>
        <right style="thin">
          <color indexed="16"/>
        </right>
        <top style="thin">
          <color indexed="16"/>
        </top>
        <bottom style="thin">
          <color indexed="16"/>
        </bottom>
      </border>
    </dxf>
    <dxf>
      <fill>
        <patternFill>
          <bgColor indexed="1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52"/>
        </patternFill>
      </fill>
      <border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52"/>
        </patternFill>
      </fill>
      <border>
        <left style="thin">
          <color indexed="10"/>
        </left>
        <top style="thin">
          <color indexed="10"/>
        </top>
        <bottom style="thin">
          <color indexed="10"/>
        </bottom>
      </border>
    </dxf>
    <dxf>
      <fill>
        <patternFill>
          <bgColor indexed="52"/>
        </patternFill>
      </fill>
      <border>
        <top style="thin">
          <color indexed="10"/>
        </top>
        <bottom style="thin">
          <color indexed="10"/>
        </bottom>
      </border>
    </dxf>
    <dxf>
      <font>
        <condense val="0"/>
        <extend val="0"/>
        <color auto="1"/>
      </font>
      <fill>
        <patternFill>
          <bgColor indexed="53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strike/>
      </font>
      <fill>
        <patternFill>
          <bgColor rgb="FFFF99CC"/>
        </patternFill>
      </fill>
    </dxf>
    <dxf>
      <font>
        <condense val="0"/>
        <extend val="0"/>
        <color indexed="41"/>
      </font>
      <fill>
        <patternFill>
          <bgColor indexed="41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  <vertical/>
        <horizontal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  <vertical/>
        <horizontal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  <vertical/>
        <horizontal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  <vertical/>
        <horizontal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  <vertical/>
        <horizontal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</dxf>
    <dxf>
      <font>
        <color rgb="FFCCFFFF"/>
      </font>
    </dxf>
    <dxf>
      <font>
        <color rgb="FFCCFFFF"/>
      </font>
    </dxf>
    <dxf>
      <font>
        <strike val="0"/>
        <color rgb="FFCCFFFF"/>
      </font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ndense val="0"/>
        <extend val="0"/>
        <color indexed="41"/>
      </font>
      <fill>
        <patternFill>
          <bgColor indexed="41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ndense val="0"/>
        <extend val="0"/>
        <color indexed="41"/>
      </font>
      <fill>
        <patternFill>
          <bgColor indexed="41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indexed="41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theme="0"/>
      </font>
      <fill>
        <patternFill>
          <bgColor rgb="FFFF0000"/>
        </patternFill>
      </fill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 style="dotted">
          <color indexed="64"/>
        </bottom>
      </border>
    </dxf>
    <dxf>
      <font>
        <color rgb="FFCCFFFF"/>
      </font>
      <fill>
        <patternFill>
          <bgColor rgb="FFCCFFFF"/>
        </patternFill>
      </fill>
      <border>
        <left style="thin">
          <color indexed="64"/>
        </left>
        <right/>
        <top/>
        <bottom style="dotted">
          <color indexed="64"/>
        </bottom>
      </border>
    </dxf>
    <dxf>
      <font>
        <color rgb="FFCCFFFF"/>
      </font>
      <fill>
        <patternFill>
          <bgColor rgb="FFCCFFFF"/>
        </patternFill>
      </fill>
      <border>
        <left style="thin">
          <color indexed="64"/>
        </left>
        <right/>
        <top/>
        <bottom/>
      </border>
    </dxf>
    <dxf>
      <font>
        <condense val="0"/>
        <extend val="0"/>
        <color indexed="10"/>
      </font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strike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C00000"/>
      </font>
      <fill>
        <patternFill>
          <bgColor theme="0" tint="-4.9989318521683403E-2"/>
        </patternFill>
      </fill>
    </dxf>
    <dxf>
      <font>
        <color rgb="FFCCFFFF"/>
      </font>
      <fill>
        <patternFill>
          <bgColor rgb="FFCCFFFF"/>
        </patternFill>
      </fill>
      <border>
        <left/>
        <right/>
        <top/>
        <bottom style="dotted">
          <color indexed="64"/>
        </bottom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 style="dotted">
          <color indexed="64"/>
        </bottom>
      </border>
    </dxf>
    <dxf>
      <fill>
        <patternFill patternType="solid">
          <bgColor indexed="45"/>
        </patternFill>
      </fill>
    </dxf>
    <dxf>
      <font>
        <strike/>
        <condense val="0"/>
        <extend val="0"/>
      </font>
      <fill>
        <patternFill>
          <bgColor indexed="45"/>
        </patternFill>
      </fill>
    </dxf>
    <dxf>
      <font>
        <strike/>
        <condense val="0"/>
        <extend val="0"/>
      </font>
      <fill>
        <patternFill>
          <bgColor indexed="45"/>
        </patternFill>
      </fill>
    </dxf>
    <dxf>
      <font>
        <strike/>
        <condense val="0"/>
        <extend val="0"/>
      </font>
      <fill>
        <patternFill>
          <bgColor indexed="45"/>
        </patternFill>
      </fill>
    </dxf>
    <dxf>
      <font>
        <strike/>
        <condense val="0"/>
        <extend val="0"/>
      </font>
      <fill>
        <patternFill>
          <bgColor indexed="45"/>
        </patternFill>
      </fill>
    </dxf>
    <dxf>
      <fill>
        <patternFill>
          <bgColor theme="0"/>
        </patternFill>
      </fill>
    </dxf>
    <dxf>
      <font>
        <condense val="0"/>
        <extend val="0"/>
        <color indexed="41"/>
      </font>
      <fill>
        <patternFill>
          <bgColor indexed="41"/>
        </patternFill>
      </fill>
    </dxf>
    <dxf>
      <fill>
        <patternFill>
          <bgColor rgb="FFCCFFFF"/>
        </patternFill>
      </fill>
      <border>
        <left/>
        <right/>
        <top/>
        <bottom/>
      </border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ont>
        <color rgb="FFCCFFFF"/>
      </font>
      <fill>
        <patternFill>
          <bgColor rgb="FFCCFFFF"/>
        </patternFill>
      </fill>
      <border>
        <left/>
        <right/>
        <top/>
        <bottom style="dotted">
          <color indexed="64"/>
        </bottom>
      </border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</font>
      <fill>
        <patternFill>
          <bgColor indexed="53"/>
        </patternFill>
      </fill>
    </dxf>
    <dxf>
      <font>
        <b val="0"/>
        <i/>
        <strike/>
        <condense val="0"/>
        <extend val="0"/>
        <color indexed="9"/>
      </font>
      <fill>
        <patternFill>
          <bgColor indexed="53"/>
        </patternFill>
      </fill>
      <border>
        <bottom style="dotted">
          <color indexed="64"/>
        </bottom>
      </border>
    </dxf>
    <dxf>
      <font>
        <b val="0"/>
        <i/>
        <strike/>
        <condense val="0"/>
        <extend val="0"/>
        <color indexed="9"/>
      </font>
      <fill>
        <patternFill>
          <bgColor indexed="53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lightTrellis">
          <bgColor indexed="41"/>
        </patternFill>
      </fill>
    </dxf>
    <dxf>
      <fill>
        <patternFill patternType="lightTrellis">
          <bgColor indexed="41"/>
        </patternFill>
      </fill>
    </dxf>
    <dxf>
      <fill>
        <patternFill patternType="lightTrellis">
          <bgColor indexed="41"/>
        </patternFill>
      </fill>
    </dxf>
    <dxf>
      <fill>
        <patternFill>
          <bgColor indexed="53"/>
        </patternFill>
      </fill>
    </dxf>
    <dxf>
      <font>
        <b val="0"/>
        <i val="0"/>
        <condense val="0"/>
        <extend val="0"/>
      </font>
      <fill>
        <patternFill>
          <bgColor indexed="53"/>
        </patternFill>
      </fill>
    </dxf>
    <dxf>
      <fill>
        <patternFill patternType="darkUp">
          <fgColor indexed="10"/>
          <bgColor indexed="9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64"/>
        </bottom>
      </border>
    </dxf>
    <dxf>
      <fill>
        <patternFill>
          <bgColor indexed="10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ill>
        <patternFill>
          <bgColor indexed="44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ill>
        <patternFill>
          <bgColor indexed="48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ill>
        <patternFill>
          <bgColor indexed="18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FF99CC"/>
      <color rgb="FF0000FF"/>
      <color rgb="FF339966"/>
      <color rgb="FF00CC00"/>
      <color rgb="FF0000CC"/>
      <color rgb="FFFFFFCC"/>
      <color rgb="FFC5D9F1"/>
      <color rgb="FFFFFF66"/>
      <color rgb="FFFF9F9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226732628680613E-2"/>
          <c:y val="5.228774856945903E-2"/>
          <c:w val="0.87747148472430414"/>
          <c:h val="0.7745122756851118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Kalkulation!$O$564</c:f>
              <c:strCache>
                <c:ptCount val="1"/>
                <c:pt idx="0">
                  <c:v>Liquiditätsverlauf kumuliert (ohne Wert d. Eigenstroms)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Kalkulation!$D$565:$D$694</c:f>
              <c:strCache>
                <c:ptCount val="126"/>
                <c:pt idx="0">
                  <c:v>Hj.</c:v>
                </c:pt>
                <c:pt idx="5">
                  <c:v>1</c:v>
                </c:pt>
                <c:pt idx="10">
                  <c:v>2</c:v>
                </c:pt>
                <c:pt idx="15">
                  <c:v>3</c:v>
                </c:pt>
                <c:pt idx="20">
                  <c:v>4</c:v>
                </c:pt>
                <c:pt idx="25">
                  <c:v>5</c:v>
                </c:pt>
                <c:pt idx="30">
                  <c:v>6</c:v>
                </c:pt>
                <c:pt idx="35">
                  <c:v>7</c:v>
                </c:pt>
                <c:pt idx="40">
                  <c:v>8</c:v>
                </c:pt>
                <c:pt idx="45">
                  <c:v>9</c:v>
                </c:pt>
                <c:pt idx="50">
                  <c:v>10</c:v>
                </c:pt>
                <c:pt idx="55">
                  <c:v>11</c:v>
                </c:pt>
                <c:pt idx="60">
                  <c:v>12</c:v>
                </c:pt>
                <c:pt idx="65">
                  <c:v>13</c:v>
                </c:pt>
                <c:pt idx="70">
                  <c:v>14</c:v>
                </c:pt>
                <c:pt idx="75">
                  <c:v>15</c:v>
                </c:pt>
                <c:pt idx="80">
                  <c:v>16</c:v>
                </c:pt>
                <c:pt idx="85">
                  <c:v>17</c:v>
                </c:pt>
                <c:pt idx="90">
                  <c:v>18</c:v>
                </c:pt>
                <c:pt idx="95">
                  <c:v>19</c:v>
                </c:pt>
                <c:pt idx="100">
                  <c:v>20</c:v>
                </c:pt>
                <c:pt idx="105">
                  <c:v>21</c:v>
                </c:pt>
                <c:pt idx="110">
                  <c:v>22</c:v>
                </c:pt>
                <c:pt idx="115">
                  <c:v>23</c:v>
                </c:pt>
                <c:pt idx="120">
                  <c:v>24</c:v>
                </c:pt>
                <c:pt idx="125">
                  <c:v>25</c:v>
                </c:pt>
              </c:strCache>
            </c:strRef>
          </c:cat>
          <c:val>
            <c:numRef>
              <c:f>Kalkulation!$O$565:$O$694</c:f>
              <c:numCache>
                <c:formatCode>#,##0__</c:formatCode>
                <c:ptCount val="130"/>
                <c:pt idx="3">
                  <c:v>0</c:v>
                </c:pt>
                <c:pt idx="8">
                  <c:v>0</c:v>
                </c:pt>
                <c:pt idx="13">
                  <c:v>0</c:v>
                </c:pt>
                <c:pt idx="18">
                  <c:v>0</c:v>
                </c:pt>
                <c:pt idx="23">
                  <c:v>0</c:v>
                </c:pt>
                <c:pt idx="28">
                  <c:v>0</c:v>
                </c:pt>
                <c:pt idx="33">
                  <c:v>0</c:v>
                </c:pt>
                <c:pt idx="38">
                  <c:v>0</c:v>
                </c:pt>
                <c:pt idx="43">
                  <c:v>0</c:v>
                </c:pt>
                <c:pt idx="48">
                  <c:v>0</c:v>
                </c:pt>
                <c:pt idx="53">
                  <c:v>0</c:v>
                </c:pt>
                <c:pt idx="58">
                  <c:v>0</c:v>
                </c:pt>
                <c:pt idx="63">
                  <c:v>0</c:v>
                </c:pt>
                <c:pt idx="68">
                  <c:v>0</c:v>
                </c:pt>
                <c:pt idx="73">
                  <c:v>0</c:v>
                </c:pt>
                <c:pt idx="78">
                  <c:v>0</c:v>
                </c:pt>
                <c:pt idx="83">
                  <c:v>0</c:v>
                </c:pt>
                <c:pt idx="88">
                  <c:v>0</c:v>
                </c:pt>
                <c:pt idx="93">
                  <c:v>0</c:v>
                </c:pt>
                <c:pt idx="98">
                  <c:v>0</c:v>
                </c:pt>
                <c:pt idx="103">
                  <c:v>0</c:v>
                </c:pt>
                <c:pt idx="108">
                  <c:v>0</c:v>
                </c:pt>
                <c:pt idx="113">
                  <c:v>0</c:v>
                </c:pt>
                <c:pt idx="118">
                  <c:v>0</c:v>
                </c:pt>
                <c:pt idx="123">
                  <c:v>0</c:v>
                </c:pt>
                <c:pt idx="1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5-4AEE-8D8F-F9436BBDB503}"/>
            </c:ext>
          </c:extLst>
        </c:ser>
        <c:ser>
          <c:idx val="1"/>
          <c:order val="1"/>
          <c:tx>
            <c:strRef>
              <c:f>Kalkulation!$F$564</c:f>
              <c:strCache>
                <c:ptCount val="1"/>
                <c:pt idx="0">
                  <c:v>Liquiditätsverlauf kumuliert (mit Wert d. Eigenstroms)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invertIfNegative val="0"/>
          <c:cat>
            <c:strRef>
              <c:f>Kalkulation!$D$565:$D$694</c:f>
              <c:strCache>
                <c:ptCount val="126"/>
                <c:pt idx="0">
                  <c:v>Hj.</c:v>
                </c:pt>
                <c:pt idx="5">
                  <c:v>1</c:v>
                </c:pt>
                <c:pt idx="10">
                  <c:v>2</c:v>
                </c:pt>
                <c:pt idx="15">
                  <c:v>3</c:v>
                </c:pt>
                <c:pt idx="20">
                  <c:v>4</c:v>
                </c:pt>
                <c:pt idx="25">
                  <c:v>5</c:v>
                </c:pt>
                <c:pt idx="30">
                  <c:v>6</c:v>
                </c:pt>
                <c:pt idx="35">
                  <c:v>7</c:v>
                </c:pt>
                <c:pt idx="40">
                  <c:v>8</c:v>
                </c:pt>
                <c:pt idx="45">
                  <c:v>9</c:v>
                </c:pt>
                <c:pt idx="50">
                  <c:v>10</c:v>
                </c:pt>
                <c:pt idx="55">
                  <c:v>11</c:v>
                </c:pt>
                <c:pt idx="60">
                  <c:v>12</c:v>
                </c:pt>
                <c:pt idx="65">
                  <c:v>13</c:v>
                </c:pt>
                <c:pt idx="70">
                  <c:v>14</c:v>
                </c:pt>
                <c:pt idx="75">
                  <c:v>15</c:v>
                </c:pt>
                <c:pt idx="80">
                  <c:v>16</c:v>
                </c:pt>
                <c:pt idx="85">
                  <c:v>17</c:v>
                </c:pt>
                <c:pt idx="90">
                  <c:v>18</c:v>
                </c:pt>
                <c:pt idx="95">
                  <c:v>19</c:v>
                </c:pt>
                <c:pt idx="100">
                  <c:v>20</c:v>
                </c:pt>
                <c:pt idx="105">
                  <c:v>21</c:v>
                </c:pt>
                <c:pt idx="110">
                  <c:v>22</c:v>
                </c:pt>
                <c:pt idx="115">
                  <c:v>23</c:v>
                </c:pt>
                <c:pt idx="120">
                  <c:v>24</c:v>
                </c:pt>
                <c:pt idx="125">
                  <c:v>25</c:v>
                </c:pt>
              </c:strCache>
            </c:strRef>
          </c:cat>
          <c:val>
            <c:numRef>
              <c:f>Kalkulation!$F$565:$F$692</c:f>
              <c:numCache>
                <c:formatCode>#,##0__</c:formatCode>
                <c:ptCount val="128"/>
                <c:pt idx="0">
                  <c:v>0</c:v>
                </c:pt>
                <c:pt idx="5">
                  <c:v>0</c:v>
                </c:pt>
                <c:pt idx="10">
                  <c:v>0</c:v>
                </c:pt>
                <c:pt idx="15">
                  <c:v>0</c:v>
                </c:pt>
                <c:pt idx="20">
                  <c:v>0</c:v>
                </c:pt>
                <c:pt idx="25">
                  <c:v>0</c:v>
                </c:pt>
                <c:pt idx="30">
                  <c:v>0</c:v>
                </c:pt>
                <c:pt idx="35">
                  <c:v>0</c:v>
                </c:pt>
                <c:pt idx="40">
                  <c:v>0</c:v>
                </c:pt>
                <c:pt idx="45">
                  <c:v>0</c:v>
                </c:pt>
                <c:pt idx="50">
                  <c:v>0</c:v>
                </c:pt>
                <c:pt idx="55">
                  <c:v>0</c:v>
                </c:pt>
                <c:pt idx="60">
                  <c:v>0</c:v>
                </c:pt>
                <c:pt idx="65">
                  <c:v>0</c:v>
                </c:pt>
                <c:pt idx="70">
                  <c:v>0</c:v>
                </c:pt>
                <c:pt idx="75">
                  <c:v>0</c:v>
                </c:pt>
                <c:pt idx="80">
                  <c:v>0</c:v>
                </c:pt>
                <c:pt idx="85">
                  <c:v>0</c:v>
                </c:pt>
                <c:pt idx="90">
                  <c:v>0</c:v>
                </c:pt>
                <c:pt idx="95">
                  <c:v>0</c:v>
                </c:pt>
                <c:pt idx="100">
                  <c:v>0</c:v>
                </c:pt>
                <c:pt idx="105">
                  <c:v>0</c:v>
                </c:pt>
                <c:pt idx="110">
                  <c:v>0</c:v>
                </c:pt>
                <c:pt idx="115">
                  <c:v>0</c:v>
                </c:pt>
                <c:pt idx="120">
                  <c:v>0</c:v>
                </c:pt>
                <c:pt idx="1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5-4AEE-8D8F-F9436BBDB503}"/>
            </c:ext>
          </c:extLst>
        </c:ser>
        <c:ser>
          <c:idx val="0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Lbls>
            <c:numFmt formatCode="#,##0__;\-#,##0;[White]0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9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Kalkulation!$D$565:$D$694</c:f>
              <c:strCache>
                <c:ptCount val="126"/>
                <c:pt idx="0">
                  <c:v>Hj.</c:v>
                </c:pt>
                <c:pt idx="5">
                  <c:v>1</c:v>
                </c:pt>
                <c:pt idx="10">
                  <c:v>2</c:v>
                </c:pt>
                <c:pt idx="15">
                  <c:v>3</c:v>
                </c:pt>
                <c:pt idx="20">
                  <c:v>4</c:v>
                </c:pt>
                <c:pt idx="25">
                  <c:v>5</c:v>
                </c:pt>
                <c:pt idx="30">
                  <c:v>6</c:v>
                </c:pt>
                <c:pt idx="35">
                  <c:v>7</c:v>
                </c:pt>
                <c:pt idx="40">
                  <c:v>8</c:v>
                </c:pt>
                <c:pt idx="45">
                  <c:v>9</c:v>
                </c:pt>
                <c:pt idx="50">
                  <c:v>10</c:v>
                </c:pt>
                <c:pt idx="55">
                  <c:v>11</c:v>
                </c:pt>
                <c:pt idx="60">
                  <c:v>12</c:v>
                </c:pt>
                <c:pt idx="65">
                  <c:v>13</c:v>
                </c:pt>
                <c:pt idx="70">
                  <c:v>14</c:v>
                </c:pt>
                <c:pt idx="75">
                  <c:v>15</c:v>
                </c:pt>
                <c:pt idx="80">
                  <c:v>16</c:v>
                </c:pt>
                <c:pt idx="85">
                  <c:v>17</c:v>
                </c:pt>
                <c:pt idx="90">
                  <c:v>18</c:v>
                </c:pt>
                <c:pt idx="95">
                  <c:v>19</c:v>
                </c:pt>
                <c:pt idx="100">
                  <c:v>20</c:v>
                </c:pt>
                <c:pt idx="105">
                  <c:v>21</c:v>
                </c:pt>
                <c:pt idx="110">
                  <c:v>22</c:v>
                </c:pt>
                <c:pt idx="115">
                  <c:v>23</c:v>
                </c:pt>
                <c:pt idx="120">
                  <c:v>24</c:v>
                </c:pt>
                <c:pt idx="125">
                  <c:v>25</c:v>
                </c:pt>
              </c:strCache>
            </c:strRef>
          </c:cat>
          <c:val>
            <c:numRef>
              <c:f>Kalkulation!$I$565:$I$692</c:f>
              <c:numCache>
                <c:formatCode>#,##0__</c:formatCode>
                <c:ptCount val="128"/>
                <c:pt idx="1">
                  <c:v>0</c:v>
                </c:pt>
                <c:pt idx="6">
                  <c:v>0</c:v>
                </c:pt>
                <c:pt idx="11">
                  <c:v>0</c:v>
                </c:pt>
                <c:pt idx="16">
                  <c:v>0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  <c:pt idx="46">
                  <c:v>0</c:v>
                </c:pt>
                <c:pt idx="51">
                  <c:v>0</c:v>
                </c:pt>
                <c:pt idx="56">
                  <c:v>0</c:v>
                </c:pt>
                <c:pt idx="61">
                  <c:v>0</c:v>
                </c:pt>
                <c:pt idx="66">
                  <c:v>0</c:v>
                </c:pt>
                <c:pt idx="71">
                  <c:v>0</c:v>
                </c:pt>
                <c:pt idx="76">
                  <c:v>0</c:v>
                </c:pt>
                <c:pt idx="81">
                  <c:v>0</c:v>
                </c:pt>
                <c:pt idx="86">
                  <c:v>0</c:v>
                </c:pt>
                <c:pt idx="91">
                  <c:v>0</c:v>
                </c:pt>
                <c:pt idx="96">
                  <c:v>0</c:v>
                </c:pt>
                <c:pt idx="101">
                  <c:v>0</c:v>
                </c:pt>
                <c:pt idx="106">
                  <c:v>0</c:v>
                </c:pt>
                <c:pt idx="111">
                  <c:v>0</c:v>
                </c:pt>
                <c:pt idx="116">
                  <c:v>0</c:v>
                </c:pt>
                <c:pt idx="121">
                  <c:v>0</c:v>
                </c:pt>
                <c:pt idx="1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D5-4AEE-8D8F-F9436BBDB503}"/>
            </c:ext>
          </c:extLst>
        </c:ser>
        <c:ser>
          <c:idx val="2"/>
          <c:order val="3"/>
          <c:spPr>
            <a:solidFill>
              <a:srgbClr val="00FF00"/>
            </a:solidFill>
            <a:ln w="25400">
              <a:noFill/>
            </a:ln>
          </c:spPr>
          <c:invertIfNegative val="0"/>
          <c:cat>
            <c:strRef>
              <c:f>Kalkulation!$D$565:$D$694</c:f>
              <c:strCache>
                <c:ptCount val="126"/>
                <c:pt idx="0">
                  <c:v>Hj.</c:v>
                </c:pt>
                <c:pt idx="5">
                  <c:v>1</c:v>
                </c:pt>
                <c:pt idx="10">
                  <c:v>2</c:v>
                </c:pt>
                <c:pt idx="15">
                  <c:v>3</c:v>
                </c:pt>
                <c:pt idx="20">
                  <c:v>4</c:v>
                </c:pt>
                <c:pt idx="25">
                  <c:v>5</c:v>
                </c:pt>
                <c:pt idx="30">
                  <c:v>6</c:v>
                </c:pt>
                <c:pt idx="35">
                  <c:v>7</c:v>
                </c:pt>
                <c:pt idx="40">
                  <c:v>8</c:v>
                </c:pt>
                <c:pt idx="45">
                  <c:v>9</c:v>
                </c:pt>
                <c:pt idx="50">
                  <c:v>10</c:v>
                </c:pt>
                <c:pt idx="55">
                  <c:v>11</c:v>
                </c:pt>
                <c:pt idx="60">
                  <c:v>12</c:v>
                </c:pt>
                <c:pt idx="65">
                  <c:v>13</c:v>
                </c:pt>
                <c:pt idx="70">
                  <c:v>14</c:v>
                </c:pt>
                <c:pt idx="75">
                  <c:v>15</c:v>
                </c:pt>
                <c:pt idx="80">
                  <c:v>16</c:v>
                </c:pt>
                <c:pt idx="85">
                  <c:v>17</c:v>
                </c:pt>
                <c:pt idx="90">
                  <c:v>18</c:v>
                </c:pt>
                <c:pt idx="95">
                  <c:v>19</c:v>
                </c:pt>
                <c:pt idx="100">
                  <c:v>20</c:v>
                </c:pt>
                <c:pt idx="105">
                  <c:v>21</c:v>
                </c:pt>
                <c:pt idx="110">
                  <c:v>22</c:v>
                </c:pt>
                <c:pt idx="115">
                  <c:v>23</c:v>
                </c:pt>
                <c:pt idx="120">
                  <c:v>24</c:v>
                </c:pt>
                <c:pt idx="125">
                  <c:v>25</c:v>
                </c:pt>
              </c:strCache>
            </c:strRef>
          </c:cat>
          <c:val>
            <c:numRef>
              <c:f>Kalkulation!$L$565:$L$692</c:f>
              <c:numCache>
                <c:formatCode>#,##0__</c:formatCode>
                <c:ptCount val="128"/>
                <c:pt idx="2">
                  <c:v>0</c:v>
                </c:pt>
                <c:pt idx="7">
                  <c:v>0</c:v>
                </c:pt>
                <c:pt idx="12">
                  <c:v>0</c:v>
                </c:pt>
                <c:pt idx="17">
                  <c:v>0</c:v>
                </c:pt>
                <c:pt idx="22">
                  <c:v>0</c:v>
                </c:pt>
                <c:pt idx="27">
                  <c:v>0</c:v>
                </c:pt>
                <c:pt idx="32">
                  <c:v>0</c:v>
                </c:pt>
                <c:pt idx="37">
                  <c:v>0</c:v>
                </c:pt>
                <c:pt idx="42">
                  <c:v>0</c:v>
                </c:pt>
                <c:pt idx="47">
                  <c:v>0</c:v>
                </c:pt>
                <c:pt idx="52">
                  <c:v>0</c:v>
                </c:pt>
                <c:pt idx="57">
                  <c:v>0</c:v>
                </c:pt>
                <c:pt idx="62">
                  <c:v>0</c:v>
                </c:pt>
                <c:pt idx="67">
                  <c:v>0</c:v>
                </c:pt>
                <c:pt idx="72">
                  <c:v>0</c:v>
                </c:pt>
                <c:pt idx="77">
                  <c:v>0</c:v>
                </c:pt>
                <c:pt idx="82">
                  <c:v>0</c:v>
                </c:pt>
                <c:pt idx="87">
                  <c:v>0</c:v>
                </c:pt>
                <c:pt idx="92">
                  <c:v>0</c:v>
                </c:pt>
                <c:pt idx="97">
                  <c:v>0</c:v>
                </c:pt>
                <c:pt idx="102">
                  <c:v>0</c:v>
                </c:pt>
                <c:pt idx="107">
                  <c:v>0</c:v>
                </c:pt>
                <c:pt idx="112">
                  <c:v>0</c:v>
                </c:pt>
                <c:pt idx="117">
                  <c:v>0</c:v>
                </c:pt>
                <c:pt idx="122">
                  <c:v>0</c:v>
                </c:pt>
                <c:pt idx="1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D5-4AEE-8D8F-F9436BBDB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4507136"/>
        <c:axId val="114517504"/>
      </c:barChart>
      <c:catAx>
        <c:axId val="11450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Jahre</a:t>
                </a:r>
              </a:p>
            </c:rich>
          </c:tx>
          <c:layout>
            <c:manualLayout>
              <c:xMode val="edge"/>
              <c:yMode val="edge"/>
              <c:x val="0.89723437986786092"/>
              <c:y val="0.905231322039154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de-DE"/>
          </a:p>
        </c:txPr>
        <c:crossAx val="11451750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1451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in €uro</a:t>
                </a:r>
              </a:p>
            </c:rich>
          </c:tx>
          <c:layout>
            <c:manualLayout>
              <c:xMode val="edge"/>
              <c:yMode val="edge"/>
              <c:x val="9.2227296049593958E-3"/>
              <c:y val="2.2875594150302263E-2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#,##0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de-DE"/>
          </a:p>
        </c:txPr>
        <c:crossAx val="114507136"/>
        <c:crosses val="autoZero"/>
        <c:crossBetween val="between"/>
      </c:valAx>
      <c:spPr>
        <a:solidFill>
          <a:schemeClr val="bg1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220000">
            <a:gamma/>
            <a:tint val="0"/>
            <a:invGamma/>
          </a:srgbClr>
        </a:gs>
        <a:gs pos="100000">
          <a:srgbClr val="220000"/>
        </a:gs>
      </a:gsLst>
      <a:lin ang="18900000" scaled="1"/>
    </a:gradFill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496831636033787E-2"/>
          <c:y val="7.0588505623872644E-2"/>
          <c:w val="0.87351891046878916"/>
          <c:h val="0.7137282235302677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Kalkulation!$AP$436</c:f>
              <c:strCache>
                <c:ptCount val="1"/>
                <c:pt idx="0">
                  <c:v>(jährlich)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invertIfNegative val="0"/>
          <c:dLbls>
            <c:numFmt formatCode="#,##0__;\-#,##0;[White]0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l">
                  <a:defRPr sz="9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Kalkulation!$Y$437:$Y$462</c:f>
              <c:strCache>
                <c:ptCount val="26"/>
                <c:pt idx="0">
                  <c:v>Hj.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strCache>
            </c:strRef>
          </c:cat>
          <c:val>
            <c:numRef>
              <c:f>Kalkulation!$AP$437:$AP$462</c:f>
              <c:numCache>
                <c:formatCode>#,##0__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FA-4696-8A46-E2AD1DB87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3557760"/>
        <c:axId val="123559936"/>
      </c:barChart>
      <c:catAx>
        <c:axId val="12355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Jahre</a:t>
                </a:r>
              </a:p>
            </c:rich>
          </c:tx>
          <c:layout>
            <c:manualLayout>
              <c:xMode val="edge"/>
              <c:yMode val="edge"/>
              <c:x val="0.91304456647098076"/>
              <c:y val="0.87843454127975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de-DE"/>
          </a:p>
        </c:txPr>
        <c:crossAx val="12355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559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in €uro</a:t>
                </a:r>
              </a:p>
            </c:rich>
          </c:tx>
          <c:layout>
            <c:manualLayout>
              <c:xMode val="edge"/>
              <c:yMode val="edge"/>
              <c:x val="2.3715345770028498E-2"/>
              <c:y val="1.9607733696501529E-2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#,##0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de-DE"/>
          </a:p>
        </c:txPr>
        <c:crossAx val="123557760"/>
        <c:crosses val="autoZero"/>
        <c:crossBetween val="between"/>
      </c:valAx>
      <c:spPr>
        <a:solidFill>
          <a:schemeClr val="bg1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220000">
            <a:gamma/>
            <a:tint val="0"/>
            <a:invGamma/>
          </a:srgbClr>
        </a:gs>
        <a:gs pos="100000">
          <a:srgbClr val="220000"/>
        </a:gs>
      </a:gsLst>
      <a:lin ang="18900000" scaled="1"/>
    </a:gra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160792058825419E-2"/>
          <c:y val="6.5359685711823781E-2"/>
          <c:w val="0.92885495004599761"/>
          <c:h val="0.8039241342554325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Kalkulation!$J$480</c:f>
              <c:strCache>
                <c:ptCount val="1"/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254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Kalkulation!$D$481:$D$561</c:f>
              <c:strCache>
                <c:ptCount val="79"/>
                <c:pt idx="3">
                  <c:v>Hj.</c:v>
                </c:pt>
                <c:pt idx="6">
                  <c:v>1</c:v>
                </c:pt>
                <c:pt idx="9">
                  <c:v>2</c:v>
                </c:pt>
                <c:pt idx="12">
                  <c:v>3</c:v>
                </c:pt>
                <c:pt idx="15">
                  <c:v>4</c:v>
                </c:pt>
                <c:pt idx="18">
                  <c:v>5</c:v>
                </c:pt>
                <c:pt idx="21">
                  <c:v>6</c:v>
                </c:pt>
                <c:pt idx="24">
                  <c:v>7</c:v>
                </c:pt>
                <c:pt idx="27">
                  <c:v>8</c:v>
                </c:pt>
                <c:pt idx="30">
                  <c:v>9</c:v>
                </c:pt>
                <c:pt idx="33">
                  <c:v>10</c:v>
                </c:pt>
                <c:pt idx="36">
                  <c:v>11</c:v>
                </c:pt>
                <c:pt idx="39">
                  <c:v>12</c:v>
                </c:pt>
                <c:pt idx="42">
                  <c:v>13</c:v>
                </c:pt>
                <c:pt idx="45">
                  <c:v>14</c:v>
                </c:pt>
                <c:pt idx="48">
                  <c:v>15</c:v>
                </c:pt>
                <c:pt idx="51">
                  <c:v>16</c:v>
                </c:pt>
                <c:pt idx="54">
                  <c:v>17</c:v>
                </c:pt>
                <c:pt idx="57">
                  <c:v>18</c:v>
                </c:pt>
                <c:pt idx="60">
                  <c:v>19</c:v>
                </c:pt>
                <c:pt idx="63">
                  <c:v>20</c:v>
                </c:pt>
                <c:pt idx="66">
                  <c:v>21</c:v>
                </c:pt>
                <c:pt idx="69">
                  <c:v>22</c:v>
                </c:pt>
                <c:pt idx="72">
                  <c:v>23</c:v>
                </c:pt>
                <c:pt idx="75">
                  <c:v>24</c:v>
                </c:pt>
                <c:pt idx="78">
                  <c:v>25</c:v>
                </c:pt>
              </c:strCache>
            </c:strRef>
          </c:cat>
          <c:val>
            <c:numRef>
              <c:f>Kalkulation!$J$481:$J$561</c:f>
              <c:numCache>
                <c:formatCode>General</c:formatCode>
                <c:ptCount val="81"/>
                <c:pt idx="2" formatCode="#,##0__">
                  <c:v>0</c:v>
                </c:pt>
                <c:pt idx="5" formatCode="#,##0__">
                  <c:v>0</c:v>
                </c:pt>
                <c:pt idx="8" formatCode="#,##0__">
                  <c:v>0</c:v>
                </c:pt>
                <c:pt idx="11" formatCode="#,##0__">
                  <c:v>0</c:v>
                </c:pt>
                <c:pt idx="14" formatCode="#,##0__">
                  <c:v>0</c:v>
                </c:pt>
                <c:pt idx="17" formatCode="#,##0__">
                  <c:v>0</c:v>
                </c:pt>
                <c:pt idx="20" formatCode="#,##0__">
                  <c:v>0</c:v>
                </c:pt>
                <c:pt idx="23" formatCode="#,##0__">
                  <c:v>0</c:v>
                </c:pt>
                <c:pt idx="26" formatCode="#,##0__">
                  <c:v>0</c:v>
                </c:pt>
                <c:pt idx="29" formatCode="#,##0__">
                  <c:v>0</c:v>
                </c:pt>
                <c:pt idx="32" formatCode="#,##0__">
                  <c:v>0</c:v>
                </c:pt>
                <c:pt idx="35" formatCode="#,##0__">
                  <c:v>0</c:v>
                </c:pt>
                <c:pt idx="38" formatCode="#,##0__">
                  <c:v>0</c:v>
                </c:pt>
                <c:pt idx="41" formatCode="#,##0__">
                  <c:v>0</c:v>
                </c:pt>
                <c:pt idx="44" formatCode="#,##0__">
                  <c:v>0</c:v>
                </c:pt>
                <c:pt idx="47" formatCode="#,##0__">
                  <c:v>0</c:v>
                </c:pt>
                <c:pt idx="50" formatCode="#,##0__">
                  <c:v>0</c:v>
                </c:pt>
                <c:pt idx="53" formatCode="#,##0__">
                  <c:v>0</c:v>
                </c:pt>
                <c:pt idx="56" formatCode="#,##0__">
                  <c:v>0</c:v>
                </c:pt>
                <c:pt idx="59" formatCode="#,##0__">
                  <c:v>0</c:v>
                </c:pt>
                <c:pt idx="62" formatCode="#,##0__">
                  <c:v>0</c:v>
                </c:pt>
                <c:pt idx="65" formatCode="#,##0__">
                  <c:v>0</c:v>
                </c:pt>
                <c:pt idx="68" formatCode="#,##0__">
                  <c:v>0</c:v>
                </c:pt>
                <c:pt idx="71" formatCode="#,##0__">
                  <c:v>0</c:v>
                </c:pt>
                <c:pt idx="74" formatCode="#,##0__">
                  <c:v>0</c:v>
                </c:pt>
                <c:pt idx="77" formatCode="#,##0__">
                  <c:v>0</c:v>
                </c:pt>
                <c:pt idx="80" formatCode="#,##0__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7-40B2-A744-DA579025F641}"/>
            </c:ext>
          </c:extLst>
        </c:ser>
        <c:ser>
          <c:idx val="3"/>
          <c:order val="1"/>
          <c:tx>
            <c:strRef>
              <c:f>Kalkulation!$I$480</c:f>
              <c:strCache>
                <c:ptCount val="1"/>
              </c:strCache>
            </c:strRef>
          </c:tx>
          <c:spPr>
            <a:solidFill>
              <a:srgbClr val="FF0000"/>
            </a:solidFill>
            <a:ln w="12700">
              <a:solidFill>
                <a:srgbClr val="FF00FF"/>
              </a:solidFill>
              <a:prstDash val="solid"/>
            </a:ln>
          </c:spPr>
          <c:invertIfNegative val="0"/>
          <c:cat>
            <c:strRef>
              <c:f>Kalkulation!$D$481:$D$561</c:f>
              <c:strCache>
                <c:ptCount val="79"/>
                <c:pt idx="3">
                  <c:v>Hj.</c:v>
                </c:pt>
                <c:pt idx="6">
                  <c:v>1</c:v>
                </c:pt>
                <c:pt idx="9">
                  <c:v>2</c:v>
                </c:pt>
                <c:pt idx="12">
                  <c:v>3</c:v>
                </c:pt>
                <c:pt idx="15">
                  <c:v>4</c:v>
                </c:pt>
                <c:pt idx="18">
                  <c:v>5</c:v>
                </c:pt>
                <c:pt idx="21">
                  <c:v>6</c:v>
                </c:pt>
                <c:pt idx="24">
                  <c:v>7</c:v>
                </c:pt>
                <c:pt idx="27">
                  <c:v>8</c:v>
                </c:pt>
                <c:pt idx="30">
                  <c:v>9</c:v>
                </c:pt>
                <c:pt idx="33">
                  <c:v>10</c:v>
                </c:pt>
                <c:pt idx="36">
                  <c:v>11</c:v>
                </c:pt>
                <c:pt idx="39">
                  <c:v>12</c:v>
                </c:pt>
                <c:pt idx="42">
                  <c:v>13</c:v>
                </c:pt>
                <c:pt idx="45">
                  <c:v>14</c:v>
                </c:pt>
                <c:pt idx="48">
                  <c:v>15</c:v>
                </c:pt>
                <c:pt idx="51">
                  <c:v>16</c:v>
                </c:pt>
                <c:pt idx="54">
                  <c:v>17</c:v>
                </c:pt>
                <c:pt idx="57">
                  <c:v>18</c:v>
                </c:pt>
                <c:pt idx="60">
                  <c:v>19</c:v>
                </c:pt>
                <c:pt idx="63">
                  <c:v>20</c:v>
                </c:pt>
                <c:pt idx="66">
                  <c:v>21</c:v>
                </c:pt>
                <c:pt idx="69">
                  <c:v>22</c:v>
                </c:pt>
                <c:pt idx="72">
                  <c:v>23</c:v>
                </c:pt>
                <c:pt idx="75">
                  <c:v>24</c:v>
                </c:pt>
                <c:pt idx="78">
                  <c:v>25</c:v>
                </c:pt>
              </c:strCache>
            </c:strRef>
          </c:cat>
          <c:val>
            <c:numRef>
              <c:f>Kalkulation!$I$481:$I$561</c:f>
              <c:numCache>
                <c:formatCode>#,##0__</c:formatCode>
                <c:ptCount val="81"/>
                <c:pt idx="1">
                  <c:v>0</c:v>
                </c:pt>
                <c:pt idx="4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</c:v>
                </c:pt>
                <c:pt idx="16">
                  <c:v>0</c:v>
                </c:pt>
                <c:pt idx="19">
                  <c:v>0</c:v>
                </c:pt>
                <c:pt idx="22">
                  <c:v>0</c:v>
                </c:pt>
                <c:pt idx="25">
                  <c:v>0</c:v>
                </c:pt>
                <c:pt idx="28">
                  <c:v>0</c:v>
                </c:pt>
                <c:pt idx="31">
                  <c:v>0</c:v>
                </c:pt>
                <c:pt idx="34">
                  <c:v>0</c:v>
                </c:pt>
                <c:pt idx="37">
                  <c:v>0</c:v>
                </c:pt>
                <c:pt idx="40">
                  <c:v>0</c:v>
                </c:pt>
                <c:pt idx="43">
                  <c:v>0</c:v>
                </c:pt>
                <c:pt idx="46">
                  <c:v>0</c:v>
                </c:pt>
                <c:pt idx="49">
                  <c:v>0</c:v>
                </c:pt>
                <c:pt idx="52">
                  <c:v>0</c:v>
                </c:pt>
                <c:pt idx="55">
                  <c:v>0</c:v>
                </c:pt>
                <c:pt idx="58">
                  <c:v>0</c:v>
                </c:pt>
                <c:pt idx="61">
                  <c:v>0</c:v>
                </c:pt>
                <c:pt idx="64">
                  <c:v>0</c:v>
                </c:pt>
                <c:pt idx="67">
                  <c:v>0</c:v>
                </c:pt>
                <c:pt idx="70">
                  <c:v>0</c:v>
                </c:pt>
                <c:pt idx="73">
                  <c:v>0</c:v>
                </c:pt>
                <c:pt idx="76">
                  <c:v>0</c:v>
                </c:pt>
                <c:pt idx="7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A7-40B2-A744-DA579025F641}"/>
            </c:ext>
          </c:extLst>
        </c:ser>
        <c:ser>
          <c:idx val="2"/>
          <c:order val="2"/>
          <c:tx>
            <c:strRef>
              <c:f>Kalkulation!$H$480</c:f>
              <c:strCache>
                <c:ptCount val="1"/>
                <c:pt idx="0">
                  <c:v>eingesetzt          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Kalkulation!$D$481:$D$561</c:f>
              <c:strCache>
                <c:ptCount val="79"/>
                <c:pt idx="3">
                  <c:v>Hj.</c:v>
                </c:pt>
                <c:pt idx="6">
                  <c:v>1</c:v>
                </c:pt>
                <c:pt idx="9">
                  <c:v>2</c:v>
                </c:pt>
                <c:pt idx="12">
                  <c:v>3</c:v>
                </c:pt>
                <c:pt idx="15">
                  <c:v>4</c:v>
                </c:pt>
                <c:pt idx="18">
                  <c:v>5</c:v>
                </c:pt>
                <c:pt idx="21">
                  <c:v>6</c:v>
                </c:pt>
                <c:pt idx="24">
                  <c:v>7</c:v>
                </c:pt>
                <c:pt idx="27">
                  <c:v>8</c:v>
                </c:pt>
                <c:pt idx="30">
                  <c:v>9</c:v>
                </c:pt>
                <c:pt idx="33">
                  <c:v>10</c:v>
                </c:pt>
                <c:pt idx="36">
                  <c:v>11</c:v>
                </c:pt>
                <c:pt idx="39">
                  <c:v>12</c:v>
                </c:pt>
                <c:pt idx="42">
                  <c:v>13</c:v>
                </c:pt>
                <c:pt idx="45">
                  <c:v>14</c:v>
                </c:pt>
                <c:pt idx="48">
                  <c:v>15</c:v>
                </c:pt>
                <c:pt idx="51">
                  <c:v>16</c:v>
                </c:pt>
                <c:pt idx="54">
                  <c:v>17</c:v>
                </c:pt>
                <c:pt idx="57">
                  <c:v>18</c:v>
                </c:pt>
                <c:pt idx="60">
                  <c:v>19</c:v>
                </c:pt>
                <c:pt idx="63">
                  <c:v>20</c:v>
                </c:pt>
                <c:pt idx="66">
                  <c:v>21</c:v>
                </c:pt>
                <c:pt idx="69">
                  <c:v>22</c:v>
                </c:pt>
                <c:pt idx="72">
                  <c:v>23</c:v>
                </c:pt>
                <c:pt idx="75">
                  <c:v>24</c:v>
                </c:pt>
                <c:pt idx="78">
                  <c:v>25</c:v>
                </c:pt>
              </c:strCache>
            </c:strRef>
          </c:cat>
          <c:val>
            <c:numRef>
              <c:f>Kalkulation!$H$481:$H$561</c:f>
              <c:numCache>
                <c:formatCode>General</c:formatCode>
                <c:ptCount val="81"/>
                <c:pt idx="0" formatCode="#,##0__">
                  <c:v>0</c:v>
                </c:pt>
                <c:pt idx="3" formatCode="#,##0__">
                  <c:v>0</c:v>
                </c:pt>
                <c:pt idx="6" formatCode="#,##0__">
                  <c:v>0</c:v>
                </c:pt>
                <c:pt idx="9" formatCode="#,##0__">
                  <c:v>0</c:v>
                </c:pt>
                <c:pt idx="12" formatCode="#,##0__">
                  <c:v>0</c:v>
                </c:pt>
                <c:pt idx="15" formatCode="#,##0__">
                  <c:v>0</c:v>
                </c:pt>
                <c:pt idx="18" formatCode="#,##0__">
                  <c:v>0</c:v>
                </c:pt>
                <c:pt idx="21" formatCode="#,##0__">
                  <c:v>0</c:v>
                </c:pt>
                <c:pt idx="24" formatCode="#,##0__">
                  <c:v>0</c:v>
                </c:pt>
                <c:pt idx="27" formatCode="#,##0__">
                  <c:v>0</c:v>
                </c:pt>
                <c:pt idx="30" formatCode="#,##0__">
                  <c:v>0</c:v>
                </c:pt>
                <c:pt idx="33" formatCode="#,##0__">
                  <c:v>0</c:v>
                </c:pt>
                <c:pt idx="36" formatCode="#,##0__">
                  <c:v>0</c:v>
                </c:pt>
                <c:pt idx="39" formatCode="#,##0__">
                  <c:v>0</c:v>
                </c:pt>
                <c:pt idx="42" formatCode="#,##0__">
                  <c:v>0</c:v>
                </c:pt>
                <c:pt idx="45" formatCode="#,##0__">
                  <c:v>0</c:v>
                </c:pt>
                <c:pt idx="48" formatCode="#,##0__">
                  <c:v>0</c:v>
                </c:pt>
                <c:pt idx="51" formatCode="#,##0__">
                  <c:v>0</c:v>
                </c:pt>
                <c:pt idx="54" formatCode="#,##0__">
                  <c:v>0</c:v>
                </c:pt>
                <c:pt idx="57" formatCode="#,##0__">
                  <c:v>0</c:v>
                </c:pt>
                <c:pt idx="60" formatCode="#,##0__">
                  <c:v>0</c:v>
                </c:pt>
                <c:pt idx="63" formatCode="#,##0__">
                  <c:v>0</c:v>
                </c:pt>
                <c:pt idx="66" formatCode="#,##0__">
                  <c:v>0</c:v>
                </c:pt>
                <c:pt idx="69" formatCode="#,##0__">
                  <c:v>0</c:v>
                </c:pt>
                <c:pt idx="72" formatCode="#,##0__">
                  <c:v>0</c:v>
                </c:pt>
                <c:pt idx="75" formatCode="#,##0__">
                  <c:v>0</c:v>
                </c:pt>
                <c:pt idx="78" formatCode="#,##0__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A7-40B2-A744-DA579025F641}"/>
            </c:ext>
          </c:extLst>
        </c:ser>
        <c:ser>
          <c:idx val="1"/>
          <c:order val="3"/>
          <c:tx>
            <c:strRef>
              <c:f>Kalkulation!$G$480</c:f>
              <c:strCache>
                <c:ptCount val="1"/>
                <c:pt idx="0">
                  <c:v>Darlehen        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Kalkulation!$D$481:$D$561</c:f>
              <c:strCache>
                <c:ptCount val="79"/>
                <c:pt idx="3">
                  <c:v>Hj.</c:v>
                </c:pt>
                <c:pt idx="6">
                  <c:v>1</c:v>
                </c:pt>
                <c:pt idx="9">
                  <c:v>2</c:v>
                </c:pt>
                <c:pt idx="12">
                  <c:v>3</c:v>
                </c:pt>
                <c:pt idx="15">
                  <c:v>4</c:v>
                </c:pt>
                <c:pt idx="18">
                  <c:v>5</c:v>
                </c:pt>
                <c:pt idx="21">
                  <c:v>6</c:v>
                </c:pt>
                <c:pt idx="24">
                  <c:v>7</c:v>
                </c:pt>
                <c:pt idx="27">
                  <c:v>8</c:v>
                </c:pt>
                <c:pt idx="30">
                  <c:v>9</c:v>
                </c:pt>
                <c:pt idx="33">
                  <c:v>10</c:v>
                </c:pt>
                <c:pt idx="36">
                  <c:v>11</c:v>
                </c:pt>
                <c:pt idx="39">
                  <c:v>12</c:v>
                </c:pt>
                <c:pt idx="42">
                  <c:v>13</c:v>
                </c:pt>
                <c:pt idx="45">
                  <c:v>14</c:v>
                </c:pt>
                <c:pt idx="48">
                  <c:v>15</c:v>
                </c:pt>
                <c:pt idx="51">
                  <c:v>16</c:v>
                </c:pt>
                <c:pt idx="54">
                  <c:v>17</c:v>
                </c:pt>
                <c:pt idx="57">
                  <c:v>18</c:v>
                </c:pt>
                <c:pt idx="60">
                  <c:v>19</c:v>
                </c:pt>
                <c:pt idx="63">
                  <c:v>20</c:v>
                </c:pt>
                <c:pt idx="66">
                  <c:v>21</c:v>
                </c:pt>
                <c:pt idx="69">
                  <c:v>22</c:v>
                </c:pt>
                <c:pt idx="72">
                  <c:v>23</c:v>
                </c:pt>
                <c:pt idx="75">
                  <c:v>24</c:v>
                </c:pt>
                <c:pt idx="78">
                  <c:v>25</c:v>
                </c:pt>
              </c:strCache>
            </c:strRef>
          </c:cat>
          <c:val>
            <c:numRef>
              <c:f>Kalkulation!$G$481:$G$561</c:f>
              <c:numCache>
                <c:formatCode>General</c:formatCode>
                <c:ptCount val="81"/>
                <c:pt idx="0" formatCode="#,##0__">
                  <c:v>0</c:v>
                </c:pt>
                <c:pt idx="3" formatCode="#,##0__">
                  <c:v>0</c:v>
                </c:pt>
                <c:pt idx="6" formatCode="#,##0__">
                  <c:v>0</c:v>
                </c:pt>
                <c:pt idx="9" formatCode="#,##0__">
                  <c:v>0</c:v>
                </c:pt>
                <c:pt idx="12" formatCode="#,##0__">
                  <c:v>0</c:v>
                </c:pt>
                <c:pt idx="15" formatCode="#,##0__">
                  <c:v>0</c:v>
                </c:pt>
                <c:pt idx="18" formatCode="#,##0__">
                  <c:v>0</c:v>
                </c:pt>
                <c:pt idx="21" formatCode="#,##0__">
                  <c:v>0</c:v>
                </c:pt>
                <c:pt idx="24" formatCode="#,##0__">
                  <c:v>0</c:v>
                </c:pt>
                <c:pt idx="27" formatCode="#,##0__">
                  <c:v>0</c:v>
                </c:pt>
                <c:pt idx="30" formatCode="#,##0__">
                  <c:v>0</c:v>
                </c:pt>
                <c:pt idx="33" formatCode="#,##0__">
                  <c:v>0</c:v>
                </c:pt>
                <c:pt idx="36" formatCode="#,##0__">
                  <c:v>0</c:v>
                </c:pt>
                <c:pt idx="39" formatCode="#,##0__">
                  <c:v>0</c:v>
                </c:pt>
                <c:pt idx="42" formatCode="#,##0__">
                  <c:v>0</c:v>
                </c:pt>
                <c:pt idx="45" formatCode="#,##0__">
                  <c:v>0</c:v>
                </c:pt>
                <c:pt idx="48" formatCode="#,##0__">
                  <c:v>0</c:v>
                </c:pt>
                <c:pt idx="51" formatCode="#,##0__">
                  <c:v>0</c:v>
                </c:pt>
                <c:pt idx="54" formatCode="#,##0__">
                  <c:v>0</c:v>
                </c:pt>
                <c:pt idx="57" formatCode="#,##0__">
                  <c:v>0</c:v>
                </c:pt>
                <c:pt idx="60" formatCode="#,##0__">
                  <c:v>0</c:v>
                </c:pt>
                <c:pt idx="63" formatCode="#,##0__">
                  <c:v>0</c:v>
                </c:pt>
                <c:pt idx="66" formatCode="#,##0__">
                  <c:v>0</c:v>
                </c:pt>
                <c:pt idx="69" formatCode="#,##0__">
                  <c:v>0</c:v>
                </c:pt>
                <c:pt idx="72" formatCode="#,##0__">
                  <c:v>0</c:v>
                </c:pt>
                <c:pt idx="75" formatCode="#,##0__">
                  <c:v>0</c:v>
                </c:pt>
                <c:pt idx="78" formatCode="#,##0__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A7-40B2-A744-DA579025F641}"/>
            </c:ext>
          </c:extLst>
        </c:ser>
        <c:ser>
          <c:idx val="0"/>
          <c:order val="4"/>
          <c:tx>
            <c:strRef>
              <c:f>Kalkulation!$F$480</c:f>
              <c:strCache>
                <c:ptCount val="1"/>
                <c:pt idx="0">
                  <c:v>kein          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Kalkulation!$D$481:$D$561</c:f>
              <c:strCache>
                <c:ptCount val="79"/>
                <c:pt idx="3">
                  <c:v>Hj.</c:v>
                </c:pt>
                <c:pt idx="6">
                  <c:v>1</c:v>
                </c:pt>
                <c:pt idx="9">
                  <c:v>2</c:v>
                </c:pt>
                <c:pt idx="12">
                  <c:v>3</c:v>
                </c:pt>
                <c:pt idx="15">
                  <c:v>4</c:v>
                </c:pt>
                <c:pt idx="18">
                  <c:v>5</c:v>
                </c:pt>
                <c:pt idx="21">
                  <c:v>6</c:v>
                </c:pt>
                <c:pt idx="24">
                  <c:v>7</c:v>
                </c:pt>
                <c:pt idx="27">
                  <c:v>8</c:v>
                </c:pt>
                <c:pt idx="30">
                  <c:v>9</c:v>
                </c:pt>
                <c:pt idx="33">
                  <c:v>10</c:v>
                </c:pt>
                <c:pt idx="36">
                  <c:v>11</c:v>
                </c:pt>
                <c:pt idx="39">
                  <c:v>12</c:v>
                </c:pt>
                <c:pt idx="42">
                  <c:v>13</c:v>
                </c:pt>
                <c:pt idx="45">
                  <c:v>14</c:v>
                </c:pt>
                <c:pt idx="48">
                  <c:v>15</c:v>
                </c:pt>
                <c:pt idx="51">
                  <c:v>16</c:v>
                </c:pt>
                <c:pt idx="54">
                  <c:v>17</c:v>
                </c:pt>
                <c:pt idx="57">
                  <c:v>18</c:v>
                </c:pt>
                <c:pt idx="60">
                  <c:v>19</c:v>
                </c:pt>
                <c:pt idx="63">
                  <c:v>20</c:v>
                </c:pt>
                <c:pt idx="66">
                  <c:v>21</c:v>
                </c:pt>
                <c:pt idx="69">
                  <c:v>22</c:v>
                </c:pt>
                <c:pt idx="72">
                  <c:v>23</c:v>
                </c:pt>
                <c:pt idx="75">
                  <c:v>24</c:v>
                </c:pt>
                <c:pt idx="78">
                  <c:v>25</c:v>
                </c:pt>
              </c:strCache>
            </c:strRef>
          </c:cat>
          <c:val>
            <c:numRef>
              <c:f>Kalkulation!$F$481:$F$561</c:f>
              <c:numCache>
                <c:formatCode>General</c:formatCode>
                <c:ptCount val="81"/>
                <c:pt idx="0" formatCode="#,##0__">
                  <c:v>0</c:v>
                </c:pt>
                <c:pt idx="3" formatCode="#,##0__">
                  <c:v>0</c:v>
                </c:pt>
                <c:pt idx="6" formatCode="#,##0__">
                  <c:v>0</c:v>
                </c:pt>
                <c:pt idx="9" formatCode="#,##0__">
                  <c:v>0</c:v>
                </c:pt>
                <c:pt idx="12" formatCode="#,##0__">
                  <c:v>0</c:v>
                </c:pt>
                <c:pt idx="15" formatCode="#,##0__">
                  <c:v>0</c:v>
                </c:pt>
                <c:pt idx="18" formatCode="#,##0__">
                  <c:v>0</c:v>
                </c:pt>
                <c:pt idx="21" formatCode="#,##0__">
                  <c:v>0</c:v>
                </c:pt>
                <c:pt idx="24" formatCode="#,##0__">
                  <c:v>0</c:v>
                </c:pt>
                <c:pt idx="27" formatCode="#,##0__">
                  <c:v>0</c:v>
                </c:pt>
                <c:pt idx="30" formatCode="#,##0__">
                  <c:v>0</c:v>
                </c:pt>
                <c:pt idx="33" formatCode="#,##0__">
                  <c:v>0</c:v>
                </c:pt>
                <c:pt idx="36" formatCode="#,##0__">
                  <c:v>0</c:v>
                </c:pt>
                <c:pt idx="39" formatCode="#,##0__">
                  <c:v>0</c:v>
                </c:pt>
                <c:pt idx="42" formatCode="#,##0__">
                  <c:v>0</c:v>
                </c:pt>
                <c:pt idx="45" formatCode="#,##0__">
                  <c:v>0</c:v>
                </c:pt>
                <c:pt idx="48" formatCode="#,##0__">
                  <c:v>0</c:v>
                </c:pt>
                <c:pt idx="51" formatCode="#,##0__">
                  <c:v>0</c:v>
                </c:pt>
                <c:pt idx="54" formatCode="#,##0__">
                  <c:v>0</c:v>
                </c:pt>
                <c:pt idx="57" formatCode="#,##0__">
                  <c:v>0</c:v>
                </c:pt>
                <c:pt idx="60" formatCode="#,##0__">
                  <c:v>0</c:v>
                </c:pt>
                <c:pt idx="63" formatCode="#,##0__">
                  <c:v>0</c:v>
                </c:pt>
                <c:pt idx="66" formatCode="#,##0__">
                  <c:v>0</c:v>
                </c:pt>
                <c:pt idx="69" formatCode="#,##0__">
                  <c:v>0</c:v>
                </c:pt>
                <c:pt idx="72" formatCode="#,##0__">
                  <c:v>0</c:v>
                </c:pt>
                <c:pt idx="75" formatCode="#,##0__">
                  <c:v>0</c:v>
                </c:pt>
                <c:pt idx="78" formatCode="#,##0__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A7-40B2-A744-DA579025F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23611392"/>
        <c:axId val="123629568"/>
      </c:barChart>
      <c:catAx>
        <c:axId val="12361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362956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23629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in €uro</a:t>
                </a:r>
              </a:p>
            </c:rich>
          </c:tx>
          <c:layout>
            <c:manualLayout>
              <c:xMode val="edge"/>
              <c:yMode val="edge"/>
              <c:x val="6.5875887288580461E-3"/>
              <c:y val="1.6339793514375346E-2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361139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0D0000">
            <a:gamma/>
            <a:tint val="0"/>
            <a:invGamma/>
          </a:srgbClr>
        </a:gs>
        <a:gs pos="100000">
          <a:srgbClr val="0D0000"/>
        </a:gs>
      </a:gsLst>
      <a:lin ang="18900000" scaled="1"/>
    </a:gra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905950398497825E-2"/>
          <c:y val="7.8886241193535017E-2"/>
          <c:w val="0.91356505926955212"/>
          <c:h val="0.7594843901091310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Kalkulation!$X$700</c:f>
              <c:strCache>
                <c:ptCount val="1"/>
              </c:strCache>
            </c:strRef>
          </c:tx>
          <c:spPr>
            <a:solidFill>
              <a:srgbClr val="FF0000"/>
            </a:solidFill>
            <a:ln w="9525">
              <a:solidFill>
                <a:srgbClr val="FF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 w="50800">
                <a:solidFill>
                  <a:srgbClr val="0000FF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8EE-4ECE-9B0F-6BAFEDCF089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EE-4ECE-9B0F-6BAFEDCF089E}"/>
                </c:ext>
              </c:extLst>
            </c:dLbl>
            <c:numFmt formatCode="#,##0__;\-#,##0;[White]0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l">
                  <a:defRPr sz="9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Kalkulation!$W$701:$W$727</c:f>
              <c:strCache>
                <c:ptCount val="27"/>
                <c:pt idx="0">
                  <c:v>Inv.</c:v>
                </c:pt>
                <c:pt idx="1">
                  <c:v>Hj.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</c:strCache>
            </c:strRef>
          </c:cat>
          <c:val>
            <c:numRef>
              <c:f>Kalkulation!$X$701:$X$727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EE-4ECE-9B0F-6BAFEDCF089E}"/>
            </c:ext>
          </c:extLst>
        </c:ser>
        <c:ser>
          <c:idx val="0"/>
          <c:order val="1"/>
          <c:spPr>
            <a:solidFill>
              <a:srgbClr val="FFCC00"/>
            </a:solidFill>
            <a:ln w="9525">
              <a:solidFill>
                <a:srgbClr val="FF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CC00"/>
              </a:solidFill>
              <a:ln w="50800">
                <a:solidFill>
                  <a:srgbClr val="0000FF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A8EE-4ECE-9B0F-6BAFEDCF089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EE-4ECE-9B0F-6BAFEDCF089E}"/>
                </c:ext>
              </c:extLst>
            </c:dLbl>
            <c:numFmt formatCode="#,##0__;\-#,##0;[White]0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Kalkulation!$AC$701:$AC$727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EE-4ECE-9B0F-6BAFEDCF089E}"/>
            </c:ext>
          </c:extLst>
        </c:ser>
        <c:ser>
          <c:idx val="2"/>
          <c:order val="2"/>
          <c:spPr>
            <a:solidFill>
              <a:srgbClr val="66FF33"/>
            </a:solidFill>
            <a:ln w="9525">
              <a:solidFill>
                <a:srgbClr val="008000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A8EE-4ECE-9B0F-6BAFEDCF089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EE-4ECE-9B0F-6BAFEDCF089E}"/>
                </c:ext>
              </c:extLst>
            </c:dLbl>
            <c:numFmt formatCode="#,##0__;\-#,##0;[White]0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Kalkulation!$AJ$701:$AJ$727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EE-4ECE-9B0F-6BAFEDCF0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3777408"/>
        <c:axId val="123779328"/>
      </c:barChart>
      <c:catAx>
        <c:axId val="12377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Jahre</a:t>
                </a:r>
              </a:p>
            </c:rich>
          </c:tx>
          <c:layout>
            <c:manualLayout>
              <c:xMode val="edge"/>
              <c:yMode val="edge"/>
              <c:x val="0.91130387594961826"/>
              <c:y val="0.918975343837288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de-DE"/>
          </a:p>
        </c:txPr>
        <c:crossAx val="12377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77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in €uro</a:t>
                </a:r>
              </a:p>
            </c:rich>
          </c:tx>
          <c:layout>
            <c:manualLayout>
              <c:xMode val="edge"/>
              <c:yMode val="edge"/>
              <c:x val="1.0870440882322992E-3"/>
              <c:y val="3.2765605860241132E-2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de-DE"/>
          </a:p>
        </c:txPr>
        <c:crossAx val="123777408"/>
        <c:crosses val="autoZero"/>
        <c:crossBetween val="between"/>
      </c:valAx>
      <c:spPr>
        <a:solidFill>
          <a:schemeClr val="bg1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gradFill>
      <a:gsLst>
        <a:gs pos="0">
          <a:srgbClr val="220000">
            <a:gamma/>
            <a:tint val="0"/>
            <a:invGamma/>
          </a:srgbClr>
        </a:gs>
        <a:gs pos="100000">
          <a:srgbClr val="220000"/>
        </a:gs>
      </a:gsLst>
      <a:lin ang="18900000" scaled="1"/>
    </a:gra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de-DE"/>
              <a:t>Verlauf des Endfälligen Darlehens und  der Ansparung</a:t>
            </a:r>
          </a:p>
        </c:rich>
      </c:tx>
      <c:layout>
        <c:manualLayout>
          <c:xMode val="edge"/>
          <c:yMode val="edge"/>
          <c:x val="0.26021797637061489"/>
          <c:y val="2.38095351678426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495912806539509E-2"/>
          <c:y val="0.21428671078269523"/>
          <c:w val="0.92643051771117169"/>
          <c:h val="0.709527109036035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'Endfälliges Darlehen'!$CB$96</c:f>
              <c:strCache>
                <c:ptCount val="1"/>
                <c:pt idx="0">
                  <c:v>Darlehen</c:v>
                </c:pt>
              </c:strCache>
            </c:strRef>
          </c:tx>
          <c:spPr>
            <a:gradFill rotWithShape="0">
              <a:gsLst>
                <a:gs pos="0">
                  <a:srgbClr val="0A0000">
                    <a:gamma/>
                    <a:shade val="46275"/>
                    <a:invGamma/>
                  </a:srgbClr>
                </a:gs>
                <a:gs pos="50000">
                  <a:srgbClr val="0A0000"/>
                </a:gs>
                <a:gs pos="100000">
                  <a:srgbClr val="0A00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FF00FF"/>
              </a:solidFill>
              <a:prstDash val="solid"/>
            </a:ln>
          </c:spPr>
          <c:invertIfNegative val="0"/>
          <c:cat>
            <c:multiLvlStrRef>
              <c:f>'Endfälliges Darlehen'!$CA$97:$CA$122</c:f>
            </c:multiLvlStrRef>
          </c:cat>
          <c:val>
            <c:numRef>
              <c:f>'Endfälliges Darlehen'!$CB$97:$CB$122</c:f>
              <c:numCache>
                <c:formatCode>#,##0__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19-4B57-A94C-1464E06C4AC9}"/>
            </c:ext>
          </c:extLst>
        </c:ser>
        <c:ser>
          <c:idx val="1"/>
          <c:order val="1"/>
          <c:tx>
            <c:strRef>
              <c:f>'Endfälliges Darlehen'!$CC$96</c:f>
              <c:strCache>
                <c:ptCount val="1"/>
                <c:pt idx="0">
                  <c:v>Ansparung</c:v>
                </c:pt>
              </c:strCache>
            </c:strRef>
          </c:tx>
          <c:spPr>
            <a:gradFill rotWithShape="0">
              <a:gsLst>
                <a:gs pos="0">
                  <a:srgbClr val="FF0000"/>
                </a:gs>
                <a:gs pos="50000">
                  <a:srgbClr val="FFFFFF"/>
                </a:gs>
                <a:gs pos="100000">
                  <a:srgbClr val="FF0000"/>
                </a:gs>
              </a:gsLst>
              <a:lin ang="0" scaled="1"/>
            </a:gradFill>
            <a:ln w="12700">
              <a:solidFill>
                <a:srgbClr val="FF00FF"/>
              </a:solidFill>
              <a:prstDash val="solid"/>
            </a:ln>
          </c:spPr>
          <c:invertIfNegative val="0"/>
          <c:cat>
            <c:multiLvlStrRef>
              <c:f>'Endfälliges Darlehen'!$CA$97:$CA$122</c:f>
            </c:multiLvlStrRef>
          </c:cat>
          <c:val>
            <c:numRef>
              <c:f>'Endfälliges Darlehen'!$CC$97:$CC$122</c:f>
              <c:numCache>
                <c:formatCode>#,##0__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19-4B57-A94C-1464E06C4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461440"/>
        <c:axId val="124462976"/>
      </c:barChart>
      <c:catAx>
        <c:axId val="12446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446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4462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4461440"/>
        <c:crosses val="autoZero"/>
        <c:crossBetween val="between"/>
      </c:valAx>
      <c:spPr>
        <a:gradFill rotWithShape="0">
          <a:gsLst>
            <a:gs pos="0">
              <a:srgbClr val="290000">
                <a:gamma/>
                <a:tint val="0"/>
                <a:invGamma/>
              </a:srgbClr>
            </a:gs>
            <a:gs pos="100000">
              <a:srgbClr val="29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645160344409201E-3"/>
          <c:y val="3.305809173564403E-2"/>
          <c:w val="0.12514752436541399"/>
          <c:h val="0.181818311922561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9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60" verticalDpi="36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de-DE"/>
              <a:t>Verteilung der Globalstrahlung</a:t>
            </a:r>
          </a:p>
        </c:rich>
      </c:tx>
      <c:layout>
        <c:manualLayout>
          <c:xMode val="edge"/>
          <c:yMode val="edge"/>
          <c:x val="0.21082692410119083"/>
          <c:y val="3.54431136419883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9544603433837"/>
          <c:y val="0.13164556962025317"/>
          <c:w val="0.80057202794478932"/>
          <c:h val="0.73417721518987344"/>
        </c:manualLayout>
      </c:layout>
      <c:barChart>
        <c:barDir val="col"/>
        <c:grouping val="clustered"/>
        <c:varyColors val="0"/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Einstrahlung!$C$10:$C$32</c:f>
              <c:strCache>
                <c:ptCount val="23"/>
                <c:pt idx="0">
                  <c:v>Jan</c:v>
                </c:pt>
                <c:pt idx="2">
                  <c:v>Feb</c:v>
                </c:pt>
                <c:pt idx="4">
                  <c:v>Mär</c:v>
                </c:pt>
                <c:pt idx="6">
                  <c:v>Apr</c:v>
                </c:pt>
                <c:pt idx="8">
                  <c:v>Mai</c:v>
                </c:pt>
                <c:pt idx="10">
                  <c:v>Jun</c:v>
                </c:pt>
                <c:pt idx="12">
                  <c:v>Jul</c:v>
                </c:pt>
                <c:pt idx="14">
                  <c:v>Aug</c:v>
                </c:pt>
                <c:pt idx="16">
                  <c:v>Sep</c:v>
                </c:pt>
                <c:pt idx="18">
                  <c:v>Okt</c:v>
                </c:pt>
                <c:pt idx="20">
                  <c:v>Nov</c:v>
                </c:pt>
                <c:pt idx="22">
                  <c:v>Dez</c:v>
                </c:pt>
              </c:strCache>
            </c:strRef>
          </c:cat>
          <c:val>
            <c:numRef>
              <c:f>Einstrahlung!$F$10:$F$32</c:f>
              <c:numCache>
                <c:formatCode>General</c:formatCode>
                <c:ptCount val="23"/>
                <c:pt idx="0">
                  <c:v>0.91300000000000003</c:v>
                </c:pt>
                <c:pt idx="2">
                  <c:v>1.6439999999999999</c:v>
                </c:pt>
                <c:pt idx="4">
                  <c:v>2.5680000000000001</c:v>
                </c:pt>
                <c:pt idx="6">
                  <c:v>3.9079999999999999</c:v>
                </c:pt>
                <c:pt idx="8">
                  <c:v>4.9349999999999996</c:v>
                </c:pt>
                <c:pt idx="10">
                  <c:v>5.2549999999999999</c:v>
                </c:pt>
                <c:pt idx="12">
                  <c:v>5.375</c:v>
                </c:pt>
                <c:pt idx="14">
                  <c:v>4.6879999999999997</c:v>
                </c:pt>
                <c:pt idx="16">
                  <c:v>3.286</c:v>
                </c:pt>
                <c:pt idx="18">
                  <c:v>1.9079999999999999</c:v>
                </c:pt>
                <c:pt idx="20">
                  <c:v>1.0740000000000001</c:v>
                </c:pt>
                <c:pt idx="22">
                  <c:v>0.69399999999999995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7-4BB3-A88B-B77905373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3824768"/>
        <c:axId val="123847424"/>
      </c:barChar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Einstrahlung!$C$10:$C$32</c:f>
              <c:strCache>
                <c:ptCount val="23"/>
                <c:pt idx="0">
                  <c:v>Jan</c:v>
                </c:pt>
                <c:pt idx="2">
                  <c:v>Feb</c:v>
                </c:pt>
                <c:pt idx="4">
                  <c:v>Mär</c:v>
                </c:pt>
                <c:pt idx="6">
                  <c:v>Apr</c:v>
                </c:pt>
                <c:pt idx="8">
                  <c:v>Mai</c:v>
                </c:pt>
                <c:pt idx="10">
                  <c:v>Jun</c:v>
                </c:pt>
                <c:pt idx="12">
                  <c:v>Jul</c:v>
                </c:pt>
                <c:pt idx="14">
                  <c:v>Aug</c:v>
                </c:pt>
                <c:pt idx="16">
                  <c:v>Sep</c:v>
                </c:pt>
                <c:pt idx="18">
                  <c:v>Okt</c:v>
                </c:pt>
                <c:pt idx="20">
                  <c:v>Nov</c:v>
                </c:pt>
                <c:pt idx="22">
                  <c:v>Dez</c:v>
                </c:pt>
              </c:strCache>
            </c:strRef>
          </c:cat>
          <c:val>
            <c:numRef>
              <c:f>Einstrahlung!$D$10:$D$32</c:f>
              <c:numCache>
                <c:formatCode>General</c:formatCode>
                <c:ptCount val="2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27-4BB3-A88B-B77905373950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Einstrahlung!$C$10:$C$32</c:f>
              <c:strCache>
                <c:ptCount val="23"/>
                <c:pt idx="0">
                  <c:v>Jan</c:v>
                </c:pt>
                <c:pt idx="2">
                  <c:v>Feb</c:v>
                </c:pt>
                <c:pt idx="4">
                  <c:v>Mär</c:v>
                </c:pt>
                <c:pt idx="6">
                  <c:v>Apr</c:v>
                </c:pt>
                <c:pt idx="8">
                  <c:v>Mai</c:v>
                </c:pt>
                <c:pt idx="10">
                  <c:v>Jun</c:v>
                </c:pt>
                <c:pt idx="12">
                  <c:v>Jul</c:v>
                </c:pt>
                <c:pt idx="14">
                  <c:v>Aug</c:v>
                </c:pt>
                <c:pt idx="16">
                  <c:v>Sep</c:v>
                </c:pt>
                <c:pt idx="18">
                  <c:v>Okt</c:v>
                </c:pt>
                <c:pt idx="20">
                  <c:v>Nov</c:v>
                </c:pt>
                <c:pt idx="22">
                  <c:v>Dez</c:v>
                </c:pt>
              </c:strCache>
            </c:strRef>
          </c:cat>
          <c:val>
            <c:numRef>
              <c:f>Einstrahlung!$E$10:$E$32</c:f>
              <c:numCache>
                <c:formatCode>General</c:formatCode>
                <c:ptCount val="2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7-4BB3-A88B-B77905373950}"/>
            </c:ext>
          </c:extLst>
        </c:ser>
        <c:ser>
          <c:idx val="3"/>
          <c:order val="3"/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Einstrahlung!$C$10:$C$32</c:f>
              <c:strCache>
                <c:ptCount val="23"/>
                <c:pt idx="0">
                  <c:v>Jan</c:v>
                </c:pt>
                <c:pt idx="2">
                  <c:v>Feb</c:v>
                </c:pt>
                <c:pt idx="4">
                  <c:v>Mär</c:v>
                </c:pt>
                <c:pt idx="6">
                  <c:v>Apr</c:v>
                </c:pt>
                <c:pt idx="8">
                  <c:v>Mai</c:v>
                </c:pt>
                <c:pt idx="10">
                  <c:v>Jun</c:v>
                </c:pt>
                <c:pt idx="12">
                  <c:v>Jul</c:v>
                </c:pt>
                <c:pt idx="14">
                  <c:v>Aug</c:v>
                </c:pt>
                <c:pt idx="16">
                  <c:v>Sep</c:v>
                </c:pt>
                <c:pt idx="18">
                  <c:v>Okt</c:v>
                </c:pt>
                <c:pt idx="20">
                  <c:v>Nov</c:v>
                </c:pt>
                <c:pt idx="22">
                  <c:v>Dez</c:v>
                </c:pt>
              </c:strCache>
            </c:strRef>
          </c:cat>
          <c:val>
            <c:numRef>
              <c:f>Einstrahlung!$G$10:$G$32</c:f>
              <c:numCache>
                <c:formatCode>General</c:formatCode>
                <c:ptCount val="2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27-4BB3-A88B-B77905373950}"/>
            </c:ext>
          </c:extLst>
        </c:ser>
        <c:ser>
          <c:idx val="4"/>
          <c:order val="4"/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Einstrahlung!$C$10:$C$32</c:f>
              <c:strCache>
                <c:ptCount val="23"/>
                <c:pt idx="0">
                  <c:v>Jan</c:v>
                </c:pt>
                <c:pt idx="2">
                  <c:v>Feb</c:v>
                </c:pt>
                <c:pt idx="4">
                  <c:v>Mär</c:v>
                </c:pt>
                <c:pt idx="6">
                  <c:v>Apr</c:v>
                </c:pt>
                <c:pt idx="8">
                  <c:v>Mai</c:v>
                </c:pt>
                <c:pt idx="10">
                  <c:v>Jun</c:v>
                </c:pt>
                <c:pt idx="12">
                  <c:v>Jul</c:v>
                </c:pt>
                <c:pt idx="14">
                  <c:v>Aug</c:v>
                </c:pt>
                <c:pt idx="16">
                  <c:v>Sep</c:v>
                </c:pt>
                <c:pt idx="18">
                  <c:v>Okt</c:v>
                </c:pt>
                <c:pt idx="20">
                  <c:v>Nov</c:v>
                </c:pt>
                <c:pt idx="22">
                  <c:v>Dez</c:v>
                </c:pt>
              </c:strCache>
            </c:strRef>
          </c:cat>
          <c:val>
            <c:numRef>
              <c:f>Einstrahlung!$H$10:$H$32</c:f>
              <c:numCache>
                <c:formatCode>General</c:formatCode>
                <c:ptCount val="2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27-4BB3-A88B-B77905373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824768"/>
        <c:axId val="123847424"/>
      </c:lineChart>
      <c:catAx>
        <c:axId val="12382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de-DE"/>
          </a:p>
        </c:txPr>
        <c:crossAx val="1238474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384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de-DE"/>
                  <a:t>Einstrahlung</a:t>
                </a:r>
              </a:p>
            </c:rich>
          </c:tx>
          <c:layout>
            <c:manualLayout>
              <c:xMode val="edge"/>
              <c:yMode val="edge"/>
              <c:x val="3.7036973743011514E-2"/>
              <c:y val="0.407594829218857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de-DE"/>
          </a:p>
        </c:txPr>
        <c:crossAx val="123824768"/>
        <c:crosses val="autoZero"/>
        <c:crossBetween val="between"/>
      </c:valAx>
      <c:spPr>
        <a:gradFill rotWithShape="0">
          <a:gsLst>
            <a:gs pos="0">
              <a:srgbClr val="0F0000"/>
            </a:gs>
            <a:gs pos="100000">
              <a:srgbClr val="0F0000">
                <a:gamma/>
                <a:tint val="0"/>
                <a:invGamma/>
              </a:srgbClr>
            </a:gs>
          </a:gsLst>
          <a:lin ang="27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trlProps/ctrlProp1.xml><?xml version="1.0" encoding="utf-8"?>
<formControlPr xmlns="http://schemas.microsoft.com/office/spreadsheetml/2009/9/main" objectType="Spin" dx="17" fmlaLink="$B$118" max="165" min="13" page="10" val="137"/>
</file>

<file path=xl/ctrlProps/ctrlProp2.xml><?xml version="1.0" encoding="utf-8"?>
<formControlPr xmlns="http://schemas.microsoft.com/office/spreadsheetml/2009/9/main" objectType="Spin" dx="17" fmlaLink="$B$116" max="4" min="2" page="10" val="3"/>
</file>

<file path=xl/ctrlProps/ctrlProp3.xml><?xml version="1.0" encoding="utf-8"?>
<formControlPr xmlns="http://schemas.microsoft.com/office/spreadsheetml/2009/9/main" objectType="Spin" dx="17" fmlaLink="$B$174" max="130" page="10" val="30"/>
</file>

<file path=xl/ctrlProps/ctrlProp4.xml><?xml version="1.0" encoding="utf-8"?>
<formControlPr xmlns="http://schemas.microsoft.com/office/spreadsheetml/2009/9/main" objectType="Spin" dx="17" fmlaLink="$B$157" max="130" page="10" val="30"/>
</file>

<file path=xl/ctrlProps/ctrlProp5.xml><?xml version="1.0" encoding="utf-8"?>
<formControlPr xmlns="http://schemas.microsoft.com/office/spreadsheetml/2009/9/main" objectType="Spin" dx="17" fmlaLink="$B$21" max="25" min="20" page="10" val="20"/>
</file>

<file path=xl/ctrlProps/ctrlProp6.xml><?xml version="1.0" encoding="utf-8"?>
<formControlPr xmlns="http://schemas.microsoft.com/office/spreadsheetml/2009/9/main" objectType="Spin" dx="17" fmlaLink="$B$201" max="800" page="10" val="372"/>
</file>

<file path=xl/ctrlProps/ctrlProp7.xml><?xml version="1.0" encoding="utf-8"?>
<formControlPr xmlns="http://schemas.microsoft.com/office/spreadsheetml/2009/9/main" objectType="Spin" dx="17" fmlaLink="$B$15" max="2" min="1" page="10"/>
</file>

<file path=xl/ctrlProps/ctrlProp8.xml><?xml version="1.0" encoding="utf-8"?>
<formControlPr xmlns="http://schemas.microsoft.com/office/spreadsheetml/2009/9/main" objectType="Spin" dx="17" fmlaLink="$B$177" max="2" min="1" page="10"/>
</file>

<file path=xl/ctrlProps/ctrlProp9.xml><?xml version="1.0" encoding="utf-8"?>
<formControlPr xmlns="http://schemas.microsoft.com/office/spreadsheetml/2009/9/main" objectType="Spin" dx="17" fmlaLink="$B$17" max="2" min="1" page="1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Kalkulation!A300:A360"/><Relationship Id="rId13" Type="http://schemas.openxmlformats.org/officeDocument/2006/relationships/image" Target="../media/image9.emf"/><Relationship Id="rId18" Type="http://schemas.openxmlformats.org/officeDocument/2006/relationships/image" Target="../media/image2.emf"/><Relationship Id="rId3" Type="http://schemas.openxmlformats.org/officeDocument/2006/relationships/chart" Target="../charts/chart2.xml"/><Relationship Id="rId21" Type="http://schemas.openxmlformats.org/officeDocument/2006/relationships/image" Target="../media/image11.jpeg"/><Relationship Id="rId7" Type="http://schemas.openxmlformats.org/officeDocument/2006/relationships/image" Target="../media/image6.emf"/><Relationship Id="rId12" Type="http://schemas.openxmlformats.org/officeDocument/2006/relationships/hyperlink" Target="#EK_Verzinsung!A1:A40"/><Relationship Id="rId17" Type="http://schemas.openxmlformats.org/officeDocument/2006/relationships/hyperlink" Target="#Programmbeschreibung!A233:A270"/><Relationship Id="rId2" Type="http://schemas.openxmlformats.org/officeDocument/2006/relationships/image" Target="../media/image1.wmf"/><Relationship Id="rId16" Type="http://schemas.openxmlformats.org/officeDocument/2006/relationships/image" Target="../media/image10.emf"/><Relationship Id="rId20" Type="http://schemas.openxmlformats.org/officeDocument/2006/relationships/hyperlink" Target="#Aktueller_Stand_EEG_2021!A1"/><Relationship Id="rId1" Type="http://schemas.openxmlformats.org/officeDocument/2006/relationships/chart" Target="../charts/chart1.xml"/><Relationship Id="rId6" Type="http://schemas.openxmlformats.org/officeDocument/2006/relationships/hyperlink" Target="#Kalkulation!A110:A210"/><Relationship Id="rId11" Type="http://schemas.openxmlformats.org/officeDocument/2006/relationships/image" Target="../media/image8.emf"/><Relationship Id="rId5" Type="http://schemas.openxmlformats.org/officeDocument/2006/relationships/chart" Target="../charts/chart3.xml"/><Relationship Id="rId15" Type="http://schemas.openxmlformats.org/officeDocument/2006/relationships/hyperlink" Target="#'Endf&#228;lliges Darlehen'!A1:A60"/><Relationship Id="rId10" Type="http://schemas.openxmlformats.org/officeDocument/2006/relationships/hyperlink" Target="#Kalkulation!A1:A65"/><Relationship Id="rId19" Type="http://schemas.openxmlformats.org/officeDocument/2006/relationships/hyperlink" Target="#Programmbeschreibung!A346:A446"/><Relationship Id="rId4" Type="http://schemas.openxmlformats.org/officeDocument/2006/relationships/image" Target="../media/image4.jpeg"/><Relationship Id="rId9" Type="http://schemas.openxmlformats.org/officeDocument/2006/relationships/image" Target="../media/image7.emf"/><Relationship Id="rId1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png"/><Relationship Id="rId1" Type="http://schemas.openxmlformats.org/officeDocument/2006/relationships/image" Target="../media/image12.jpe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emf"/><Relationship Id="rId7" Type="http://schemas.openxmlformats.org/officeDocument/2006/relationships/image" Target="../media/image32.gif"/><Relationship Id="rId2" Type="http://schemas.openxmlformats.org/officeDocument/2006/relationships/image" Target="../media/image28.emf"/><Relationship Id="rId1" Type="http://schemas.openxmlformats.org/officeDocument/2006/relationships/image" Target="../media/image27.emf"/><Relationship Id="rId6" Type="http://schemas.openxmlformats.org/officeDocument/2006/relationships/image" Target="../media/image31.emf"/><Relationship Id="rId5" Type="http://schemas.openxmlformats.org/officeDocument/2006/relationships/hyperlink" Target="https://www.bundesnetzagentur.de/DE/Sachgebiete/ElektrizitaetundGas/Unternehmen_Institutionen/ErneuerbareEnergien/ZahlenDatenInformationen/EEG_Registerdaten/EEG_Registerdaten_node.html" TargetMode="External"/><Relationship Id="rId4" Type="http://schemas.openxmlformats.org/officeDocument/2006/relationships/image" Target="../media/image30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Kalkulation!A216:A300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Kalkulation!A74:A134"/><Relationship Id="rId2" Type="http://schemas.openxmlformats.org/officeDocument/2006/relationships/hyperlink" Target="#Programmbeschreibung!A185:A230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38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25879</xdr:colOff>
      <xdr:row>2</xdr:row>
      <xdr:rowOff>69011</xdr:rowOff>
    </xdr:from>
    <xdr:to>
      <xdr:col>26</xdr:col>
      <xdr:colOff>232913</xdr:colOff>
      <xdr:row>4</xdr:row>
      <xdr:rowOff>155275</xdr:rowOff>
    </xdr:to>
    <xdr:pic>
      <xdr:nvPicPr>
        <xdr:cNvPr id="9824927" name="Picture 2">
          <a:extLst>
            <a:ext uri="{FF2B5EF4-FFF2-40B4-BE49-F238E27FC236}">
              <a16:creationId xmlns:a16="http://schemas.microsoft.com/office/drawing/2014/main" id="{00000000-0008-0000-0000-00009FEA9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0521" y="163902"/>
          <a:ext cx="672860" cy="370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25879</xdr:colOff>
      <xdr:row>231</xdr:row>
      <xdr:rowOff>25879</xdr:rowOff>
    </xdr:from>
    <xdr:to>
      <xdr:col>14</xdr:col>
      <xdr:colOff>103517</xdr:colOff>
      <xdr:row>232</xdr:row>
      <xdr:rowOff>77638</xdr:rowOff>
    </xdr:to>
    <xdr:sp macro="" textlink="">
      <xdr:nvSpPr>
        <xdr:cNvPr id="9824928" name="Text Box 3">
          <a:extLst>
            <a:ext uri="{FF2B5EF4-FFF2-40B4-BE49-F238E27FC236}">
              <a16:creationId xmlns:a16="http://schemas.microsoft.com/office/drawing/2014/main" id="{00000000-0008-0000-0000-0000A0EA9500}"/>
            </a:ext>
          </a:extLst>
        </xdr:cNvPr>
        <xdr:cNvSpPr txBox="1">
          <a:spLocks noChangeArrowheads="1"/>
        </xdr:cNvSpPr>
      </xdr:nvSpPr>
      <xdr:spPr bwMode="auto">
        <a:xfrm>
          <a:off x="3131389" y="28199751"/>
          <a:ext cx="77637" cy="207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0</xdr:colOff>
      <xdr:row>122</xdr:row>
      <xdr:rowOff>66675</xdr:rowOff>
    </xdr:from>
    <xdr:to>
      <xdr:col>27</xdr:col>
      <xdr:colOff>263465</xdr:colOff>
      <xdr:row>124</xdr:row>
      <xdr:rowOff>135147</xdr:rowOff>
    </xdr:to>
    <xdr:pic>
      <xdr:nvPicPr>
        <xdr:cNvPr id="9824930" name="Grafik 22">
          <a:extLst>
            <a:ext uri="{FF2B5EF4-FFF2-40B4-BE49-F238E27FC236}">
              <a16:creationId xmlns:a16="http://schemas.microsoft.com/office/drawing/2014/main" id="{00000000-0008-0000-0000-0000A2EA9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107150"/>
          <a:ext cx="530165" cy="37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33</xdr:col>
      <xdr:colOff>0</xdr:colOff>
      <xdr:row>49</xdr:row>
      <xdr:rowOff>0</xdr:rowOff>
    </xdr:from>
    <xdr:to>
      <xdr:col>68</xdr:col>
      <xdr:colOff>0</xdr:colOff>
      <xdr:row>70</xdr:row>
      <xdr:rowOff>142875</xdr:rowOff>
    </xdr:to>
    <xdr:sp macro="" textlink="">
      <xdr:nvSpPr>
        <xdr:cNvPr id="7" name="Abgerundetes Rechtec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8334375" y="7734300"/>
          <a:ext cx="8667750" cy="3743325"/>
        </a:xfrm>
        <a:prstGeom prst="roundRect">
          <a:avLst/>
        </a:prstGeom>
        <a:solidFill>
          <a:srgbClr val="FFD5D5"/>
        </a:solidFill>
        <a:ln w="508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de-DE" sz="1100" b="1"/>
            <a:t>Hinweis</a:t>
          </a:r>
          <a:r>
            <a:rPr lang="de-DE" sz="1100"/>
            <a:t>:			31.01.2021</a:t>
          </a:r>
        </a:p>
        <a:p>
          <a:pPr algn="l"/>
          <a:endParaRPr lang="de-DE" sz="1100"/>
        </a:p>
        <a:p>
          <a:pPr algn="l"/>
          <a:r>
            <a:rPr lang="de-DE" sz="1100"/>
            <a:t>Das </a:t>
          </a:r>
          <a:r>
            <a:rPr lang="de-DE" sz="1100" b="1"/>
            <a:t>EEG 2021</a:t>
          </a:r>
          <a:r>
            <a:rPr lang="de-DE" sz="1100"/>
            <a:t> bringt</a:t>
          </a:r>
          <a:r>
            <a:rPr lang="de-DE" sz="1100" baseline="0"/>
            <a:t> in Bezug auf die Ökonomik von Einspeiseanlagen mit Vergütungsanspruch bzw. Anspruch auf Marktprämie (Anlagen bis einschl. 750 kWp; keine Ausschreibungsanlagen) folgende Neuerungen (nicht abschließende Liste):</a:t>
          </a:r>
        </a:p>
        <a:p>
          <a:pPr algn="l"/>
          <a:endParaRPr lang="de-DE" sz="1100" baseline="0"/>
        </a:p>
        <a:p>
          <a:pPr algn="l"/>
          <a:r>
            <a:rPr lang="de-DE" sz="1100" b="1" baseline="0">
              <a:effectLst/>
              <a:latin typeface="+mn-lt"/>
              <a:ea typeface="+mn-ea"/>
              <a:cs typeface="+mn-cs"/>
            </a:rPr>
            <a:t>§48 Abs. 5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:</a:t>
          </a:r>
          <a:r>
            <a:rPr lang="de-DE" sz="1100" baseline="0">
              <a:effectLst/>
              <a:latin typeface="+mn-lt"/>
              <a:ea typeface="+mn-ea"/>
              <a:cs typeface="+mn-cs"/>
            </a:rPr>
            <a:t> Dach und Fassandena</a:t>
          </a:r>
          <a:r>
            <a:rPr lang="de-DE" sz="1100" baseline="0"/>
            <a:t>nlagen mit einer installierten Leistung von mehr als  300  bis einschließlich 750 kWp (an, auf oder in einem Gebäude oder Lärmschutzwand) haben nur für 50% der erzeugten Strommmenge einen Anspruch auf Vergütung. Für den über 50% hinausgehenden Anteil der erzeugten Strommenge reduziert sich der Anspruch auf null (gilt nicht für Freilandanlagen). </a:t>
          </a:r>
        </a:p>
        <a:p>
          <a:pPr algn="l"/>
          <a:r>
            <a:rPr lang="de-DE" sz="1100" baseline="0"/>
            <a:t>Diese Regelung gilt erst für Anlagen ab Inbetriebnahmedatum 01.April 2021 (</a:t>
          </a:r>
          <a:r>
            <a:rPr lang="de-DE" sz="1100" b="1" baseline="0"/>
            <a:t>§100 Abs.9</a:t>
          </a:r>
          <a:r>
            <a:rPr lang="de-DE" sz="1100" baseline="0"/>
            <a:t>).</a:t>
          </a:r>
        </a:p>
        <a:p>
          <a:pPr algn="l"/>
          <a:endParaRPr lang="de-DE" sz="1100" baseline="0"/>
        </a:p>
        <a:p>
          <a:pPr algn="l"/>
          <a:r>
            <a:rPr lang="de-DE" sz="1100" b="1" baseline="0">
              <a:effectLst/>
              <a:latin typeface="+mn-lt"/>
              <a:ea typeface="+mn-ea"/>
              <a:cs typeface="+mn-cs"/>
            </a:rPr>
            <a:t>§61b Abs. 2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: Die Befreiungsgrenze von der EEG-Umlage bei Eigenversorgungen wurde von 10 kWp auf 30 kWp angehoben. Die Befreiung gilt für höchsten 30.000 kWh selbst verbrauchten Stroms. </a:t>
          </a:r>
        </a:p>
        <a:p>
          <a:pPr algn="l"/>
          <a:endParaRPr lang="de-DE" sz="1100" b="0" baseline="0">
            <a:effectLst/>
            <a:latin typeface="+mn-lt"/>
            <a:ea typeface="+mn-ea"/>
            <a:cs typeface="+mn-cs"/>
          </a:endParaRPr>
        </a:p>
        <a:p>
          <a:pPr algn="l"/>
          <a:r>
            <a:rPr lang="de-DE" sz="1100" b="0">
              <a:solidFill>
                <a:srgbClr val="FF0000"/>
              </a:solidFill>
            </a:rPr>
            <a:t>Das</a:t>
          </a:r>
          <a:r>
            <a:rPr lang="de-DE" sz="1100" b="0" baseline="0">
              <a:solidFill>
                <a:srgbClr val="FF0000"/>
              </a:solidFill>
            </a:rPr>
            <a:t> </a:t>
          </a:r>
          <a:r>
            <a:rPr lang="de-DE" sz="1100" b="0">
              <a:solidFill>
                <a:srgbClr val="FF0000"/>
              </a:solidFill>
            </a:rPr>
            <a:t>EEG 2021 (Gesetzestextes; Bundesgesetzblatt vom 28.12.2020) wurde Ende April von der EU-Kommission genehmigt. </a:t>
          </a:r>
        </a:p>
        <a:p>
          <a:pPr algn="l"/>
          <a:r>
            <a:rPr lang="de-DE" sz="1100" b="0">
              <a:solidFill>
                <a:srgbClr val="FF0000"/>
              </a:solidFill>
            </a:rPr>
            <a:t>Der Beschluss betrifft nicht die Quoten und Ausschreibungen für die Südregion, die Anschlussregelung für Altholz-Anlagen, Güllekleinanlagen oder große Windenergieanlagen an Land, die nachträgliche Erhöhung der Vergütung für Wasserkraftanlagen und die Förderung nicht unabhängiger Teile von Unternehmen, denen eine Teilbefreiung von der EEG-Umlage für energieintensive Nutzer im Wasserstoffsektor gewährt wird, die Förderung von sauberem Wasserstoff über Teilbefreiungen für energieintensive Nutzer sowie die Förderung von Schienenbahnen und Bussen über ebensolche Teilbefreiungen.</a:t>
          </a:r>
        </a:p>
      </xdr:txBody>
    </xdr:sp>
    <xdr:clientData fPrintsWithSheet="0"/>
  </xdr:twoCellAnchor>
  <xdr:twoCellAnchor editAs="oneCell">
    <xdr:from>
      <xdr:col>25</xdr:col>
      <xdr:colOff>152400</xdr:colOff>
      <xdr:row>445</xdr:row>
      <xdr:rowOff>28575</xdr:rowOff>
    </xdr:from>
    <xdr:to>
      <xdr:col>27</xdr:col>
      <xdr:colOff>136945</xdr:colOff>
      <xdr:row>447</xdr:row>
      <xdr:rowOff>97587</xdr:rowOff>
    </xdr:to>
    <xdr:pic>
      <xdr:nvPicPr>
        <xdr:cNvPr id="8" name="Grafik 2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66093975"/>
          <a:ext cx="517945" cy="373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22</xdr:col>
      <xdr:colOff>200025</xdr:colOff>
      <xdr:row>397</xdr:row>
      <xdr:rowOff>142875</xdr:rowOff>
    </xdr:from>
    <xdr:to>
      <xdr:col>24</xdr:col>
      <xdr:colOff>196790</xdr:colOff>
      <xdr:row>400</xdr:row>
      <xdr:rowOff>58947</xdr:rowOff>
    </xdr:to>
    <xdr:pic>
      <xdr:nvPicPr>
        <xdr:cNvPr id="9" name="Grafik 2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52187475"/>
          <a:ext cx="530165" cy="37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26</xdr:col>
      <xdr:colOff>3235</xdr:colOff>
      <xdr:row>370</xdr:row>
      <xdr:rowOff>7728</xdr:rowOff>
    </xdr:from>
    <xdr:to>
      <xdr:col>28</xdr:col>
      <xdr:colOff>0</xdr:colOff>
      <xdr:row>373</xdr:row>
      <xdr:rowOff>0</xdr:rowOff>
    </xdr:to>
    <xdr:pic>
      <xdr:nvPicPr>
        <xdr:cNvPr id="11" name="Grafik 2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9310" y="55176528"/>
          <a:ext cx="530165" cy="37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33</xdr:col>
      <xdr:colOff>0</xdr:colOff>
      <xdr:row>72</xdr:row>
      <xdr:rowOff>19050</xdr:rowOff>
    </xdr:from>
    <xdr:to>
      <xdr:col>68</xdr:col>
      <xdr:colOff>104775</xdr:colOff>
      <xdr:row>79</xdr:row>
      <xdr:rowOff>190500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8334375" y="11696700"/>
          <a:ext cx="8772525" cy="1276350"/>
        </a:xfrm>
        <a:prstGeom prst="roundRect">
          <a:avLst/>
        </a:prstGeom>
        <a:solidFill>
          <a:srgbClr val="FFD5D5"/>
        </a:solidFill>
        <a:ln w="508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de-DE" sz="1100" b="1"/>
            <a:t>Hinweis</a:t>
          </a:r>
          <a:r>
            <a:rPr lang="de-DE" sz="1100"/>
            <a:t>:			01.05.2022</a:t>
          </a:r>
        </a:p>
        <a:p>
          <a:pPr algn="l"/>
          <a:endParaRPr lang="de-DE" sz="1100"/>
        </a:p>
        <a:p>
          <a:pPr algn="l"/>
          <a:r>
            <a:rPr lang="de-DE" sz="1100"/>
            <a:t>Der</a:t>
          </a:r>
          <a:r>
            <a:rPr lang="de-DE" sz="1100" baseline="0"/>
            <a:t> Bundestag hat Ende April 2022 beschlossen, die EEG-Umlage zum 01.07.2022 abzuschaffen. Derzeit (01.07.2022) ist diese Regelung</a:t>
          </a:r>
        </a:p>
        <a:p>
          <a:pPr algn="l"/>
          <a:r>
            <a:rPr lang="de-DE" sz="1100" baseline="0"/>
            <a:t>noch nicht in Kraft getreten. Bitte machen Sie sich zur jeweils aktuellen rechtlichen Situation kundig und ändern ggf. die EEG-Umlage auf NULL, </a:t>
          </a:r>
          <a:br>
            <a:rPr lang="de-DE" sz="1100" baseline="0"/>
          </a:br>
          <a:r>
            <a:rPr lang="de-DE" sz="1100" baseline="0"/>
            <a:t>sofern die angesprochene Regelung gilt.</a:t>
          </a:r>
        </a:p>
        <a:p>
          <a:pPr algn="l"/>
          <a:r>
            <a:rPr lang="de-DE" sz="1100" baseline="0"/>
            <a:t>Eine Umsetzung dieser Regelung im Programm kann erst in der nächsten Version erfolgen. </a:t>
          </a:r>
          <a:endParaRPr lang="de-DE" sz="1100" b="0">
            <a:solidFill>
              <a:srgbClr val="FF0000"/>
            </a:solidFill>
          </a:endParaRPr>
        </a:p>
      </xdr:txBody>
    </xdr:sp>
    <xdr:clientData fPrintsWithSheet="0"/>
  </xdr:twoCellAnchor>
  <xdr:twoCellAnchor editAs="oneCell">
    <xdr:from>
      <xdr:col>31</xdr:col>
      <xdr:colOff>38100</xdr:colOff>
      <xdr:row>9</xdr:row>
      <xdr:rowOff>95250</xdr:rowOff>
    </xdr:from>
    <xdr:to>
      <xdr:col>33</xdr:col>
      <xdr:colOff>72965</xdr:colOff>
      <xdr:row>12</xdr:row>
      <xdr:rowOff>87522</xdr:rowOff>
    </xdr:to>
    <xdr:pic>
      <xdr:nvPicPr>
        <xdr:cNvPr id="13" name="Grafik 2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1181100"/>
          <a:ext cx="530165" cy="37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17</xdr:col>
      <xdr:colOff>209549</xdr:colOff>
      <xdr:row>17</xdr:row>
      <xdr:rowOff>95250</xdr:rowOff>
    </xdr:from>
    <xdr:to>
      <xdr:col>27</xdr:col>
      <xdr:colOff>142874</xdr:colOff>
      <xdr:row>19</xdr:row>
      <xdr:rowOff>133350</xdr:rowOff>
    </xdr:to>
    <xdr:sp macro="" textlink="">
      <xdr:nvSpPr>
        <xdr:cNvPr id="3" name="Abgerundetes Rechteck 2"/>
        <xdr:cNvSpPr/>
      </xdr:nvSpPr>
      <xdr:spPr bwMode="auto">
        <a:xfrm>
          <a:off x="4505324" y="2362200"/>
          <a:ext cx="2600325" cy="361950"/>
        </a:xfrm>
        <a:prstGeom prst="roundRect">
          <a:avLst/>
        </a:prstGeom>
        <a:solidFill>
          <a:srgbClr val="FFD5D5"/>
        </a:solidFill>
        <a:ln w="254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de-DE" sz="1200" b="1">
              <a:solidFill>
                <a:srgbClr val="0000FF"/>
              </a:solidFill>
              <a:latin typeface="+mn-lt"/>
              <a:ea typeface="+mn-ea"/>
              <a:cs typeface="+mn-cs"/>
            </a:rPr>
            <a:t>aktuell noch nicht verfügbar !</a:t>
          </a:r>
        </a:p>
      </xdr:txBody>
    </xdr:sp>
    <xdr:clientData/>
  </xdr:twoCellAnchor>
  <xdr:twoCellAnchor editAs="oneCell">
    <xdr:from>
      <xdr:col>26</xdr:col>
      <xdr:colOff>0</xdr:colOff>
      <xdr:row>133</xdr:row>
      <xdr:rowOff>102978</xdr:rowOff>
    </xdr:from>
    <xdr:to>
      <xdr:col>27</xdr:col>
      <xdr:colOff>263465</xdr:colOff>
      <xdr:row>136</xdr:row>
      <xdr:rowOff>19050</xdr:rowOff>
    </xdr:to>
    <xdr:pic>
      <xdr:nvPicPr>
        <xdr:cNvPr id="15" name="Grafik 22">
          <a:extLst>
            <a:ext uri="{FF2B5EF4-FFF2-40B4-BE49-F238E27FC236}">
              <a16:creationId xmlns:a16="http://schemas.microsoft.com/office/drawing/2014/main" id="{00000000-0008-0000-0000-0000A2EA9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20819853"/>
          <a:ext cx="530165" cy="37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33</xdr:col>
      <xdr:colOff>0</xdr:colOff>
      <xdr:row>6</xdr:row>
      <xdr:rowOff>0</xdr:rowOff>
    </xdr:from>
    <xdr:to>
      <xdr:col>69</xdr:col>
      <xdr:colOff>66675</xdr:colOff>
      <xdr:row>48</xdr:row>
      <xdr:rowOff>38100</xdr:rowOff>
    </xdr:to>
    <xdr:sp macro="" textlink="">
      <xdr:nvSpPr>
        <xdr:cNvPr id="16" name="Abgerundetes Rechteck 15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 bwMode="auto">
        <a:xfrm>
          <a:off x="8334375" y="723900"/>
          <a:ext cx="8982075" cy="6877050"/>
        </a:xfrm>
        <a:prstGeom prst="roundRect">
          <a:avLst/>
        </a:prstGeom>
        <a:solidFill>
          <a:srgbClr val="FFD5D5"/>
        </a:solidFill>
        <a:ln w="508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de-DE" sz="1100" b="1"/>
            <a:t>Hinweis</a:t>
          </a:r>
          <a:r>
            <a:rPr lang="de-DE" sz="1100"/>
            <a:t>:			31.07.2022</a:t>
          </a:r>
        </a:p>
        <a:p>
          <a:pPr algn="l"/>
          <a:endParaRPr lang="de-DE" sz="1100"/>
        </a:p>
        <a:p>
          <a:r>
            <a:rPr lang="de-DE" sz="1100"/>
            <a:t>Das </a:t>
          </a:r>
          <a:r>
            <a:rPr lang="de-DE" sz="1100" b="1"/>
            <a:t>Osterpaket </a:t>
          </a:r>
          <a:r>
            <a:rPr lang="de-DE" sz="1100" b="0"/>
            <a:t>(2022) und das </a:t>
          </a:r>
          <a:r>
            <a:rPr lang="de-DE" sz="1100" b="1"/>
            <a:t>EEG 2023 </a:t>
          </a:r>
          <a:r>
            <a:rPr lang="de-DE" sz="1100" b="0"/>
            <a:t>bringen einige</a:t>
          </a:r>
          <a:r>
            <a:rPr lang="de-DE" sz="1100" b="0" baseline="0"/>
            <a:t> grundlegende </a:t>
          </a:r>
          <a:r>
            <a:rPr lang="de-DE" sz="1100" b="0">
              <a:effectLst/>
              <a:latin typeface="+mn-lt"/>
              <a:ea typeface="+mn-ea"/>
              <a:cs typeface="+mn-cs"/>
            </a:rPr>
            <a:t>Neuregelungen (Gesetz zu Sofortmaßnahmen für einen beschleunigten Ausbau der erneuerbaren Energien; Veröffentlichung 28.07.2022 BGBl 2022; Teil I Nr. 28; S. 1237 ff).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Hier einige wichtige Regelungen (nicht abschließende Aufzählung; die vollständigen Regelungen entnehmen Sie bitte den einschlägigen Gesetzestexten) </a:t>
          </a:r>
          <a:r>
            <a:rPr lang="de-DE" sz="1100" b="0">
              <a:effectLst/>
              <a:latin typeface="+mn-lt"/>
              <a:ea typeface="+mn-ea"/>
              <a:cs typeface="+mn-cs"/>
            </a:rPr>
            <a:t/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endParaRPr lang="de-DE">
            <a:effectLst/>
          </a:endParaRPr>
        </a:p>
        <a:p>
          <a:r>
            <a:rPr lang="de-DE" sz="1100" b="0">
              <a:effectLst/>
              <a:latin typeface="+mn-lt"/>
              <a:ea typeface="+mn-ea"/>
              <a:cs typeface="+mn-cs"/>
            </a:rPr>
            <a:t>- </a:t>
          </a:r>
          <a:r>
            <a:rPr lang="de-DE" sz="1100" b="1">
              <a:effectLst/>
              <a:latin typeface="+mn-lt"/>
              <a:ea typeface="+mn-ea"/>
              <a:cs typeface="+mn-cs"/>
            </a:rPr>
            <a:t>Vergütungssätze</a:t>
          </a:r>
          <a:r>
            <a:rPr lang="de-DE" sz="1100" b="0">
              <a:effectLst/>
              <a:latin typeface="+mn-lt"/>
              <a:ea typeface="+mn-ea"/>
              <a:cs typeface="+mn-cs"/>
            </a:rPr>
            <a:t>: </a:t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r>
            <a:rPr lang="de-DE" sz="1100" b="0">
              <a:effectLst/>
              <a:latin typeface="+mn-lt"/>
              <a:ea typeface="+mn-ea"/>
              <a:cs typeface="+mn-cs"/>
            </a:rPr>
            <a:t>   Die Vergütungssätze/anzulegenden Werte werden in vielen Fällen angehoben.</a:t>
          </a:r>
        </a:p>
        <a:p>
          <a:r>
            <a:rPr lang="de-DE" sz="1100" b="0">
              <a:effectLst/>
              <a:latin typeface="+mn-lt"/>
              <a:ea typeface="+mn-ea"/>
              <a:cs typeface="+mn-cs"/>
            </a:rPr>
            <a:t>   Künftig gibt es differenzierte Vergütungssätze für </a:t>
          </a:r>
          <a:r>
            <a:rPr lang="de-DE" sz="1100" b="1">
              <a:effectLst/>
              <a:latin typeface="+mn-lt"/>
              <a:ea typeface="+mn-ea"/>
              <a:cs typeface="+mn-cs"/>
            </a:rPr>
            <a:t>Volleinspeisungsanlagen</a:t>
          </a:r>
          <a:r>
            <a:rPr lang="de-DE" sz="1100" b="0">
              <a:effectLst/>
              <a:latin typeface="+mn-lt"/>
              <a:ea typeface="+mn-ea"/>
              <a:cs typeface="+mn-cs"/>
            </a:rPr>
            <a:t>, </a:t>
          </a:r>
          <a:r>
            <a:rPr lang="de-DE" sz="1100" b="1">
              <a:effectLst/>
              <a:latin typeface="+mn-lt"/>
              <a:ea typeface="+mn-ea"/>
              <a:cs typeface="+mn-cs"/>
            </a:rPr>
            <a:t>Eigenverbrauchsanlagen</a:t>
          </a:r>
          <a:r>
            <a:rPr lang="de-DE" sz="1100" b="0">
              <a:effectLst/>
              <a:latin typeface="+mn-lt"/>
              <a:ea typeface="+mn-ea"/>
              <a:cs typeface="+mn-cs"/>
            </a:rPr>
            <a:t> sowie </a:t>
          </a:r>
          <a:r>
            <a:rPr lang="de-DE" sz="1100" b="1">
              <a:effectLst/>
              <a:latin typeface="+mn-lt"/>
              <a:ea typeface="+mn-ea"/>
              <a:cs typeface="+mn-cs"/>
            </a:rPr>
            <a:t>Freilandanlagen</a:t>
          </a:r>
          <a:r>
            <a:rPr lang="de-DE" sz="1100" b="0"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de-DE" sz="1100" b="0" baseline="0">
              <a:effectLst/>
              <a:latin typeface="+mn-lt"/>
              <a:ea typeface="+mn-ea"/>
              <a:cs typeface="+mn-cs"/>
            </a:rPr>
            <a:t>   </a:t>
          </a:r>
          <a:r>
            <a:rPr lang="de-DE" sz="1100" b="0">
              <a:effectLst/>
              <a:latin typeface="+mn-lt"/>
              <a:ea typeface="+mn-ea"/>
              <a:cs typeface="+mn-cs"/>
            </a:rPr>
            <a:t>Für das 2. Halbjahr 2022 gibt es eine Übergangsregelung, zum 1.1.2023 soll das EEG 2023 in Kraft treten.</a:t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r>
            <a:rPr lang="de-DE" sz="1100" b="0">
              <a:effectLst/>
              <a:latin typeface="+mn-lt"/>
              <a:ea typeface="+mn-ea"/>
              <a:cs typeface="+mn-cs"/>
            </a:rPr>
            <a:t>   Die Vergütungssätze sollen bis Januar 2024 festgeschrieben werden, danach sind nach derzeitigen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Informationen Absenkungen</a:t>
          </a:r>
          <a:r>
            <a:rPr lang="de-DE" sz="1100" b="0">
              <a:effectLst/>
              <a:latin typeface="+mn-lt"/>
              <a:ea typeface="+mn-ea"/>
              <a:cs typeface="+mn-cs"/>
            </a:rPr>
            <a:t> </a:t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r>
            <a:rPr lang="de-DE" sz="1100" b="0">
              <a:effectLst/>
              <a:latin typeface="+mn-lt"/>
              <a:ea typeface="+mn-ea"/>
              <a:cs typeface="+mn-cs"/>
            </a:rPr>
            <a:t>   im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halbjährigen Turnus um 1% vorgesehen. (siehe EEG 2023 - derzeit liegt noch kein verabschiedeter Gesetzestext vor !)</a:t>
          </a:r>
          <a:r>
            <a:rPr lang="de-DE" sz="1100" b="0">
              <a:effectLst/>
              <a:latin typeface="+mn-lt"/>
              <a:ea typeface="+mn-ea"/>
              <a:cs typeface="+mn-cs"/>
            </a:rPr>
            <a:t/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r>
            <a:rPr lang="de-DE" sz="1100" b="0">
              <a:effectLst/>
              <a:latin typeface="+mn-lt"/>
              <a:ea typeface="+mn-ea"/>
              <a:cs typeface="+mn-cs"/>
            </a:rPr>
            <a:t>- </a:t>
          </a:r>
          <a:r>
            <a:rPr lang="de-DE" sz="1100" b="1" baseline="0">
              <a:effectLst/>
              <a:latin typeface="+mn-lt"/>
              <a:ea typeface="+mn-ea"/>
              <a:cs typeface="+mn-cs"/>
            </a:rPr>
            <a:t>§48 Abs. 5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:</a:t>
          </a:r>
          <a:r>
            <a:rPr lang="de-DE" sz="1100" baseline="0"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de-DE" sz="1100" b="0" baseline="0">
              <a:effectLst/>
              <a:latin typeface="+mn-lt"/>
              <a:ea typeface="+mn-ea"/>
              <a:cs typeface="+mn-cs"/>
            </a:rPr>
            <a:t>   </a:t>
          </a:r>
          <a:r>
            <a:rPr lang="de-DE" sz="1100" b="0">
              <a:effectLst/>
              <a:latin typeface="+mn-lt"/>
              <a:ea typeface="+mn-ea"/>
              <a:cs typeface="+mn-cs"/>
            </a:rPr>
            <a:t>Die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Beschränkung der Vergütung für Dach-/Fassaden-Anlagen zwischen 300 bis 750 kWp wird zwischen 08/22 bis 12/22  </a:t>
          </a:r>
          <a:br>
            <a:rPr lang="de-DE" sz="1100" b="0" baseline="0"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effectLst/>
              <a:latin typeface="+mn-lt"/>
              <a:ea typeface="+mn-ea"/>
              <a:cs typeface="+mn-cs"/>
            </a:rPr>
            <a:t>   von 50% auf 80% abgehoben</a:t>
          </a:r>
          <a:r>
            <a:rPr lang="de-DE" sz="1100" b="0">
              <a:effectLst/>
              <a:latin typeface="+mn-lt"/>
              <a:ea typeface="+mn-ea"/>
              <a:cs typeface="+mn-cs"/>
            </a:rPr>
            <a:t>. Im EEG 2023 soll diese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Beschränkung ersatzlos wegfallen.</a:t>
          </a:r>
          <a:br>
            <a:rPr lang="de-DE" sz="1100" b="0" baseline="0"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effectLst/>
              <a:latin typeface="+mn-lt"/>
              <a:ea typeface="+mn-ea"/>
              <a:cs typeface="+mn-cs"/>
            </a:rPr>
            <a:t>- </a:t>
          </a:r>
          <a:r>
            <a:rPr lang="de-DE" sz="1100" b="1" baseline="0">
              <a:effectLst/>
              <a:latin typeface="+mn-lt"/>
              <a:ea typeface="+mn-ea"/>
              <a:cs typeface="+mn-cs"/>
            </a:rPr>
            <a:t>§22 Abs. 2:</a:t>
          </a:r>
        </a:p>
        <a:p>
          <a:r>
            <a:rPr lang="de-DE" sz="1100" b="1" baseline="0">
              <a:effectLst/>
              <a:latin typeface="+mn-lt"/>
              <a:ea typeface="+mn-ea"/>
              <a:cs typeface="+mn-cs"/>
            </a:rPr>
            <a:t>   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Das EEG 2023 sieht zum 01.01.2023 voraussichltich eine Anhebung der Grenze der nicht ausschreibungspflichtigen Anlagengröße </a:t>
          </a:r>
          <a:br>
            <a:rPr lang="de-DE" sz="1100" b="0" baseline="0"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effectLst/>
              <a:latin typeface="+mn-lt"/>
              <a:ea typeface="+mn-ea"/>
              <a:cs typeface="+mn-cs"/>
            </a:rPr>
            <a:t>   von 750 auf 1.000 kWp vor.</a:t>
          </a:r>
          <a:br>
            <a:rPr lang="de-DE" sz="1100" b="0" baseline="0">
              <a:effectLst/>
              <a:latin typeface="+mn-lt"/>
              <a:ea typeface="+mn-ea"/>
              <a:cs typeface="+mn-cs"/>
            </a:rPr>
          </a:br>
          <a:endParaRPr lang="de-DE" sz="1100" b="0" baseline="0">
            <a:effectLst/>
            <a:latin typeface="+mn-lt"/>
            <a:ea typeface="+mn-ea"/>
            <a:cs typeface="+mn-cs"/>
          </a:endParaRPr>
        </a:p>
        <a:p>
          <a:r>
            <a:rPr lang="de-DE" sz="1100" b="0" baseline="0">
              <a:effectLst/>
              <a:latin typeface="+mn-lt"/>
              <a:ea typeface="+mn-ea"/>
              <a:cs typeface="+mn-cs"/>
            </a:rPr>
            <a:t>-  </a:t>
          </a:r>
          <a:r>
            <a:rPr lang="de-DE" sz="1100" b="1" baseline="0">
              <a:effectLst/>
              <a:latin typeface="+mn-lt"/>
              <a:ea typeface="+mn-ea"/>
              <a:cs typeface="+mn-cs"/>
            </a:rPr>
            <a:t>EEG-Umlage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:</a:t>
          </a:r>
        </a:p>
        <a:p>
          <a:r>
            <a:rPr lang="de-DE" sz="1100" b="0" baseline="0">
              <a:effectLst/>
              <a:latin typeface="+mn-lt"/>
              <a:ea typeface="+mn-ea"/>
              <a:cs typeface="+mn-cs"/>
            </a:rPr>
            <a:t>   Die EEG-Umlage wird vom 01.07.22 bis 31.12.22 auf 0 Cent/kWh abgesenkt (Gesetz zur Absenkung der Kostenbelastung durch die </a:t>
          </a:r>
        </a:p>
        <a:p>
          <a:r>
            <a:rPr lang="de-DE" sz="1100" b="0" baseline="0">
              <a:effectLst/>
              <a:latin typeface="+mn-lt"/>
              <a:ea typeface="+mn-ea"/>
              <a:cs typeface="+mn-cs"/>
            </a:rPr>
            <a:t>   EEG-Umlage ... vom 23.05.2022).</a:t>
          </a:r>
          <a:br>
            <a:rPr lang="de-DE" sz="1100" b="0" baseline="0"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effectLst/>
              <a:latin typeface="+mn-lt"/>
              <a:ea typeface="+mn-ea"/>
              <a:cs typeface="+mn-cs"/>
            </a:rPr>
            <a:t>   Im EEG 2023 soll die EEG-Umlage  vollständig entfallen. </a:t>
          </a:r>
          <a:r>
            <a:rPr lang="de-DE" sz="1100" b="0">
              <a:effectLst/>
              <a:latin typeface="+mn-lt"/>
              <a:ea typeface="+mn-ea"/>
              <a:cs typeface="+mn-cs"/>
            </a:rPr>
            <a:t> </a:t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endParaRPr lang="de-DE" sz="1100" b="0">
            <a:effectLst/>
            <a:latin typeface="+mn-lt"/>
            <a:ea typeface="+mn-ea"/>
            <a:cs typeface="+mn-cs"/>
          </a:endParaRPr>
        </a:p>
        <a:p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Achtung: Die </a:t>
          </a: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in dieser Anwendung/Berechnung </a:t>
          </a:r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verwendeten</a:t>
          </a: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Anzulegenden Werte/Vergütungssätze wurden am 28.07.2022 </a:t>
          </a:r>
          <a:b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 mit dem "</a:t>
          </a:r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Gesetz zu Sofortmaßnahmen für einen beschleunigten Ausbau der erneuerbaren Energien" </a:t>
          </a: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im Bundesgesetzblatt </a:t>
          </a:r>
          <a:b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 Jahrgang 2022; Teil I Nr. 28; S. 1237 ff veröffentlicht und sind zum 29.07.2022 in Kraft getreten.</a:t>
          </a:r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Sämtliche</a:t>
          </a: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Neuregelungen gelten unter Vorbehalt der beihilferechtlichen Genehmigung durch die Europäische Komission </a:t>
          </a:r>
          <a:r>
            <a:rPr lang="de-DE" sz="2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!!!</a:t>
          </a:r>
        </a:p>
        <a:p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</a:t>
          </a:r>
          <a:r>
            <a:rPr lang="de-DE" sz="1100" b="1" baseline="0">
              <a:effectLst/>
              <a:latin typeface="+mn-lt"/>
              <a:ea typeface="+mn-ea"/>
              <a:cs typeface="+mn-cs"/>
            </a:rPr>
            <a:t>Freiflächenanlagen und Sonstige Anlagen: </a:t>
          </a:r>
          <a: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Die Anzulegenden Werte werden nach jetztigem Stand erst mit dem EEG 2023 </a:t>
          </a:r>
          <a:b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             neu geregelt. Im Programm  wird davon ausgegangen, dass die  </a:t>
          </a:r>
          <a:r>
            <a:rPr lang="de-DE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anzulegenden Werte für</a:t>
          </a:r>
          <a: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Freiflächenanlagen und Sonstige Anlagen  </a:t>
          </a:r>
          <a:b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             im Zeitraum August 2022 bis Dezember 2022 gemäß EEG 2021 weiter der Degression unterliegen.</a:t>
          </a:r>
        </a:p>
        <a:p>
          <a:endParaRPr lang="de-DE" sz="11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Eine Gewähr für die Vollständigkeit und Richtigkeit der verwendeten Anzulegenden Werte/Vergütungen kann ausdrücklich</a:t>
          </a:r>
          <a:b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nicht übernommen werden! Bitte prüfen Sie die gültige Rechtslage. Die Nutzung der beiliegende Software /Berechnung erfolgt</a:t>
          </a:r>
          <a:b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ausdrücklich auf eigene Gefahr ! </a:t>
          </a:r>
          <a:endParaRPr lang="de-DE" sz="1100" b="0" baseline="0">
            <a:solidFill>
              <a:srgbClr val="FF0000"/>
            </a:solidFill>
          </a:endParaRP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350</xdr:row>
      <xdr:rowOff>0</xdr:rowOff>
    </xdr:from>
    <xdr:to>
      <xdr:col>40</xdr:col>
      <xdr:colOff>0</xdr:colOff>
      <xdr:row>368</xdr:row>
      <xdr:rowOff>0</xdr:rowOff>
    </xdr:to>
    <xdr:graphicFrame macro="">
      <xdr:nvGraphicFramePr>
        <xdr:cNvPr id="10342285" name="Diagramm 325">
          <a:extLst>
            <a:ext uri="{FF2B5EF4-FFF2-40B4-BE49-F238E27FC236}">
              <a16:creationId xmlns:a16="http://schemas.microsoft.com/office/drawing/2014/main" id="{00000000-0008-0000-0300-00008DCF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34506</xdr:colOff>
      <xdr:row>0</xdr:row>
      <xdr:rowOff>17253</xdr:rowOff>
    </xdr:from>
    <xdr:to>
      <xdr:col>40</xdr:col>
      <xdr:colOff>25879</xdr:colOff>
      <xdr:row>4</xdr:row>
      <xdr:rowOff>129396</xdr:rowOff>
    </xdr:to>
    <xdr:pic>
      <xdr:nvPicPr>
        <xdr:cNvPr id="10342286" name="Picture 327">
          <a:extLst>
            <a:ext uri="{FF2B5EF4-FFF2-40B4-BE49-F238E27FC236}">
              <a16:creationId xmlns:a16="http://schemas.microsoft.com/office/drawing/2014/main" id="{00000000-0008-0000-0300-00008ECF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2453" y="17253"/>
          <a:ext cx="724619" cy="370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330</xdr:row>
      <xdr:rowOff>0</xdr:rowOff>
    </xdr:from>
    <xdr:to>
      <xdr:col>40</xdr:col>
      <xdr:colOff>0</xdr:colOff>
      <xdr:row>345</xdr:row>
      <xdr:rowOff>0</xdr:rowOff>
    </xdr:to>
    <xdr:graphicFrame macro="">
      <xdr:nvGraphicFramePr>
        <xdr:cNvPr id="10342287" name="Diagramm 329">
          <a:extLst>
            <a:ext uri="{FF2B5EF4-FFF2-40B4-BE49-F238E27FC236}">
              <a16:creationId xmlns:a16="http://schemas.microsoft.com/office/drawing/2014/main" id="{00000000-0008-0000-0300-00008FCF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29</xdr:col>
      <xdr:colOff>0</xdr:colOff>
      <xdr:row>10</xdr:row>
      <xdr:rowOff>60385</xdr:rowOff>
    </xdr:from>
    <xdr:to>
      <xdr:col>40</xdr:col>
      <xdr:colOff>0</xdr:colOff>
      <xdr:row>14</xdr:row>
      <xdr:rowOff>3968</xdr:rowOff>
    </xdr:to>
    <xdr:pic>
      <xdr:nvPicPr>
        <xdr:cNvPr id="10342288" name="Picture 334">
          <a:extLst>
            <a:ext uri="{FF2B5EF4-FFF2-40B4-BE49-F238E27FC236}">
              <a16:creationId xmlns:a16="http://schemas.microsoft.com/office/drawing/2014/main" id="{00000000-0008-0000-0300-000090CF9D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7834" y="983411"/>
          <a:ext cx="1423358" cy="483080"/>
        </a:xfrm>
        <a:prstGeom prst="rect">
          <a:avLst/>
        </a:prstGeom>
        <a:noFill/>
        <a:ln w="6350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378</xdr:row>
      <xdr:rowOff>0</xdr:rowOff>
    </xdr:from>
    <xdr:to>
      <xdr:col>40</xdr:col>
      <xdr:colOff>0</xdr:colOff>
      <xdr:row>396</xdr:row>
      <xdr:rowOff>0</xdr:rowOff>
    </xdr:to>
    <xdr:graphicFrame macro="">
      <xdr:nvGraphicFramePr>
        <xdr:cNvPr id="10342289" name="Diagramm 358">
          <a:extLst>
            <a:ext uri="{FF2B5EF4-FFF2-40B4-BE49-F238E27FC236}">
              <a16:creationId xmlns:a16="http://schemas.microsoft.com/office/drawing/2014/main" id="{00000000-0008-0000-0300-000091CF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28</xdr:col>
      <xdr:colOff>0</xdr:colOff>
      <xdr:row>47</xdr:row>
      <xdr:rowOff>43132</xdr:rowOff>
    </xdr:from>
    <xdr:to>
      <xdr:col>41</xdr:col>
      <xdr:colOff>2756</xdr:colOff>
      <xdr:row>53</xdr:row>
      <xdr:rowOff>43132</xdr:rowOff>
    </xdr:to>
    <xdr:pic>
      <xdr:nvPicPr>
        <xdr:cNvPr id="10342290" name="Picture 4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92CF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4702" y="4951562"/>
          <a:ext cx="1500996" cy="569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28</xdr:col>
      <xdr:colOff>0</xdr:colOff>
      <xdr:row>53</xdr:row>
      <xdr:rowOff>60385</xdr:rowOff>
    </xdr:from>
    <xdr:to>
      <xdr:col>41</xdr:col>
      <xdr:colOff>2756</xdr:colOff>
      <xdr:row>59</xdr:row>
      <xdr:rowOff>43132</xdr:rowOff>
    </xdr:to>
    <xdr:pic>
      <xdr:nvPicPr>
        <xdr:cNvPr id="10342291" name="Picture 43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93CF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4702" y="5538158"/>
          <a:ext cx="1500996" cy="552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27</xdr:col>
      <xdr:colOff>60385</xdr:colOff>
      <xdr:row>111</xdr:row>
      <xdr:rowOff>86264</xdr:rowOff>
    </xdr:from>
    <xdr:to>
      <xdr:col>40</xdr:col>
      <xdr:colOff>8626</xdr:colOff>
      <xdr:row>113</xdr:row>
      <xdr:rowOff>181155</xdr:rowOff>
    </xdr:to>
    <xdr:pic>
      <xdr:nvPicPr>
        <xdr:cNvPr id="10342292" name="Picture 44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94CF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7449" y="11973464"/>
          <a:ext cx="1492370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27</xdr:col>
      <xdr:colOff>50860</xdr:colOff>
      <xdr:row>325</xdr:row>
      <xdr:rowOff>49961</xdr:rowOff>
    </xdr:from>
    <xdr:to>
      <xdr:col>39</xdr:col>
      <xdr:colOff>132451</xdr:colOff>
      <xdr:row>327</xdr:row>
      <xdr:rowOff>183311</xdr:rowOff>
    </xdr:to>
    <xdr:pic>
      <xdr:nvPicPr>
        <xdr:cNvPr id="10342293" name="Picture 44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95CF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0810" y="34968611"/>
          <a:ext cx="1434141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27</xdr:col>
      <xdr:colOff>60385</xdr:colOff>
      <xdr:row>375</xdr:row>
      <xdr:rowOff>77638</xdr:rowOff>
    </xdr:from>
    <xdr:to>
      <xdr:col>40</xdr:col>
      <xdr:colOff>8626</xdr:colOff>
      <xdr:row>377</xdr:row>
      <xdr:rowOff>69011</xdr:rowOff>
    </xdr:to>
    <xdr:pic>
      <xdr:nvPicPr>
        <xdr:cNvPr id="10342294" name="Picture 44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96CF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7449" y="42381577"/>
          <a:ext cx="1492370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33</xdr:col>
      <xdr:colOff>129396</xdr:colOff>
      <xdr:row>235</xdr:row>
      <xdr:rowOff>43132</xdr:rowOff>
    </xdr:from>
    <xdr:to>
      <xdr:col>40</xdr:col>
      <xdr:colOff>2396</xdr:colOff>
      <xdr:row>237</xdr:row>
      <xdr:rowOff>120770</xdr:rowOff>
    </xdr:to>
    <xdr:pic>
      <xdr:nvPicPr>
        <xdr:cNvPr id="10342295" name="Picture 44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97CF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9321" y="24473140"/>
          <a:ext cx="733245" cy="414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0</xdr:colOff>
          <xdr:row>21</xdr:row>
          <xdr:rowOff>19050</xdr:rowOff>
        </xdr:from>
        <xdr:to>
          <xdr:col>24</xdr:col>
          <xdr:colOff>0</xdr:colOff>
          <xdr:row>24</xdr:row>
          <xdr:rowOff>0</xdr:rowOff>
        </xdr:to>
        <xdr:sp macro="" textlink="">
          <xdr:nvSpPr>
            <xdr:cNvPr id="17734" name="ComboBox1" hidden="1">
              <a:extLst>
                <a:ext uri="{63B3BB69-23CF-44E3-9099-C40C66FF867C}">
                  <a14:compatExt spid="_x0000_s17734"/>
                </a:ext>
                <a:ext uri="{FF2B5EF4-FFF2-40B4-BE49-F238E27FC236}">
                  <a16:creationId xmlns:a16="http://schemas.microsoft.com/office/drawing/2014/main" id="{00000000-0008-0000-0300-000046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19050</xdr:colOff>
          <xdr:row>113</xdr:row>
          <xdr:rowOff>295275</xdr:rowOff>
        </xdr:from>
        <xdr:to>
          <xdr:col>33</xdr:col>
          <xdr:colOff>76200</xdr:colOff>
          <xdr:row>116</xdr:row>
          <xdr:rowOff>28575</xdr:rowOff>
        </xdr:to>
        <xdr:sp macro="" textlink="">
          <xdr:nvSpPr>
            <xdr:cNvPr id="17746" name="Spinner 338" hidden="1">
              <a:extLst>
                <a:ext uri="{63B3BB69-23CF-44E3-9099-C40C66FF867C}">
                  <a14:compatExt spid="_x0000_s17746"/>
                </a:ext>
                <a:ext uri="{FF2B5EF4-FFF2-40B4-BE49-F238E27FC236}">
                  <a16:creationId xmlns:a16="http://schemas.microsoft.com/office/drawing/2014/main" id="{00000000-0008-0000-0300-000052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113</xdr:row>
          <xdr:rowOff>295275</xdr:rowOff>
        </xdr:from>
        <xdr:to>
          <xdr:col>17</xdr:col>
          <xdr:colOff>85725</xdr:colOff>
          <xdr:row>116</xdr:row>
          <xdr:rowOff>28575</xdr:rowOff>
        </xdr:to>
        <xdr:sp macro="" textlink="">
          <xdr:nvSpPr>
            <xdr:cNvPr id="18216" name="Spinner 808" hidden="1">
              <a:extLst>
                <a:ext uri="{63B3BB69-23CF-44E3-9099-C40C66FF867C}">
                  <a14:compatExt spid="_x0000_s18216"/>
                </a:ext>
                <a:ext uri="{FF2B5EF4-FFF2-40B4-BE49-F238E27FC236}">
                  <a16:creationId xmlns:a16="http://schemas.microsoft.com/office/drawing/2014/main" id="{00000000-0008-0000-0300-0000284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9525</xdr:colOff>
          <xdr:row>171</xdr:row>
          <xdr:rowOff>142875</xdr:rowOff>
        </xdr:from>
        <xdr:to>
          <xdr:col>22</xdr:col>
          <xdr:colOff>47625</xdr:colOff>
          <xdr:row>174</xdr:row>
          <xdr:rowOff>28575</xdr:rowOff>
        </xdr:to>
        <xdr:sp macro="" textlink="">
          <xdr:nvSpPr>
            <xdr:cNvPr id="18273" name="Spinner 865" hidden="1">
              <a:extLst>
                <a:ext uri="{63B3BB69-23CF-44E3-9099-C40C66FF867C}">
                  <a14:compatExt spid="_x0000_s18273"/>
                </a:ext>
                <a:ext uri="{FF2B5EF4-FFF2-40B4-BE49-F238E27FC236}">
                  <a16:creationId xmlns:a16="http://schemas.microsoft.com/office/drawing/2014/main" id="{00000000-0008-0000-0300-0000614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9525</xdr:colOff>
          <xdr:row>154</xdr:row>
          <xdr:rowOff>142875</xdr:rowOff>
        </xdr:from>
        <xdr:to>
          <xdr:col>22</xdr:col>
          <xdr:colOff>47625</xdr:colOff>
          <xdr:row>158</xdr:row>
          <xdr:rowOff>9525</xdr:rowOff>
        </xdr:to>
        <xdr:sp macro="" textlink="">
          <xdr:nvSpPr>
            <xdr:cNvPr id="2215943" name="Spinner 7175" hidden="1">
              <a:extLst>
                <a:ext uri="{63B3BB69-23CF-44E3-9099-C40C66FF867C}">
                  <a14:compatExt spid="_x0000_s2215943"/>
                </a:ext>
                <a:ext uri="{FF2B5EF4-FFF2-40B4-BE49-F238E27FC236}">
                  <a16:creationId xmlns:a16="http://schemas.microsoft.com/office/drawing/2014/main" id="{00000000-0008-0000-0300-000007D02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19</xdr:row>
          <xdr:rowOff>19050</xdr:rowOff>
        </xdr:from>
        <xdr:to>
          <xdr:col>17</xdr:col>
          <xdr:colOff>342900</xdr:colOff>
          <xdr:row>22</xdr:row>
          <xdr:rowOff>9525</xdr:rowOff>
        </xdr:to>
        <xdr:sp macro="" textlink="">
          <xdr:nvSpPr>
            <xdr:cNvPr id="2215944" name="Spinner 7176" hidden="1">
              <a:extLst>
                <a:ext uri="{63B3BB69-23CF-44E3-9099-C40C66FF867C}">
                  <a14:compatExt spid="_x0000_s2215944"/>
                </a:ext>
                <a:ext uri="{FF2B5EF4-FFF2-40B4-BE49-F238E27FC236}">
                  <a16:creationId xmlns:a16="http://schemas.microsoft.com/office/drawing/2014/main" id="{00000000-0008-0000-0300-000008D02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xdr:twoCellAnchor>
    <xdr:from>
      <xdr:col>4</xdr:col>
      <xdr:colOff>0</xdr:colOff>
      <xdr:row>304</xdr:row>
      <xdr:rowOff>0</xdr:rowOff>
    </xdr:from>
    <xdr:to>
      <xdr:col>39</xdr:col>
      <xdr:colOff>0</xdr:colOff>
      <xdr:row>322</xdr:row>
      <xdr:rowOff>0</xdr:rowOff>
    </xdr:to>
    <xdr:graphicFrame macro="">
      <xdr:nvGraphicFramePr>
        <xdr:cNvPr id="10342296" name="Diagramm 329">
          <a:extLst>
            <a:ext uri="{FF2B5EF4-FFF2-40B4-BE49-F238E27FC236}">
              <a16:creationId xmlns:a16="http://schemas.microsoft.com/office/drawing/2014/main" id="{00000000-0008-0000-0300-000098CF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17</xdr:col>
      <xdr:colOff>276045</xdr:colOff>
      <xdr:row>97</xdr:row>
      <xdr:rowOff>69011</xdr:rowOff>
    </xdr:from>
    <xdr:to>
      <xdr:col>25</xdr:col>
      <xdr:colOff>172528</xdr:colOff>
      <xdr:row>99</xdr:row>
      <xdr:rowOff>86264</xdr:rowOff>
    </xdr:to>
    <xdr:pic>
      <xdr:nvPicPr>
        <xdr:cNvPr id="10342297" name="Picture 44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300-000099CF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4634" y="10377577"/>
          <a:ext cx="2260121" cy="207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45</xdr:col>
      <xdr:colOff>189781</xdr:colOff>
      <xdr:row>204</xdr:row>
      <xdr:rowOff>17253</xdr:rowOff>
    </xdr:from>
    <xdr:to>
      <xdr:col>46</xdr:col>
      <xdr:colOff>0</xdr:colOff>
      <xdr:row>208</xdr:row>
      <xdr:rowOff>8626</xdr:rowOff>
    </xdr:to>
    <xdr:pic>
      <xdr:nvPicPr>
        <xdr:cNvPr id="10342299" name="Grafik 2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9BCF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4438" y="20867298"/>
          <a:ext cx="552090" cy="353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3</xdr:col>
      <xdr:colOff>146649</xdr:colOff>
      <xdr:row>175</xdr:row>
      <xdr:rowOff>8626</xdr:rowOff>
    </xdr:from>
    <xdr:to>
      <xdr:col>6</xdr:col>
      <xdr:colOff>232913</xdr:colOff>
      <xdr:row>178</xdr:row>
      <xdr:rowOff>25879</xdr:rowOff>
    </xdr:to>
    <xdr:pic>
      <xdr:nvPicPr>
        <xdr:cNvPr id="10342300" name="Grafik 2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300-00009CCF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430" y="18279374"/>
          <a:ext cx="560717" cy="353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504825</xdr:colOff>
          <xdr:row>198</xdr:row>
          <xdr:rowOff>133350</xdr:rowOff>
        </xdr:from>
        <xdr:to>
          <xdr:col>45</xdr:col>
          <xdr:colOff>723900</xdr:colOff>
          <xdr:row>202</xdr:row>
          <xdr:rowOff>0</xdr:rowOff>
        </xdr:to>
        <xdr:sp macro="" textlink="">
          <xdr:nvSpPr>
            <xdr:cNvPr id="6063608" name="Spinner 10744" hidden="1">
              <a:extLst>
                <a:ext uri="{63B3BB69-23CF-44E3-9099-C40C66FF867C}">
                  <a14:compatExt spid="_x0000_s6063608"/>
                </a:ext>
                <a:ext uri="{FF2B5EF4-FFF2-40B4-BE49-F238E27FC236}">
                  <a16:creationId xmlns:a16="http://schemas.microsoft.com/office/drawing/2014/main" id="{00000000-0008-0000-0300-0000F8855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19050</xdr:colOff>
          <xdr:row>14</xdr:row>
          <xdr:rowOff>0</xdr:rowOff>
        </xdr:from>
        <xdr:to>
          <xdr:col>25</xdr:col>
          <xdr:colOff>123825</xdr:colOff>
          <xdr:row>14</xdr:row>
          <xdr:rowOff>219075</xdr:rowOff>
        </xdr:to>
        <xdr:sp macro="" textlink="">
          <xdr:nvSpPr>
            <xdr:cNvPr id="8030509" name="Spinner 15661" hidden="1">
              <a:extLst>
                <a:ext uri="{63B3BB69-23CF-44E3-9099-C40C66FF867C}">
                  <a14:compatExt spid="_x0000_s8030509"/>
                </a:ext>
                <a:ext uri="{FF2B5EF4-FFF2-40B4-BE49-F238E27FC236}">
                  <a16:creationId xmlns:a16="http://schemas.microsoft.com/office/drawing/2014/main" id="{00000000-0008-0000-0300-00002D897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504825</xdr:colOff>
          <xdr:row>173</xdr:row>
          <xdr:rowOff>38100</xdr:rowOff>
        </xdr:from>
        <xdr:to>
          <xdr:col>45</xdr:col>
          <xdr:colOff>723900</xdr:colOff>
          <xdr:row>174</xdr:row>
          <xdr:rowOff>104775</xdr:rowOff>
        </xdr:to>
        <xdr:sp macro="" textlink="">
          <xdr:nvSpPr>
            <xdr:cNvPr id="9015699" name="Spinner 19859" hidden="1">
              <a:extLst>
                <a:ext uri="{63B3BB69-23CF-44E3-9099-C40C66FF867C}">
                  <a14:compatExt spid="_x0000_s9015699"/>
                </a:ext>
                <a:ext uri="{FF2B5EF4-FFF2-40B4-BE49-F238E27FC236}">
                  <a16:creationId xmlns:a16="http://schemas.microsoft.com/office/drawing/2014/main" id="{00000000-0008-0000-0300-000093918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xdr:twoCellAnchor editAs="oneCell">
    <xdr:from>
      <xdr:col>29</xdr:col>
      <xdr:colOff>70808</xdr:colOff>
      <xdr:row>32</xdr:row>
      <xdr:rowOff>63620</xdr:rowOff>
    </xdr:from>
    <xdr:to>
      <xdr:col>39</xdr:col>
      <xdr:colOff>85725</xdr:colOff>
      <xdr:row>35</xdr:row>
      <xdr:rowOff>13067</xdr:rowOff>
    </xdr:to>
    <xdr:pic>
      <xdr:nvPicPr>
        <xdr:cNvPr id="10342302" name="Grafik 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300-00009ECF9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5058" y="3797420"/>
          <a:ext cx="1253167" cy="311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19050</xdr:colOff>
          <xdr:row>16</xdr:row>
          <xdr:rowOff>0</xdr:rowOff>
        </xdr:from>
        <xdr:to>
          <xdr:col>25</xdr:col>
          <xdr:colOff>123825</xdr:colOff>
          <xdr:row>16</xdr:row>
          <xdr:rowOff>219075</xdr:rowOff>
        </xdr:to>
        <xdr:sp macro="" textlink="">
          <xdr:nvSpPr>
            <xdr:cNvPr id="9015700" name="Spinner 19860" hidden="1">
              <a:extLst>
                <a:ext uri="{63B3BB69-23CF-44E3-9099-C40C66FF867C}">
                  <a14:compatExt spid="_x0000_s9015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xdr:twoCellAnchor>
    <xdr:from>
      <xdr:col>45</xdr:col>
      <xdr:colOff>0</xdr:colOff>
      <xdr:row>2</xdr:row>
      <xdr:rowOff>0</xdr:rowOff>
    </xdr:from>
    <xdr:to>
      <xdr:col>78</xdr:col>
      <xdr:colOff>9525</xdr:colOff>
      <xdr:row>61</xdr:row>
      <xdr:rowOff>104775</xdr:rowOff>
    </xdr:to>
    <xdr:sp macro="" textlink="">
      <xdr:nvSpPr>
        <xdr:cNvPr id="29" name="Abgerundetes Rechteck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 bwMode="auto">
        <a:xfrm>
          <a:off x="8505825" y="76200"/>
          <a:ext cx="8982075" cy="6877050"/>
        </a:xfrm>
        <a:prstGeom prst="roundRect">
          <a:avLst/>
        </a:prstGeom>
        <a:solidFill>
          <a:srgbClr val="FFD5D5"/>
        </a:solidFill>
        <a:ln w="508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de-DE" sz="1100" b="1"/>
            <a:t>Hinweis</a:t>
          </a:r>
          <a:r>
            <a:rPr lang="de-DE" sz="1100"/>
            <a:t>:			31.07.2022</a:t>
          </a:r>
        </a:p>
        <a:p>
          <a:pPr algn="l"/>
          <a:endParaRPr lang="de-DE" sz="1100"/>
        </a:p>
        <a:p>
          <a:r>
            <a:rPr lang="de-DE" sz="1100"/>
            <a:t>Das </a:t>
          </a:r>
          <a:r>
            <a:rPr lang="de-DE" sz="1100" b="1"/>
            <a:t>Osterpaket </a:t>
          </a:r>
          <a:r>
            <a:rPr lang="de-DE" sz="1100" b="0"/>
            <a:t>(2022) und das </a:t>
          </a:r>
          <a:r>
            <a:rPr lang="de-DE" sz="1100" b="1"/>
            <a:t>EEG 2023 </a:t>
          </a:r>
          <a:r>
            <a:rPr lang="de-DE" sz="1100" b="0"/>
            <a:t>bringen einige</a:t>
          </a:r>
          <a:r>
            <a:rPr lang="de-DE" sz="1100" b="0" baseline="0"/>
            <a:t> grundlegende </a:t>
          </a:r>
          <a:r>
            <a:rPr lang="de-DE" sz="1100" b="0">
              <a:effectLst/>
              <a:latin typeface="+mn-lt"/>
              <a:ea typeface="+mn-ea"/>
              <a:cs typeface="+mn-cs"/>
            </a:rPr>
            <a:t>Neuregelungen (Gesetz zu Sofortmaßnahmen für einen beschleunigten Ausbau der erneuerbaren Energien; Veröffentlichung 28.07.2022 BGBl 2022; Teil I Nr. 28; S. 1237 ff).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Hier einige wichtige Regelungen (nicht abschließende Aufzählung; die vollständigen Regelungen entnehmen Sie bitte den einschlägigen Gesetzestexten) </a:t>
          </a:r>
          <a:r>
            <a:rPr lang="de-DE" sz="1100" b="0">
              <a:effectLst/>
              <a:latin typeface="+mn-lt"/>
              <a:ea typeface="+mn-ea"/>
              <a:cs typeface="+mn-cs"/>
            </a:rPr>
            <a:t/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endParaRPr lang="de-DE">
            <a:effectLst/>
          </a:endParaRPr>
        </a:p>
        <a:p>
          <a:r>
            <a:rPr lang="de-DE" sz="1100" b="0">
              <a:effectLst/>
              <a:latin typeface="+mn-lt"/>
              <a:ea typeface="+mn-ea"/>
              <a:cs typeface="+mn-cs"/>
            </a:rPr>
            <a:t>- </a:t>
          </a:r>
          <a:r>
            <a:rPr lang="de-DE" sz="1100" b="1">
              <a:effectLst/>
              <a:latin typeface="+mn-lt"/>
              <a:ea typeface="+mn-ea"/>
              <a:cs typeface="+mn-cs"/>
            </a:rPr>
            <a:t>Vergütungssätze</a:t>
          </a:r>
          <a:r>
            <a:rPr lang="de-DE" sz="1100" b="0">
              <a:effectLst/>
              <a:latin typeface="+mn-lt"/>
              <a:ea typeface="+mn-ea"/>
              <a:cs typeface="+mn-cs"/>
            </a:rPr>
            <a:t>: </a:t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r>
            <a:rPr lang="de-DE" sz="1100" b="0">
              <a:effectLst/>
              <a:latin typeface="+mn-lt"/>
              <a:ea typeface="+mn-ea"/>
              <a:cs typeface="+mn-cs"/>
            </a:rPr>
            <a:t>   Die Vergütungssätze/anzulegenden Werte werden in vielen Fällen angehoben.</a:t>
          </a:r>
        </a:p>
        <a:p>
          <a:r>
            <a:rPr lang="de-DE" sz="1100" b="0">
              <a:effectLst/>
              <a:latin typeface="+mn-lt"/>
              <a:ea typeface="+mn-ea"/>
              <a:cs typeface="+mn-cs"/>
            </a:rPr>
            <a:t>   Künftig gibt es differenzierte Vergütungssätze für </a:t>
          </a:r>
          <a:r>
            <a:rPr lang="de-DE" sz="1100" b="1">
              <a:effectLst/>
              <a:latin typeface="+mn-lt"/>
              <a:ea typeface="+mn-ea"/>
              <a:cs typeface="+mn-cs"/>
            </a:rPr>
            <a:t>Volleinspeisungsanlagen</a:t>
          </a:r>
          <a:r>
            <a:rPr lang="de-DE" sz="1100" b="0">
              <a:effectLst/>
              <a:latin typeface="+mn-lt"/>
              <a:ea typeface="+mn-ea"/>
              <a:cs typeface="+mn-cs"/>
            </a:rPr>
            <a:t>, </a:t>
          </a:r>
          <a:r>
            <a:rPr lang="de-DE" sz="1100" b="1">
              <a:effectLst/>
              <a:latin typeface="+mn-lt"/>
              <a:ea typeface="+mn-ea"/>
              <a:cs typeface="+mn-cs"/>
            </a:rPr>
            <a:t>Eigenverbrauchsanlagen</a:t>
          </a:r>
          <a:r>
            <a:rPr lang="de-DE" sz="1100" b="0">
              <a:effectLst/>
              <a:latin typeface="+mn-lt"/>
              <a:ea typeface="+mn-ea"/>
              <a:cs typeface="+mn-cs"/>
            </a:rPr>
            <a:t> sowie </a:t>
          </a:r>
          <a:r>
            <a:rPr lang="de-DE" sz="1100" b="1">
              <a:effectLst/>
              <a:latin typeface="+mn-lt"/>
              <a:ea typeface="+mn-ea"/>
              <a:cs typeface="+mn-cs"/>
            </a:rPr>
            <a:t>Freilandanlagen</a:t>
          </a:r>
          <a:r>
            <a:rPr lang="de-DE" sz="1100" b="0"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de-DE" sz="1100" b="0" baseline="0">
              <a:effectLst/>
              <a:latin typeface="+mn-lt"/>
              <a:ea typeface="+mn-ea"/>
              <a:cs typeface="+mn-cs"/>
            </a:rPr>
            <a:t>   </a:t>
          </a:r>
          <a:r>
            <a:rPr lang="de-DE" sz="1100" b="0">
              <a:effectLst/>
              <a:latin typeface="+mn-lt"/>
              <a:ea typeface="+mn-ea"/>
              <a:cs typeface="+mn-cs"/>
            </a:rPr>
            <a:t>Für das 2. Halbjahr 2022 gibt es eine Übergangsregelung, zum 1.1.2023 soll das EEG 2023 in Kraft treten.</a:t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r>
            <a:rPr lang="de-DE" sz="1100" b="0">
              <a:effectLst/>
              <a:latin typeface="+mn-lt"/>
              <a:ea typeface="+mn-ea"/>
              <a:cs typeface="+mn-cs"/>
            </a:rPr>
            <a:t>   Die Vergütungssätze sollen bis Januar 2024 festgeschrieben werden, danach sind nach derzeitigen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Informationen Absenkungen</a:t>
          </a:r>
          <a:r>
            <a:rPr lang="de-DE" sz="1100" b="0">
              <a:effectLst/>
              <a:latin typeface="+mn-lt"/>
              <a:ea typeface="+mn-ea"/>
              <a:cs typeface="+mn-cs"/>
            </a:rPr>
            <a:t> </a:t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r>
            <a:rPr lang="de-DE" sz="1100" b="0">
              <a:effectLst/>
              <a:latin typeface="+mn-lt"/>
              <a:ea typeface="+mn-ea"/>
              <a:cs typeface="+mn-cs"/>
            </a:rPr>
            <a:t>   im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halbjährigen Turnus um 1% vorgesehen. (siehe EEG 2023 - derzeit liegt noch kein verabschiedeter Gesetzestext vor !)</a:t>
          </a:r>
          <a:r>
            <a:rPr lang="de-DE" sz="1100" b="0">
              <a:effectLst/>
              <a:latin typeface="+mn-lt"/>
              <a:ea typeface="+mn-ea"/>
              <a:cs typeface="+mn-cs"/>
            </a:rPr>
            <a:t/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r>
            <a:rPr lang="de-DE" sz="1100" b="0">
              <a:effectLst/>
              <a:latin typeface="+mn-lt"/>
              <a:ea typeface="+mn-ea"/>
              <a:cs typeface="+mn-cs"/>
            </a:rPr>
            <a:t>- </a:t>
          </a:r>
          <a:r>
            <a:rPr lang="de-DE" sz="1100" b="1" baseline="0">
              <a:effectLst/>
              <a:latin typeface="+mn-lt"/>
              <a:ea typeface="+mn-ea"/>
              <a:cs typeface="+mn-cs"/>
            </a:rPr>
            <a:t>§48 Abs. 5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:</a:t>
          </a:r>
          <a:r>
            <a:rPr lang="de-DE" sz="1100" baseline="0"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de-DE" sz="1100" b="0" baseline="0">
              <a:effectLst/>
              <a:latin typeface="+mn-lt"/>
              <a:ea typeface="+mn-ea"/>
              <a:cs typeface="+mn-cs"/>
            </a:rPr>
            <a:t>   </a:t>
          </a:r>
          <a:r>
            <a:rPr lang="de-DE" sz="1100" b="0">
              <a:effectLst/>
              <a:latin typeface="+mn-lt"/>
              <a:ea typeface="+mn-ea"/>
              <a:cs typeface="+mn-cs"/>
            </a:rPr>
            <a:t>Die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Beschränkung der Vergütung für Dach-/Fassaden-Anlagen zwischen 300 bis 750 kWp wird zwischen 08/22 bis 12/22  </a:t>
          </a:r>
          <a:br>
            <a:rPr lang="de-DE" sz="1100" b="0" baseline="0"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effectLst/>
              <a:latin typeface="+mn-lt"/>
              <a:ea typeface="+mn-ea"/>
              <a:cs typeface="+mn-cs"/>
            </a:rPr>
            <a:t>   von 50% auf 80% abgehoben</a:t>
          </a:r>
          <a:r>
            <a:rPr lang="de-DE" sz="1100" b="0">
              <a:effectLst/>
              <a:latin typeface="+mn-lt"/>
              <a:ea typeface="+mn-ea"/>
              <a:cs typeface="+mn-cs"/>
            </a:rPr>
            <a:t>. Im EEG 2023 soll diese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Beschränkung ersatzlos wegfallen.</a:t>
          </a:r>
          <a:br>
            <a:rPr lang="de-DE" sz="1100" b="0" baseline="0"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effectLst/>
              <a:latin typeface="+mn-lt"/>
              <a:ea typeface="+mn-ea"/>
              <a:cs typeface="+mn-cs"/>
            </a:rPr>
            <a:t>- </a:t>
          </a:r>
          <a:r>
            <a:rPr lang="de-DE" sz="1100" b="1" baseline="0">
              <a:effectLst/>
              <a:latin typeface="+mn-lt"/>
              <a:ea typeface="+mn-ea"/>
              <a:cs typeface="+mn-cs"/>
            </a:rPr>
            <a:t>§22 Abs. 2:</a:t>
          </a:r>
        </a:p>
        <a:p>
          <a:r>
            <a:rPr lang="de-DE" sz="1100" b="1" baseline="0">
              <a:effectLst/>
              <a:latin typeface="+mn-lt"/>
              <a:ea typeface="+mn-ea"/>
              <a:cs typeface="+mn-cs"/>
            </a:rPr>
            <a:t>   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Das EEG 2023 sieht zum 01.01.2023 voraussichltich eine Anhebung der Grenze der nicht ausschreibungspflichtigen Anlagengröße </a:t>
          </a:r>
          <a:br>
            <a:rPr lang="de-DE" sz="1100" b="0" baseline="0"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effectLst/>
              <a:latin typeface="+mn-lt"/>
              <a:ea typeface="+mn-ea"/>
              <a:cs typeface="+mn-cs"/>
            </a:rPr>
            <a:t>   von 750 auf 1.000 kWp vor.</a:t>
          </a:r>
          <a:br>
            <a:rPr lang="de-DE" sz="1100" b="0" baseline="0">
              <a:effectLst/>
              <a:latin typeface="+mn-lt"/>
              <a:ea typeface="+mn-ea"/>
              <a:cs typeface="+mn-cs"/>
            </a:rPr>
          </a:br>
          <a:endParaRPr lang="de-DE" sz="1100" b="0" baseline="0">
            <a:effectLst/>
            <a:latin typeface="+mn-lt"/>
            <a:ea typeface="+mn-ea"/>
            <a:cs typeface="+mn-cs"/>
          </a:endParaRPr>
        </a:p>
        <a:p>
          <a:r>
            <a:rPr lang="de-DE" sz="1100" b="0" baseline="0">
              <a:effectLst/>
              <a:latin typeface="+mn-lt"/>
              <a:ea typeface="+mn-ea"/>
              <a:cs typeface="+mn-cs"/>
            </a:rPr>
            <a:t>-  </a:t>
          </a:r>
          <a:r>
            <a:rPr lang="de-DE" sz="1100" b="1" baseline="0">
              <a:effectLst/>
              <a:latin typeface="+mn-lt"/>
              <a:ea typeface="+mn-ea"/>
              <a:cs typeface="+mn-cs"/>
            </a:rPr>
            <a:t>EEG-Umlage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:</a:t>
          </a:r>
        </a:p>
        <a:p>
          <a:r>
            <a:rPr lang="de-DE" sz="1100" b="0" baseline="0">
              <a:effectLst/>
              <a:latin typeface="+mn-lt"/>
              <a:ea typeface="+mn-ea"/>
              <a:cs typeface="+mn-cs"/>
            </a:rPr>
            <a:t>   Die EEG-Umlage wird vom 01.07.22 bis 31.12.22 auf 0 Cent/kWh abgesenkt (Gesetz zur Absenkung der Kostenbelastung durch die </a:t>
          </a:r>
        </a:p>
        <a:p>
          <a:r>
            <a:rPr lang="de-DE" sz="1100" b="0" baseline="0">
              <a:effectLst/>
              <a:latin typeface="+mn-lt"/>
              <a:ea typeface="+mn-ea"/>
              <a:cs typeface="+mn-cs"/>
            </a:rPr>
            <a:t>   EEG-Umlage ... vom 23.05.2022).</a:t>
          </a:r>
          <a:br>
            <a:rPr lang="de-DE" sz="1100" b="0" baseline="0"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effectLst/>
              <a:latin typeface="+mn-lt"/>
              <a:ea typeface="+mn-ea"/>
              <a:cs typeface="+mn-cs"/>
            </a:rPr>
            <a:t>   Im EEG 2023 soll die EEG-Umlage  vollständig entfallen. </a:t>
          </a:r>
          <a:r>
            <a:rPr lang="de-DE" sz="1100" b="0">
              <a:effectLst/>
              <a:latin typeface="+mn-lt"/>
              <a:ea typeface="+mn-ea"/>
              <a:cs typeface="+mn-cs"/>
            </a:rPr>
            <a:t> </a:t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endParaRPr lang="de-DE" sz="1100" b="0">
            <a:effectLst/>
            <a:latin typeface="+mn-lt"/>
            <a:ea typeface="+mn-ea"/>
            <a:cs typeface="+mn-cs"/>
          </a:endParaRPr>
        </a:p>
        <a:p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Achtung: Die </a:t>
          </a: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in dieser Anwendung/Berechnung </a:t>
          </a:r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verwendeten</a:t>
          </a: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Anzulegenden Werte/Vergütungssätze wurden am 28.07.2022 </a:t>
          </a:r>
          <a:b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 mit dem "</a:t>
          </a:r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Gesetz zu Sofortmaßnahmen für einen beschleunigten Ausbau der erneuerbaren Energien" </a:t>
          </a: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im Bundesgesetzblatt </a:t>
          </a:r>
          <a:b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 Jahrgang 2022; Teil I Nr. 28; S. 1237 ff veröffentlicht und sind zum 29.07.2022 in Kraft getreten.</a:t>
          </a:r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Sämtliche</a:t>
          </a: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Neuregelungen gelten unter Vorbehalt der beihilferechtlichen Genehmigung durch die Europäische Komission </a:t>
          </a:r>
          <a:r>
            <a:rPr lang="de-DE" sz="2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!!!</a:t>
          </a:r>
        </a:p>
        <a:p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</a:t>
          </a:r>
          <a:r>
            <a:rPr lang="de-DE" sz="1100" b="1" baseline="0">
              <a:effectLst/>
              <a:latin typeface="+mn-lt"/>
              <a:ea typeface="+mn-ea"/>
              <a:cs typeface="+mn-cs"/>
            </a:rPr>
            <a:t>Freiflächenanlagen und Sonstige Anlagen: </a:t>
          </a:r>
          <a: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Die Anzulegenden Werte werden nach jetztigem Stand erst mit dem EEG 2023 </a:t>
          </a:r>
          <a:b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             neu geregelt. Im Programm  wird davon ausgegangen, dass die  </a:t>
          </a:r>
          <a:r>
            <a:rPr lang="de-DE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anzulegenden Werte für</a:t>
          </a:r>
          <a: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Freiflächenanlagen und Sonstige Anlagen  </a:t>
          </a:r>
          <a:b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             im Zeitraum August 2022 bis Dezember 2022 gemäß EEG 2021 weiter der Degression unterliegen.</a:t>
          </a:r>
        </a:p>
        <a:p>
          <a:endParaRPr lang="de-DE" sz="11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Eine Gewähr für die Vollständigkeit und Richtigkeit der verwendeten Anzulegenden Werte/Vergütungen kann ausdrücklich</a:t>
          </a:r>
          <a:b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nicht übernommen werden! Bitte prüfen Sie die gültige Rechtslage. Die Nutzung der beiliegende Software /Berechnung erfolgt</a:t>
          </a:r>
          <a:b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ausdrücklich auf eigene Gefahr ! </a:t>
          </a:r>
          <a:endParaRPr lang="de-DE" sz="1100" b="0" baseline="0">
            <a:solidFill>
              <a:srgbClr val="FF0000"/>
            </a:solidFill>
          </a:endParaRP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0</xdr:colOff>
      <xdr:row>18</xdr:row>
      <xdr:rowOff>0</xdr:rowOff>
    </xdr:from>
    <xdr:to>
      <xdr:col>63</xdr:col>
      <xdr:colOff>724620</xdr:colOff>
      <xdr:row>119</xdr:row>
      <xdr:rowOff>86264</xdr:rowOff>
    </xdr:to>
    <xdr:pic>
      <xdr:nvPicPr>
        <xdr:cNvPr id="9699229" name="Picture 3">
          <a:extLst>
            <a:ext uri="{FF2B5EF4-FFF2-40B4-BE49-F238E27FC236}">
              <a16:creationId xmlns:a16="http://schemas.microsoft.com/office/drawing/2014/main" id="{00000000-0008-0000-0200-00009DFF9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32264" y="4175185"/>
          <a:ext cx="7065034" cy="2186796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55</xdr:col>
      <xdr:colOff>0</xdr:colOff>
      <xdr:row>3</xdr:row>
      <xdr:rowOff>172528</xdr:rowOff>
    </xdr:from>
    <xdr:to>
      <xdr:col>62</xdr:col>
      <xdr:colOff>8625</xdr:colOff>
      <xdr:row>11</xdr:row>
      <xdr:rowOff>17253</xdr:rowOff>
    </xdr:to>
    <xdr:pic>
      <xdr:nvPicPr>
        <xdr:cNvPr id="9699230" name="Grafik 1">
          <a:extLst>
            <a:ext uri="{FF2B5EF4-FFF2-40B4-BE49-F238E27FC236}">
              <a16:creationId xmlns:a16="http://schemas.microsoft.com/office/drawing/2014/main" id="{00000000-0008-0000-0200-00009EFF9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32264" y="1112808"/>
          <a:ext cx="5684808" cy="1570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50</xdr:col>
      <xdr:colOff>557123</xdr:colOff>
      <xdr:row>20</xdr:row>
      <xdr:rowOff>172529</xdr:rowOff>
    </xdr:from>
    <xdr:to>
      <xdr:col>54</xdr:col>
      <xdr:colOff>329840</xdr:colOff>
      <xdr:row>22</xdr:row>
      <xdr:rowOff>67309</xdr:rowOff>
    </xdr:to>
    <xdr:cxnSp macro="">
      <xdr:nvCxnSpPr>
        <xdr:cNvPr id="7" name="Gerade Verbindung mit Pfeil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 bwMode="auto">
        <a:xfrm flipV="1">
          <a:off x="5260317" y="3608717"/>
          <a:ext cx="2704740" cy="268592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 fPrintsWithSheet="0"/>
  </xdr:twoCellAnchor>
  <xdr:twoCellAnchor>
    <xdr:from>
      <xdr:col>53</xdr:col>
      <xdr:colOff>115020</xdr:colOff>
      <xdr:row>53</xdr:row>
      <xdr:rowOff>0</xdr:rowOff>
    </xdr:from>
    <xdr:to>
      <xdr:col>56</xdr:col>
      <xdr:colOff>644468</xdr:colOff>
      <xdr:row>83</xdr:row>
      <xdr:rowOff>86264</xdr:rowOff>
    </xdr:to>
    <xdr:cxnSp macro="">
      <xdr:nvCxnSpPr>
        <xdr:cNvPr id="15" name="Gerade Verbindung mit Pfeil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CxnSpPr/>
      </xdr:nvCxnSpPr>
      <xdr:spPr bwMode="auto">
        <a:xfrm>
          <a:off x="7361208" y="9460302"/>
          <a:ext cx="2214113" cy="5305245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 fPrintsWithSheet="0"/>
  </xdr:twoCellAnchor>
  <xdr:twoCellAnchor>
    <xdr:from>
      <xdr:col>53</xdr:col>
      <xdr:colOff>99743</xdr:colOff>
      <xdr:row>21</xdr:row>
      <xdr:rowOff>172528</xdr:rowOff>
    </xdr:from>
    <xdr:to>
      <xdr:col>56</xdr:col>
      <xdr:colOff>573292</xdr:colOff>
      <xdr:row>52</xdr:row>
      <xdr:rowOff>15287</xdr:rowOff>
    </xdr:to>
    <xdr:cxnSp macro="">
      <xdr:nvCxnSpPr>
        <xdr:cNvPr id="17" name="Gerade Verbindung mit Pfeil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CxnSpPr/>
      </xdr:nvCxnSpPr>
      <xdr:spPr bwMode="auto">
        <a:xfrm flipV="1">
          <a:off x="7346830" y="3781245"/>
          <a:ext cx="2156604" cy="5520906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 fPrintsWithSheet="0"/>
  </xdr:twoCellAnchor>
  <xdr:twoCellAnchor editAs="oneCell">
    <xdr:from>
      <xdr:col>35</xdr:col>
      <xdr:colOff>1076963</xdr:colOff>
      <xdr:row>5</xdr:row>
      <xdr:rowOff>0</xdr:rowOff>
    </xdr:from>
    <xdr:to>
      <xdr:col>44</xdr:col>
      <xdr:colOff>2575</xdr:colOff>
      <xdr:row>80</xdr:row>
      <xdr:rowOff>215659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16058" y="1365848"/>
          <a:ext cx="8627754" cy="16390188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6</xdr:row>
      <xdr:rowOff>0</xdr:rowOff>
    </xdr:from>
    <xdr:to>
      <xdr:col>34</xdr:col>
      <xdr:colOff>0</xdr:colOff>
      <xdr:row>123</xdr:row>
      <xdr:rowOff>87475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05750" y="1619250"/>
          <a:ext cx="8334375" cy="260748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21</xdr:col>
      <xdr:colOff>69117</xdr:colOff>
      <xdr:row>192</xdr:row>
      <xdr:rowOff>0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04125" y="1619250"/>
          <a:ext cx="8832117" cy="39925625"/>
        </a:xfrm>
        <a:prstGeom prst="rect">
          <a:avLst/>
        </a:prstGeom>
      </xdr:spPr>
    </xdr:pic>
    <xdr:clientData/>
  </xdr:twoCellAnchor>
  <xdr:twoCellAnchor>
    <xdr:from>
      <xdr:col>12</xdr:col>
      <xdr:colOff>301625</xdr:colOff>
      <xdr:row>70</xdr:row>
      <xdr:rowOff>142875</xdr:rowOff>
    </xdr:from>
    <xdr:to>
      <xdr:col>17</xdr:col>
      <xdr:colOff>619125</xdr:colOff>
      <xdr:row>79</xdr:row>
      <xdr:rowOff>95250</xdr:rowOff>
    </xdr:to>
    <xdr:sp macro="" textlink="">
      <xdr:nvSpPr>
        <xdr:cNvPr id="3" name="Rechteck 2"/>
        <xdr:cNvSpPr/>
      </xdr:nvSpPr>
      <xdr:spPr bwMode="auto">
        <a:xfrm>
          <a:off x="10096500" y="15970250"/>
          <a:ext cx="3968750" cy="1952625"/>
        </a:xfrm>
        <a:prstGeom prst="rect">
          <a:avLst/>
        </a:prstGeom>
        <a:solidFill>
          <a:srgbClr val="FF0000">
            <a:alpha val="20000"/>
          </a:srgbClr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de-DE" sz="1100"/>
        </a:p>
      </xdr:txBody>
    </xdr:sp>
    <xdr:clientData/>
  </xdr:twoCellAnchor>
  <xdr:twoCellAnchor>
    <xdr:from>
      <xdr:col>12</xdr:col>
      <xdr:colOff>295275</xdr:colOff>
      <xdr:row>105</xdr:row>
      <xdr:rowOff>215900</xdr:rowOff>
    </xdr:from>
    <xdr:to>
      <xdr:col>17</xdr:col>
      <xdr:colOff>603250</xdr:colOff>
      <xdr:row>109</xdr:row>
      <xdr:rowOff>79375</xdr:rowOff>
    </xdr:to>
    <xdr:sp macro="" textlink="">
      <xdr:nvSpPr>
        <xdr:cNvPr id="12" name="Rechteck 11"/>
        <xdr:cNvSpPr/>
      </xdr:nvSpPr>
      <xdr:spPr bwMode="auto">
        <a:xfrm>
          <a:off x="10090150" y="23822025"/>
          <a:ext cx="3959225" cy="752475"/>
        </a:xfrm>
        <a:prstGeom prst="rect">
          <a:avLst/>
        </a:prstGeom>
        <a:solidFill>
          <a:srgbClr val="FF0000">
            <a:alpha val="20000"/>
          </a:srgbClr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de-DE" sz="1100"/>
        </a:p>
      </xdr:txBody>
    </xdr:sp>
    <xdr:clientData/>
  </xdr:twoCellAnchor>
  <xdr:twoCellAnchor>
    <xdr:from>
      <xdr:col>14</xdr:col>
      <xdr:colOff>285750</xdr:colOff>
      <xdr:row>68</xdr:row>
      <xdr:rowOff>111125</xdr:rowOff>
    </xdr:from>
    <xdr:to>
      <xdr:col>15</xdr:col>
      <xdr:colOff>111125</xdr:colOff>
      <xdr:row>73</xdr:row>
      <xdr:rowOff>15875</xdr:rowOff>
    </xdr:to>
    <xdr:sp macro="" textlink="">
      <xdr:nvSpPr>
        <xdr:cNvPr id="4" name="Textfeld 3"/>
        <xdr:cNvSpPr txBox="1"/>
      </xdr:nvSpPr>
      <xdr:spPr>
        <a:xfrm>
          <a:off x="11541125" y="15494000"/>
          <a:ext cx="555625" cy="101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6000">
              <a:solidFill>
                <a:srgbClr val="FF0000"/>
              </a:solidFill>
            </a:rPr>
            <a:t>?</a:t>
          </a:r>
        </a:p>
      </xdr:txBody>
    </xdr:sp>
    <xdr:clientData/>
  </xdr:twoCellAnchor>
  <xdr:twoCellAnchor>
    <xdr:from>
      <xdr:col>13</xdr:col>
      <xdr:colOff>596900</xdr:colOff>
      <xdr:row>103</xdr:row>
      <xdr:rowOff>136525</xdr:rowOff>
    </xdr:from>
    <xdr:to>
      <xdr:col>14</xdr:col>
      <xdr:colOff>422275</xdr:colOff>
      <xdr:row>108</xdr:row>
      <xdr:rowOff>41275</xdr:rowOff>
    </xdr:to>
    <xdr:sp macro="" textlink="">
      <xdr:nvSpPr>
        <xdr:cNvPr id="14" name="Textfeld 13"/>
        <xdr:cNvSpPr txBox="1"/>
      </xdr:nvSpPr>
      <xdr:spPr>
        <a:xfrm>
          <a:off x="11122025" y="23298150"/>
          <a:ext cx="555625" cy="101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6000">
              <a:solidFill>
                <a:srgbClr val="FF0000"/>
              </a:solidFill>
            </a:rPr>
            <a:t>?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10</xdr:col>
      <xdr:colOff>0</xdr:colOff>
      <xdr:row>53</xdr:row>
      <xdr:rowOff>42312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829731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17</xdr:col>
      <xdr:colOff>0</xdr:colOff>
      <xdr:row>54</xdr:row>
      <xdr:rowOff>108504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0"/>
          <a:ext cx="5334000" cy="852225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24</xdr:col>
      <xdr:colOff>0</xdr:colOff>
      <xdr:row>55</xdr:row>
      <xdr:rowOff>64476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68000" y="0"/>
          <a:ext cx="5334000" cy="8636976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</xdr:row>
      <xdr:rowOff>0</xdr:rowOff>
    </xdr:from>
    <xdr:to>
      <xdr:col>31</xdr:col>
      <xdr:colOff>0</xdr:colOff>
      <xdr:row>55</xdr:row>
      <xdr:rowOff>86187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288000" y="0"/>
          <a:ext cx="5334000" cy="865868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</xdr:row>
      <xdr:rowOff>0</xdr:rowOff>
    </xdr:from>
    <xdr:to>
      <xdr:col>38</xdr:col>
      <xdr:colOff>0</xdr:colOff>
      <xdr:row>55</xdr:row>
      <xdr:rowOff>105668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622000" y="0"/>
          <a:ext cx="5334000" cy="8678168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1</xdr:row>
      <xdr:rowOff>0</xdr:rowOff>
    </xdr:from>
    <xdr:to>
      <xdr:col>45</xdr:col>
      <xdr:colOff>1</xdr:colOff>
      <xdr:row>55</xdr:row>
      <xdr:rowOff>157759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956000" y="0"/>
          <a:ext cx="5334001" cy="8730259"/>
        </a:xfrm>
        <a:prstGeom prst="rect">
          <a:avLst/>
        </a:prstGeom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52</xdr:col>
      <xdr:colOff>0</xdr:colOff>
      <xdr:row>55</xdr:row>
      <xdr:rowOff>97864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290000" y="0"/>
          <a:ext cx="5334000" cy="8670364"/>
        </a:xfrm>
        <a:prstGeom prst="rect">
          <a:avLst/>
        </a:prstGeom>
      </xdr:spPr>
    </xdr:pic>
    <xdr:clientData/>
  </xdr:twoCellAnchor>
  <xdr:twoCellAnchor editAs="oneCell">
    <xdr:from>
      <xdr:col>52</xdr:col>
      <xdr:colOff>0</xdr:colOff>
      <xdr:row>1</xdr:row>
      <xdr:rowOff>0</xdr:rowOff>
    </xdr:from>
    <xdr:to>
      <xdr:col>59</xdr:col>
      <xdr:colOff>0</xdr:colOff>
      <xdr:row>55</xdr:row>
      <xdr:rowOff>105668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624000" y="0"/>
          <a:ext cx="5334000" cy="8678168"/>
        </a:xfrm>
        <a:prstGeom prst="rect">
          <a:avLst/>
        </a:prstGeom>
      </xdr:spPr>
    </xdr:pic>
    <xdr:clientData/>
  </xdr:twoCellAnchor>
  <xdr:twoCellAnchor editAs="oneCell">
    <xdr:from>
      <xdr:col>59</xdr:col>
      <xdr:colOff>0</xdr:colOff>
      <xdr:row>1</xdr:row>
      <xdr:rowOff>0</xdr:rowOff>
    </xdr:from>
    <xdr:to>
      <xdr:col>66</xdr:col>
      <xdr:colOff>0</xdr:colOff>
      <xdr:row>55</xdr:row>
      <xdr:rowOff>63996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958000" y="0"/>
          <a:ext cx="5334000" cy="8636496"/>
        </a:xfrm>
        <a:prstGeom prst="rect">
          <a:avLst/>
        </a:prstGeom>
      </xdr:spPr>
    </xdr:pic>
    <xdr:clientData/>
  </xdr:twoCellAnchor>
  <xdr:twoCellAnchor editAs="oneCell">
    <xdr:from>
      <xdr:col>66</xdr:col>
      <xdr:colOff>0</xdr:colOff>
      <xdr:row>1</xdr:row>
      <xdr:rowOff>0</xdr:rowOff>
    </xdr:from>
    <xdr:to>
      <xdr:col>73</xdr:col>
      <xdr:colOff>0</xdr:colOff>
      <xdr:row>56</xdr:row>
      <xdr:rowOff>18196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292000" y="0"/>
          <a:ext cx="5334000" cy="87494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25879</xdr:colOff>
      <xdr:row>45</xdr:row>
      <xdr:rowOff>43132</xdr:rowOff>
    </xdr:from>
    <xdr:to>
      <xdr:col>17</xdr:col>
      <xdr:colOff>8626</xdr:colOff>
      <xdr:row>58</xdr:row>
      <xdr:rowOff>172528</xdr:rowOff>
    </xdr:to>
    <xdr:pic>
      <xdr:nvPicPr>
        <xdr:cNvPr id="10564768" name="Grafik 10">
          <a:extLst>
            <a:ext uri="{FF2B5EF4-FFF2-40B4-BE49-F238E27FC236}">
              <a16:creationId xmlns:a16="http://schemas.microsoft.com/office/drawing/2014/main" id="{00000000-0008-0000-0400-0000A034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6906" y="6970143"/>
          <a:ext cx="577969" cy="2484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8626</xdr:colOff>
      <xdr:row>57</xdr:row>
      <xdr:rowOff>86264</xdr:rowOff>
    </xdr:from>
    <xdr:to>
      <xdr:col>25</xdr:col>
      <xdr:colOff>543464</xdr:colOff>
      <xdr:row>60</xdr:row>
      <xdr:rowOff>94891</xdr:rowOff>
    </xdr:to>
    <xdr:pic>
      <xdr:nvPicPr>
        <xdr:cNvPr id="10564770" name="Grafik 11">
          <a:extLst>
            <a:ext uri="{FF2B5EF4-FFF2-40B4-BE49-F238E27FC236}">
              <a16:creationId xmlns:a16="http://schemas.microsoft.com/office/drawing/2014/main" id="{00000000-0008-0000-0400-0000A234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6642" y="9187132"/>
          <a:ext cx="1673524" cy="552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25879</xdr:colOff>
      <xdr:row>45</xdr:row>
      <xdr:rowOff>103517</xdr:rowOff>
    </xdr:from>
    <xdr:to>
      <xdr:col>5</xdr:col>
      <xdr:colOff>17253</xdr:colOff>
      <xdr:row>58</xdr:row>
      <xdr:rowOff>172528</xdr:rowOff>
    </xdr:to>
    <xdr:pic>
      <xdr:nvPicPr>
        <xdr:cNvPr id="10564771" name="Grafik 11">
          <a:extLst>
            <a:ext uri="{FF2B5EF4-FFF2-40B4-BE49-F238E27FC236}">
              <a16:creationId xmlns:a16="http://schemas.microsoft.com/office/drawing/2014/main" id="{00000000-0008-0000-0400-0000A334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5449" y="7030528"/>
          <a:ext cx="586596" cy="2424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25879</xdr:colOff>
      <xdr:row>45</xdr:row>
      <xdr:rowOff>103517</xdr:rowOff>
    </xdr:from>
    <xdr:to>
      <xdr:col>8</xdr:col>
      <xdr:colOff>8626</xdr:colOff>
      <xdr:row>58</xdr:row>
      <xdr:rowOff>172528</xdr:rowOff>
    </xdr:to>
    <xdr:pic>
      <xdr:nvPicPr>
        <xdr:cNvPr id="10564772" name="Grafik 12">
          <a:extLst>
            <a:ext uri="{FF2B5EF4-FFF2-40B4-BE49-F238E27FC236}">
              <a16:creationId xmlns:a16="http://schemas.microsoft.com/office/drawing/2014/main" id="{00000000-0008-0000-0400-0000A434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5072" y="7030528"/>
          <a:ext cx="577970" cy="2424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25879</xdr:colOff>
      <xdr:row>45</xdr:row>
      <xdr:rowOff>103517</xdr:rowOff>
    </xdr:from>
    <xdr:to>
      <xdr:col>11</xdr:col>
      <xdr:colOff>8626</xdr:colOff>
      <xdr:row>58</xdr:row>
      <xdr:rowOff>172528</xdr:rowOff>
    </xdr:to>
    <xdr:pic>
      <xdr:nvPicPr>
        <xdr:cNvPr id="10564773" name="Grafik 13">
          <a:extLst>
            <a:ext uri="{FF2B5EF4-FFF2-40B4-BE49-F238E27FC236}">
              <a16:creationId xmlns:a16="http://schemas.microsoft.com/office/drawing/2014/main" id="{00000000-0008-0000-0400-0000A534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4694" y="7030528"/>
          <a:ext cx="577970" cy="2424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25879</xdr:colOff>
      <xdr:row>6</xdr:row>
      <xdr:rowOff>34506</xdr:rowOff>
    </xdr:from>
    <xdr:to>
      <xdr:col>26</xdr:col>
      <xdr:colOff>17253</xdr:colOff>
      <xdr:row>20</xdr:row>
      <xdr:rowOff>8267</xdr:rowOff>
    </xdr:to>
    <xdr:pic>
      <xdr:nvPicPr>
        <xdr:cNvPr id="10564774" name="Grafik 15">
          <a:extLst>
            <a:ext uri="{FF2B5EF4-FFF2-40B4-BE49-F238E27FC236}">
              <a16:creationId xmlns:a16="http://schemas.microsoft.com/office/drawing/2014/main" id="{00000000-0008-0000-0400-0000A634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1504" y="1022725"/>
          <a:ext cx="562874" cy="2640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25879</xdr:colOff>
      <xdr:row>45</xdr:row>
      <xdr:rowOff>103517</xdr:rowOff>
    </xdr:from>
    <xdr:to>
      <xdr:col>20</xdr:col>
      <xdr:colOff>8626</xdr:colOff>
      <xdr:row>58</xdr:row>
      <xdr:rowOff>163902</xdr:rowOff>
    </xdr:to>
    <xdr:pic>
      <xdr:nvPicPr>
        <xdr:cNvPr id="10564775" name="Grafik 13">
          <a:extLst>
            <a:ext uri="{FF2B5EF4-FFF2-40B4-BE49-F238E27FC236}">
              <a16:creationId xmlns:a16="http://schemas.microsoft.com/office/drawing/2014/main" id="{00000000-0008-0000-0400-0000A734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3449" y="7030528"/>
          <a:ext cx="577970" cy="2415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25879</xdr:colOff>
      <xdr:row>45</xdr:row>
      <xdr:rowOff>103517</xdr:rowOff>
    </xdr:from>
    <xdr:to>
      <xdr:col>14</xdr:col>
      <xdr:colOff>17253</xdr:colOff>
      <xdr:row>58</xdr:row>
      <xdr:rowOff>172528</xdr:rowOff>
    </xdr:to>
    <xdr:pic>
      <xdr:nvPicPr>
        <xdr:cNvPr id="10564777" name="Grafik 13">
          <a:extLst>
            <a:ext uri="{FF2B5EF4-FFF2-40B4-BE49-F238E27FC236}">
              <a16:creationId xmlns:a16="http://schemas.microsoft.com/office/drawing/2014/main" id="{00000000-0008-0000-0400-0000A934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4317" y="7030528"/>
          <a:ext cx="586596" cy="2424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119063</xdr:colOff>
      <xdr:row>131</xdr:row>
      <xdr:rowOff>35718</xdr:rowOff>
    </xdr:from>
    <xdr:to>
      <xdr:col>46</xdr:col>
      <xdr:colOff>190501</xdr:colOff>
      <xdr:row>187</xdr:row>
      <xdr:rowOff>83344</xdr:rowOff>
    </xdr:to>
    <xdr:sp macro="" textlink="">
      <xdr:nvSpPr>
        <xdr:cNvPr id="2" name="Abgerundetes Rechteck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10156032" y="23538656"/>
          <a:ext cx="11072813" cy="10120313"/>
        </a:xfrm>
        <a:prstGeom prst="roundRect">
          <a:avLst>
            <a:gd name="adj" fmla="val 16667"/>
          </a:avLst>
        </a:prstGeom>
        <a:solidFill>
          <a:srgbClr val="FF99CC"/>
        </a:solidFill>
        <a:ln w="25400" algn="ctr">
          <a:solidFill>
            <a:srgbClr val="7F7F7F"/>
          </a:solidFill>
          <a:round/>
          <a:headEnd/>
          <a:tailEnd/>
        </a:ln>
      </xdr:spPr>
      <xdr:txBody>
        <a:bodyPr vertOverflow="clip" wrap="square" lIns="18288" tIns="0" rIns="0" bIns="0" anchor="t" upright="1"/>
        <a:lstStyle/>
        <a:p>
          <a:pPr algn="l" rtl="0">
            <a:defRPr sz="1000"/>
          </a:pPr>
          <a:r>
            <a:rPr lang="de-DE" sz="1050" b="1" i="0" u="sng" baseline="0">
              <a:solidFill>
                <a:srgbClr val="0000CC"/>
              </a:solidFill>
              <a:effectLst/>
              <a:latin typeface="+mn-lt"/>
              <a:ea typeface="+mn-ea"/>
              <a:cs typeface="+mn-cs"/>
            </a:rPr>
            <a:t>NEU ab 01.01.2017 (EEG 2017):</a:t>
          </a:r>
          <a:br>
            <a:rPr lang="de-DE" sz="1050" b="1" i="0" u="sng" baseline="0">
              <a:solidFill>
                <a:srgbClr val="0000CC"/>
              </a:solidFill>
              <a:effectLst/>
              <a:latin typeface="+mn-lt"/>
              <a:ea typeface="+mn-ea"/>
              <a:cs typeface="+mn-cs"/>
            </a:rPr>
          </a:br>
          <a:endParaRPr lang="de-DE" sz="600" b="0" i="0" u="none" baseline="0">
            <a:solidFill>
              <a:srgbClr val="0000CC"/>
            </a:solidFill>
            <a:effectLst/>
            <a:latin typeface="+mn-lt"/>
            <a:ea typeface="+mn-ea"/>
            <a:cs typeface="+mn-cs"/>
          </a:endParaRPr>
        </a:p>
        <a:p>
          <a:pPr rtl="0">
            <a:lnSpc>
              <a:spcPts val="1100"/>
            </a:lnSpc>
          </a:pPr>
          <a:r>
            <a:rPr lang="de-DE" sz="1100" b="0" i="0" baseline="0">
              <a:effectLst/>
              <a:latin typeface="+mn-lt"/>
              <a:ea typeface="+mn-ea"/>
              <a:cs typeface="+mn-cs"/>
            </a:rPr>
            <a:t>&gt; </a:t>
          </a:r>
          <a:r>
            <a:rPr lang="de-DE" sz="1100" b="1" i="0" baseline="0">
              <a:effectLst/>
              <a:latin typeface="+mn-lt"/>
              <a:ea typeface="+mn-ea"/>
              <a:cs typeface="+mn-cs"/>
            </a:rPr>
            <a:t>Ausschreibungspflicht</a:t>
          </a:r>
          <a:r>
            <a:rPr lang="de-DE" sz="1100" b="0" i="0" baseline="0">
              <a:effectLst/>
              <a:latin typeface="+mn-lt"/>
              <a:ea typeface="+mn-ea"/>
              <a:cs typeface="+mn-cs"/>
            </a:rPr>
            <a:t>: Alle Anlagen, die größer als 750 kWp sind, unterliegen der Ausschreibungspflicht. Der sog. "anzulegende Wert" wird im Rahmen des Ausschreibungs-</a:t>
          </a:r>
        </a:p>
        <a:p>
          <a:pPr rtl="0">
            <a:lnSpc>
              <a:spcPts val="1100"/>
            </a:lnSpc>
          </a:pPr>
          <a:r>
            <a:rPr lang="de-DE" sz="1100" b="0" i="0" baseline="0">
              <a:effectLst/>
              <a:latin typeface="+mn-lt"/>
              <a:ea typeface="+mn-ea"/>
              <a:cs typeface="+mn-cs"/>
            </a:rPr>
            <a:t>   verfahrens ermittelt. Ab 01.01.2023 </a:t>
          </a:r>
          <a:r>
            <a:rPr lang="de-DE" sz="1100" b="0" i="0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de-DE" sz="1100" b="1" i="0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EEG 2023</a:t>
          </a:r>
          <a:r>
            <a:rPr lang="de-DE" sz="1100" b="0" i="0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) </a:t>
          </a:r>
          <a:r>
            <a:rPr lang="de-DE" sz="1100" b="0" i="0" baseline="0">
              <a:effectLst/>
              <a:latin typeface="+mn-lt"/>
              <a:ea typeface="+mn-ea"/>
              <a:cs typeface="+mn-cs"/>
            </a:rPr>
            <a:t>soll die Grenze auf 1.000 kWp (1 MWp) angehoben werden.</a:t>
          </a:r>
          <a:br>
            <a:rPr lang="de-DE" sz="1100" b="0" i="0" baseline="0">
              <a:effectLst/>
              <a:latin typeface="+mn-lt"/>
              <a:ea typeface="+mn-ea"/>
              <a:cs typeface="+mn-cs"/>
            </a:rPr>
          </a:br>
          <a:r>
            <a:rPr lang="de-DE" sz="11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Hinweis: Ausschreibungsanlagen können derzeit mit dem Programm nicht gerechnet werden</a:t>
          </a:r>
          <a:r>
            <a:rPr lang="de-DE" sz="1100" b="0" i="0" baseline="0">
              <a:effectLst/>
              <a:latin typeface="+mn-lt"/>
              <a:ea typeface="+mn-ea"/>
              <a:cs typeface="+mn-cs"/>
            </a:rPr>
            <a:t>.</a:t>
          </a:r>
          <a:br>
            <a:rPr lang="de-DE" sz="1100" b="0" i="0" baseline="0">
              <a:effectLst/>
              <a:latin typeface="+mn-lt"/>
              <a:ea typeface="+mn-ea"/>
              <a:cs typeface="+mn-cs"/>
            </a:rPr>
          </a:br>
          <a:r>
            <a:rPr lang="de-DE" sz="1100" b="0" i="0" baseline="0">
              <a:effectLst/>
              <a:latin typeface="+mn-lt"/>
              <a:ea typeface="+mn-ea"/>
              <a:cs typeface="+mn-cs"/>
            </a:rPr>
            <a:t>&gt; Anlagen, die </a:t>
          </a:r>
          <a:r>
            <a:rPr lang="de-DE" sz="1100" b="1" i="0" baseline="0">
              <a:effectLst/>
              <a:latin typeface="+mn-lt"/>
              <a:ea typeface="+mn-ea"/>
              <a:cs typeface="+mn-cs"/>
            </a:rPr>
            <a:t>größer als 100 kWp </a:t>
          </a:r>
          <a:r>
            <a:rPr lang="de-DE" sz="1100" b="0" i="0" baseline="0">
              <a:effectLst/>
              <a:latin typeface="+mn-lt"/>
              <a:ea typeface="+mn-ea"/>
              <a:cs typeface="+mn-cs"/>
            </a:rPr>
            <a:t>sind unterliegen der Direktvermartkungspflicht. Anlagen die max. 750 kWp  (ab EEG 2023: 1.000) groß sind haben Anspruch auf den gesetzlich </a:t>
          </a:r>
          <a:br>
            <a:rPr lang="de-DE" sz="1100" b="0" i="0" baseline="0">
              <a:effectLst/>
              <a:latin typeface="+mn-lt"/>
              <a:ea typeface="+mn-ea"/>
              <a:cs typeface="+mn-cs"/>
            </a:rPr>
          </a:br>
          <a:r>
            <a:rPr lang="de-DE" sz="1100" b="0" i="0" baseline="0">
              <a:effectLst/>
              <a:latin typeface="+mn-lt"/>
              <a:ea typeface="+mn-ea"/>
              <a:cs typeface="+mn-cs"/>
            </a:rPr>
            <a:t>   festgelegten "anzulegenden Wert", für sie gilt keine Ausschreibungspflicht.</a:t>
          </a:r>
          <a:endParaRPr lang="de-DE" sz="1050">
            <a:effectLst/>
          </a:endParaRPr>
        </a:p>
        <a:p>
          <a:r>
            <a:rPr lang="de-DE" sz="1100" b="0" i="0" baseline="0">
              <a:effectLst/>
              <a:latin typeface="+mn-lt"/>
              <a:ea typeface="+mn-ea"/>
              <a:cs typeface="+mn-cs"/>
            </a:rPr>
            <a:t>&gt; Anlagen, die </a:t>
          </a:r>
          <a:r>
            <a:rPr lang="de-DE" sz="1100" b="1" i="0" baseline="0">
              <a:effectLst/>
              <a:latin typeface="+mn-lt"/>
              <a:ea typeface="+mn-ea"/>
              <a:cs typeface="+mn-cs"/>
            </a:rPr>
            <a:t>max. 100 kWp </a:t>
          </a:r>
          <a:r>
            <a:rPr lang="de-DE" sz="1100" b="0" i="0" baseline="0">
              <a:effectLst/>
              <a:latin typeface="+mn-lt"/>
              <a:ea typeface="+mn-ea"/>
              <a:cs typeface="+mn-cs"/>
            </a:rPr>
            <a:t>groß sind haben Anspruch auf die gesetzlich festgelegte Einspeisevergütrung."  </a:t>
          </a:r>
          <a:br>
            <a:rPr lang="de-DE" sz="1100" b="0" i="0" baseline="0">
              <a:effectLst/>
              <a:latin typeface="+mn-lt"/>
              <a:ea typeface="+mn-ea"/>
              <a:cs typeface="+mn-cs"/>
            </a:rPr>
          </a:br>
          <a:r>
            <a:rPr lang="de-DE" sz="1050" b="0" i="0" u="none" strike="noStrike" baseline="0">
              <a:solidFill>
                <a:srgbClr val="0000CC"/>
              </a:solidFill>
              <a:latin typeface="Calibri"/>
              <a:cs typeface="Calibri"/>
            </a:rPr>
            <a:t>Beispiel:  </a:t>
          </a:r>
          <a:br>
            <a:rPr lang="de-DE" sz="1050" b="0" i="0" u="none" strike="noStrike" baseline="0">
              <a:solidFill>
                <a:srgbClr val="0000CC"/>
              </a:solidFill>
              <a:latin typeface="Calibri"/>
              <a:cs typeface="Calibri"/>
            </a:rPr>
          </a:br>
          <a:r>
            <a:rPr lang="de-DE" sz="1050" b="0" i="0" u="none" strike="noStrike" baseline="0">
              <a:solidFill>
                <a:srgbClr val="0000CC"/>
              </a:solidFill>
              <a:latin typeface="Calibri"/>
              <a:cs typeface="Calibri"/>
            </a:rPr>
            <a:t>Berechnung der Einspeisevergütung für die Klasse:   0 bis 10 kWp , Inbetriebnahme im Januar 2017:</a:t>
          </a:r>
        </a:p>
        <a:p>
          <a:pPr algn="l" rtl="0">
            <a:lnSpc>
              <a:spcPts val="900"/>
            </a:lnSpc>
            <a:defRPr sz="1000"/>
          </a:pPr>
          <a:r>
            <a:rPr lang="de-DE" sz="1050" b="0" i="0" u="none" strike="noStrike" baseline="0">
              <a:solidFill>
                <a:srgbClr val="0000CC"/>
              </a:solidFill>
              <a:latin typeface="Calibri"/>
              <a:cs typeface="Calibri"/>
            </a:rPr>
            <a:t>"Anzulegender Wert"    -  "Abzugsbetrag" (§53)  =  "Einspeisevergütung" </a:t>
          </a:r>
        </a:p>
        <a:p>
          <a:pPr algn="l" rtl="0">
            <a:lnSpc>
              <a:spcPts val="900"/>
            </a:lnSpc>
            <a:defRPr sz="1000"/>
          </a:pPr>
          <a:r>
            <a:rPr lang="de-DE" sz="1050" b="0" i="0" u="none" strike="noStrike" baseline="0">
              <a:solidFill>
                <a:srgbClr val="0000CC"/>
              </a:solidFill>
              <a:latin typeface="Calibri"/>
              <a:cs typeface="Calibri"/>
            </a:rPr>
            <a:t>          0,1270 €/kWh                -                 0,0040 €/kWh)                      =         0,1230 €/kWh</a:t>
          </a:r>
          <a:br>
            <a:rPr lang="de-DE" sz="1050" b="0" i="0" u="none" strike="noStrike" baseline="0">
              <a:solidFill>
                <a:srgbClr val="0000CC"/>
              </a:solidFill>
              <a:latin typeface="Calibri"/>
              <a:cs typeface="Calibri"/>
            </a:rPr>
          </a:br>
          <a:r>
            <a:rPr lang="de-DE" sz="1050" b="0" i="0" u="none" strike="noStrike" baseline="0">
              <a:solidFill>
                <a:srgbClr val="0000CC"/>
              </a:solidFill>
              <a:latin typeface="Calibri"/>
              <a:cs typeface="Calibri"/>
            </a:rPr>
            <a:t>     </a:t>
          </a:r>
          <a:endParaRPr lang="de-DE" sz="105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lnSpc>
              <a:spcPts val="900"/>
            </a:lnSpc>
            <a:defRPr sz="1000"/>
          </a:pPr>
          <a:r>
            <a:rPr lang="de-DE" sz="1050" b="0" i="0" u="none" strike="noStrike" baseline="0">
              <a:solidFill>
                <a:srgbClr val="000000"/>
              </a:solidFill>
              <a:latin typeface="Calibri"/>
              <a:cs typeface="Calibri"/>
            </a:rPr>
            <a:t>Die Vergütungssätze  werden von der Bundesnetzagentur jeweils vor der nachfolgenden Vergütungsperiode auf Basis des erfolgten Zubaus neu festgelegt und bekannt gegeben. Bitte laden Sie zu gegebener Zeit eine neue Version. </a:t>
          </a:r>
        </a:p>
        <a:p>
          <a:pPr algn="l" rtl="0">
            <a:defRPr sz="1000"/>
          </a:pP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www.landwirtschaft-bw.de /Rubrik "Aktuelles" oder "Nachwachsende Rohstoffe / Photovoltaik"   </a:t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endParaRPr lang="de-DE" sz="60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pPr algn="l" rtl="0">
            <a:defRPr sz="1000"/>
          </a:pPr>
          <a:r>
            <a:rPr lang="de-DE" sz="1000" b="1" i="0" u="sng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NEU ab 01.01.2021 (EEG 2021):</a:t>
          </a:r>
          <a:endParaRPr lang="de-DE" sz="1050" b="0" i="0" u="none" strike="noStrike" baseline="0">
            <a:solidFill>
              <a:srgbClr val="0000FF"/>
            </a:solidFill>
            <a:latin typeface="+mn-lt"/>
            <a:cs typeface="Calibri"/>
          </a:endParaRPr>
        </a:p>
        <a:p>
          <a:pPr algn="l" rtl="0">
            <a:defRPr sz="1000"/>
          </a:pPr>
          <a:endParaRPr lang="de-DE" sz="60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r>
            <a:rPr lang="de-DE" sz="1050">
              <a:effectLst/>
              <a:latin typeface="+mn-lt"/>
              <a:ea typeface="+mn-ea"/>
              <a:cs typeface="+mn-cs"/>
            </a:rPr>
            <a:t>Das </a:t>
          </a:r>
          <a:r>
            <a:rPr lang="de-DE" sz="1050" b="1">
              <a:effectLst/>
              <a:latin typeface="+mn-lt"/>
              <a:ea typeface="+mn-ea"/>
              <a:cs typeface="+mn-cs"/>
            </a:rPr>
            <a:t>EEG 2021</a:t>
          </a:r>
          <a:r>
            <a:rPr lang="de-DE" sz="1050">
              <a:effectLst/>
              <a:latin typeface="+mn-lt"/>
              <a:ea typeface="+mn-ea"/>
              <a:cs typeface="+mn-cs"/>
            </a:rPr>
            <a:t> bringt</a:t>
          </a:r>
          <a:r>
            <a:rPr lang="de-DE" sz="1050" baseline="0">
              <a:effectLst/>
              <a:latin typeface="+mn-lt"/>
              <a:ea typeface="+mn-ea"/>
              <a:cs typeface="+mn-cs"/>
            </a:rPr>
            <a:t> in Bezug auf die Ökonomik von Einspeiseanlagen mit Vergütungsanspruch bzw. Anspruch auf Marktprämie (Anlagen bis einschl. 750 kWp; keine Ausschreibungsanlagen) folgende Neuerungen (nicht abschließende Liste):</a:t>
          </a:r>
          <a:br>
            <a:rPr lang="de-DE" sz="1050" baseline="0">
              <a:effectLst/>
              <a:latin typeface="+mn-lt"/>
              <a:ea typeface="+mn-ea"/>
              <a:cs typeface="+mn-cs"/>
            </a:rPr>
          </a:br>
          <a:r>
            <a:rPr lang="de-DE" sz="1050" b="1" baseline="0">
              <a:effectLst/>
              <a:latin typeface="+mn-lt"/>
              <a:ea typeface="+mn-ea"/>
              <a:cs typeface="+mn-cs"/>
            </a:rPr>
            <a:t>&gt; §48 Abs. 5</a:t>
          </a:r>
          <a:r>
            <a:rPr lang="de-DE" sz="1050" b="0" baseline="0">
              <a:effectLst/>
              <a:latin typeface="+mn-lt"/>
              <a:ea typeface="+mn-ea"/>
              <a:cs typeface="+mn-cs"/>
            </a:rPr>
            <a:t>:</a:t>
          </a:r>
          <a:r>
            <a:rPr lang="de-DE" sz="1050" baseline="0">
              <a:effectLst/>
              <a:latin typeface="+mn-lt"/>
              <a:ea typeface="+mn-ea"/>
              <a:cs typeface="+mn-cs"/>
            </a:rPr>
            <a:t> Dach- und Fassadenanlagen mit einer installierten Leistung von mehr als  300  bis einschließlich 750 kWp (an, auf oder in einem Gebäude oder Lärmschutzwand) haben nur für 50% der erzeugten Strommmenge einen Anspruch auf Vergütung. Für den über 50% hinausgehenden Anteil der erzeugten Strommenge reduziert sich der Anspruch auf null. (gilt nicht für Freilandanlagen). Diese Regelung gilt erst für Anlagen ab Inbetriebnahmedatum </a:t>
          </a:r>
          <a:r>
            <a:rPr lang="de-DE" sz="1050" b="1" baseline="0">
              <a:effectLst/>
              <a:latin typeface="+mn-lt"/>
              <a:ea typeface="+mn-ea"/>
              <a:cs typeface="+mn-cs"/>
            </a:rPr>
            <a:t>01.April 2021 </a:t>
          </a:r>
          <a:r>
            <a:rPr lang="de-DE" sz="1050" b="0" baseline="0">
              <a:effectLst/>
              <a:latin typeface="+mn-lt"/>
              <a:ea typeface="+mn-ea"/>
              <a:cs typeface="+mn-cs"/>
            </a:rPr>
            <a:t>(§100 Abs.9).</a:t>
          </a:r>
          <a:endParaRPr lang="de-DE" sz="1050" b="0">
            <a:effectLst/>
          </a:endParaRPr>
        </a:p>
        <a:p>
          <a:r>
            <a:rPr lang="de-DE" sz="1050" b="1" baseline="0">
              <a:effectLst/>
              <a:latin typeface="+mn-lt"/>
              <a:ea typeface="+mn-ea"/>
              <a:cs typeface="+mn-cs"/>
            </a:rPr>
            <a:t>&gt; §61b Abs. 2</a:t>
          </a:r>
          <a:r>
            <a:rPr lang="de-DE" sz="1050" b="0" baseline="0">
              <a:effectLst/>
              <a:latin typeface="+mn-lt"/>
              <a:ea typeface="+mn-ea"/>
              <a:cs typeface="+mn-cs"/>
            </a:rPr>
            <a:t>: Die Befreiungsgrenze von der EEG-Umlage bei Eigenversorgungen wurde von 10 kWp auf 30 kWp angehoben. Die Befreiung gilt für höchsten 30.000 kWh selbst verbrauchten Stroms. </a:t>
          </a:r>
        </a:p>
        <a:p>
          <a:pPr algn="l" rtl="0">
            <a:defRPr sz="1000"/>
          </a:pPr>
          <a:endParaRPr lang="de-DE" sz="105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de-DE" sz="1000" b="1" i="0" u="sng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NEU ab August 2022 (Osterpaket &amp; EEG 2023):</a:t>
          </a:r>
        </a:p>
        <a:p>
          <a:pPr algn="l" rtl="0">
            <a:defRPr sz="1000"/>
          </a:pPr>
          <a:endParaRPr lang="de-DE" sz="105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pPr algn="l" rtl="0">
            <a:defRPr sz="1000"/>
          </a:pP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Das </a:t>
          </a:r>
          <a:r>
            <a:rPr lang="de-DE" sz="1050" b="1" i="0" u="none" strike="noStrike" baseline="0">
              <a:solidFill>
                <a:srgbClr val="000000"/>
              </a:solidFill>
              <a:latin typeface="+mn-lt"/>
              <a:cs typeface="Calibri"/>
            </a:rPr>
            <a:t>Osterpaket</a:t>
          </a: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 (2022) und das </a:t>
          </a:r>
          <a:r>
            <a:rPr lang="de-DE" sz="1050" b="1" i="0" u="none" strike="noStrike" baseline="0">
              <a:solidFill>
                <a:srgbClr val="000000"/>
              </a:solidFill>
              <a:latin typeface="+mn-lt"/>
              <a:cs typeface="Calibri"/>
            </a:rPr>
            <a:t>EEG 2023 </a:t>
          </a: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bringen einige grundlegende Neuregelungen (</a:t>
          </a:r>
          <a:r>
            <a:rPr lang="de-DE" sz="1000" b="0">
              <a:effectLst/>
              <a:latin typeface="+mn-lt"/>
              <a:ea typeface="+mn-ea"/>
              <a:cs typeface="+mn-cs"/>
            </a:rPr>
            <a:t>Gesetz zu Sofortmaßnahmen für einen beschleunigten Ausbau der erneuerbaren Energien; Veröffentlichung 28.07.2022 BGBl 2022; Teil I Nr. 28; S. 1237 ff</a:t>
          </a: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). Hier einige wichtige Regelungen (nicht abschließende Aufzählung; die vollständigen Regelungen entnehmen Sie bitte den einschlägigen Gesetzestexten) </a:t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/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- </a:t>
          </a:r>
          <a:r>
            <a:rPr lang="de-DE" sz="1050" b="1" i="0" u="none" strike="noStrike" baseline="0">
              <a:solidFill>
                <a:srgbClr val="000000"/>
              </a:solidFill>
              <a:latin typeface="+mn-lt"/>
              <a:cs typeface="Calibri"/>
            </a:rPr>
            <a:t>Vergütungssätze</a:t>
          </a: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:  Die Vergütungssätze/anzulegenden Werte werden in vielen Fällen angehoben. Künftig gibt es differenzierte Vergütungssätze für Volleinspeisungsanlagen, </a:t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   Eigenverbrauchsanlagen sowie Freilandanlagen. Für das 2. Halbjahr 2022 gibt es eine Übergangsregelung, zum 1.1.2023 soll das EEG 2023 in Kraft treten.</a:t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   Die Vergütungssätze sollen bis Januar 2024 festgeschrieben werden, danach sind nach derzeitigen Informationen Absenkungen    im halbjährigen Turnus um 1% vorgesehen. </a:t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   (siehe EEG 2023 - derzeit liegt noch kein verabschiedeter Gesetzestext vor !)</a:t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- </a:t>
          </a:r>
          <a:r>
            <a:rPr lang="de-DE" sz="1050" b="1" i="0" u="none" strike="noStrike" baseline="0">
              <a:solidFill>
                <a:srgbClr val="000000"/>
              </a:solidFill>
              <a:latin typeface="+mn-lt"/>
              <a:cs typeface="Calibri"/>
            </a:rPr>
            <a:t>§48 Abs. 5</a:t>
          </a: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: Die Beschränkung der Vergütung für Anlagen zwischen 300 bis 750 kWp wird zwischen 08/22 bis 12/22 von 50% auf 80% abgehoben. </a:t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   Im EEG 2023 soll diese Beschränkung ersatzlos wegfallen.</a:t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- </a:t>
          </a:r>
          <a:r>
            <a:rPr lang="de-DE" sz="1050" b="1" i="0" u="none" strike="noStrike" baseline="0">
              <a:solidFill>
                <a:srgbClr val="000000"/>
              </a:solidFill>
              <a:latin typeface="+mn-lt"/>
              <a:cs typeface="Calibri"/>
            </a:rPr>
            <a:t>§22 Abs. 2:</a:t>
          </a: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 Das EEG 2023 sieht zum 01.01.2023 eine Anhebung der Grenze der nicht ausschreibungspflichtigen Anlagengröße von 750 auf 1.000 kWp vor.</a:t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endParaRPr lang="de-DE" sz="105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pPr algn="l" rtl="0">
            <a:defRPr sz="1000"/>
          </a:pPr>
          <a:r>
            <a:rPr lang="de-DE" sz="1050" b="1" i="0" u="none" strike="noStrike" baseline="0">
              <a:solidFill>
                <a:srgbClr val="000000"/>
              </a:solidFill>
              <a:latin typeface="+mn-lt"/>
              <a:cs typeface="Calibri"/>
            </a:rPr>
            <a:t>-  EEG-Umlage: </a:t>
          </a: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Die EEG-Umlage wird vom 01.07.22 bis 31.12.22 auf 0 Cent/kWh abgesenkt (Gesetz zur Absenkung der Kostenbelastung durch die EEG-Umlage ... vom 23.05.2022).</a:t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   Im EEG 2023 soll die EEG-Umlage  vollständig gestrichen werden.  </a:t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endParaRPr lang="de-DE" sz="105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Achtung: Die </a:t>
          </a: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in dieser Anwendung/Berechnung </a:t>
          </a:r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verwendeten</a:t>
          </a: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Anzulegenden Werte/Vergütungssätze wurden am 28.07.2022 </a:t>
          </a:r>
          <a:b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 im Bundesgesetzblatt Jahrgang 2022; Teil I Nr. 28; S. 1237 ff veröffentlicht und sind zum 29.07.2022 in Kraft getreten.</a:t>
          </a:r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Sämtliche</a:t>
          </a: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Neuregelungen gelten unter Vorbehalt der beihilferechtlichen Genehmigung durch die Europäische Komission !!!</a:t>
          </a:r>
          <a:endParaRPr lang="de-DE" sz="1050">
            <a:solidFill>
              <a:srgbClr val="FF0000"/>
            </a:solidFill>
            <a:effectLst/>
          </a:endParaRPr>
        </a:p>
        <a:p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Die Anzulegenden Werte für Freiflächenanlagen und Sonstige Anlagen werden nach jetztigem Stand erst mit dem EEG 2023  neu geregelt. </a:t>
          </a:r>
          <a:b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Im Programm  wird davon ausgegangen, dass die  </a:t>
          </a:r>
          <a:r>
            <a:rPr lang="de-DE" sz="11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anzulegenden Werte für</a:t>
          </a:r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Freiflächenanlagen und Sonstige Anlagen  </a:t>
          </a:r>
          <a:b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im Zeitraum August 2022 bis Dezember 2022 gemäß EEG 2021 weiter der Degression unterliegen.</a:t>
          </a:r>
          <a:endParaRPr lang="de-DE" sz="1050">
            <a:solidFill>
              <a:srgbClr val="FF0000"/>
            </a:solidFill>
            <a:effectLst/>
          </a:endParaRPr>
        </a:p>
        <a:p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Eine Gewähr für die Vollständigkeit und Richtigkeit der verwendeten Anzulegenden Werte/Vergütungen kann ausdrücklich</a:t>
          </a:r>
          <a:b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nicht übernommen werden! Bitte prüfen Sie die gültige Rechtslage. Die Nutzung der beiliegende Software /Berechnung erfolgt</a:t>
          </a:r>
          <a:b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ausdrücklich auf eigene Gefahr. </a:t>
          </a:r>
          <a:endParaRPr lang="de-DE" sz="1050">
            <a:solidFill>
              <a:srgbClr val="FF0000"/>
            </a:solidFill>
            <a:effectLst/>
          </a:endParaRPr>
        </a:p>
        <a:p>
          <a:pPr algn="l" rtl="0">
            <a:defRPr sz="1000"/>
          </a:pPr>
          <a:endParaRPr lang="de-DE" sz="105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pPr algn="l" rtl="0">
            <a:defRPr sz="1000"/>
          </a:pPr>
          <a:endParaRPr lang="de-DE" sz="105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pPr algn="l" rtl="0">
            <a:defRPr sz="1000"/>
          </a:pP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weitere Info´s  zu Vergütungssätzen finden Sie auch unter:  </a:t>
          </a:r>
        </a:p>
        <a:p>
          <a:pPr algn="l" rtl="0">
            <a:defRPr sz="1000"/>
          </a:pPr>
          <a:r>
            <a:rPr lang="de-DE" sz="1050" b="1" i="0" u="none" strike="noStrike" baseline="0">
              <a:solidFill>
                <a:srgbClr val="0000FF"/>
              </a:solidFill>
              <a:latin typeface="+mn-lt"/>
              <a:cs typeface="Calibri"/>
            </a:rPr>
            <a:t>https://www.bundesnetzagentur.de/DE/Sachgebiete/ElektrizitaetundGas/Unternehmen_Institutionen/ErneuerbareEnergien/ZahlenDatenInformationen/EEG_Registerdaten/EEG_Registerdaten_node.html</a:t>
          </a:r>
        </a:p>
      </xdr:txBody>
    </xdr:sp>
    <xdr:clientData/>
  </xdr:twoCellAnchor>
  <xdr:twoCellAnchor editAs="oneCell">
    <xdr:from>
      <xdr:col>18</xdr:col>
      <xdr:colOff>29973</xdr:colOff>
      <xdr:row>88</xdr:row>
      <xdr:rowOff>166188</xdr:rowOff>
    </xdr:from>
    <xdr:to>
      <xdr:col>21</xdr:col>
      <xdr:colOff>22323</xdr:colOff>
      <xdr:row>94</xdr:row>
      <xdr:rowOff>157562</xdr:rowOff>
    </xdr:to>
    <xdr:pic>
      <xdr:nvPicPr>
        <xdr:cNvPr id="10564776" name="Grafik 13">
          <a:extLst>
            <a:ext uri="{FF2B5EF4-FFF2-40B4-BE49-F238E27FC236}">
              <a16:creationId xmlns:a16="http://schemas.microsoft.com/office/drawing/2014/main" id="{00000000-0008-0000-0400-0000A834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7661" y="15382376"/>
          <a:ext cx="1444912" cy="1062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378202</xdr:colOff>
      <xdr:row>236</xdr:row>
      <xdr:rowOff>123914</xdr:rowOff>
    </xdr:from>
    <xdr:to>
      <xdr:col>32</xdr:col>
      <xdr:colOff>9782</xdr:colOff>
      <xdr:row>252</xdr:row>
      <xdr:rowOff>153096</xdr:rowOff>
    </xdr:to>
    <xdr:sp macro="" textlink="">
      <xdr:nvSpPr>
        <xdr:cNvPr id="14" name="Abgerundetes Rechteck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 bwMode="auto">
        <a:xfrm>
          <a:off x="10415171" y="31913602"/>
          <a:ext cx="3917830" cy="2696182"/>
        </a:xfrm>
        <a:prstGeom prst="roundRect">
          <a:avLst/>
        </a:prstGeom>
        <a:solidFill>
          <a:srgbClr val="FFD5D5"/>
        </a:solidFill>
        <a:ln w="508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de-DE" sz="1100" b="1"/>
            <a:t>Hinweis</a:t>
          </a:r>
          <a:r>
            <a:rPr lang="de-DE" sz="1100"/>
            <a:t>:			31.01.2019</a:t>
          </a:r>
        </a:p>
        <a:p>
          <a:pPr algn="l"/>
          <a:r>
            <a:rPr lang="de-DE" sz="1100" b="1">
              <a:solidFill>
                <a:srgbClr val="FF0000"/>
              </a:solidFill>
            </a:rPr>
            <a:t>Außerordentliche</a:t>
          </a:r>
          <a:r>
            <a:rPr lang="de-DE" sz="1100" b="1" baseline="0">
              <a:solidFill>
                <a:srgbClr val="FF0000"/>
              </a:solidFill>
            </a:rPr>
            <a:t> Degression der Anzulegenden Werte  für die Anlagenklasse 40 bis 750 kWp in den Monaten Februar, März und April 2019 laut</a:t>
          </a:r>
          <a:r>
            <a:rPr lang="de-DE" sz="1100" b="1">
              <a:solidFill>
                <a:srgbClr val="FF0000"/>
              </a:solidFill>
            </a:rPr>
            <a:t> Energiesammelgesetz:</a:t>
          </a:r>
          <a:r>
            <a:rPr lang="de-DE" sz="1100" b="1" baseline="0">
              <a:solidFill>
                <a:srgbClr val="FF0000"/>
              </a:solidFill>
            </a:rPr>
            <a:t> </a:t>
          </a:r>
        </a:p>
        <a:p>
          <a:pPr algn="l"/>
          <a:r>
            <a:rPr lang="de-DE" sz="1100" b="1" baseline="0">
              <a:solidFill>
                <a:srgbClr val="FF0000"/>
              </a:solidFill>
            </a:rPr>
            <a:t/>
          </a:r>
          <a:br>
            <a:rPr lang="de-DE" sz="1100" b="1" baseline="0">
              <a:solidFill>
                <a:srgbClr val="FF0000"/>
              </a:solidFill>
            </a:rPr>
          </a:br>
          <a:r>
            <a:rPr lang="de-DE" sz="1100"/>
            <a:t>Für die Photovoltaik</a:t>
          </a:r>
          <a:r>
            <a:rPr lang="de-DE" sz="1100" baseline="0"/>
            <a:t> ergeben sich folgende Änderungen:</a:t>
          </a:r>
        </a:p>
        <a:p>
          <a:pPr algn="l"/>
          <a:r>
            <a:rPr lang="de-DE" sz="1100" b="1" baseline="0"/>
            <a:t>Anlagenklasse 40 bis 750 kWp</a:t>
          </a:r>
          <a:r>
            <a:rPr lang="de-DE" sz="1100" baseline="0"/>
            <a:t>: &gt;&gt;&gt; Sonderkürzungen</a:t>
          </a:r>
        </a:p>
        <a:p>
          <a:pPr algn="l"/>
          <a:r>
            <a:rPr lang="de-DE" sz="1100" baseline="0"/>
            <a:t>Die anzulegenden Werte werden in 3 Schritten (Feb - Apr 2019) für diese Klasse abgesenkt.</a:t>
          </a:r>
          <a:br>
            <a:rPr lang="de-DE" sz="1100" baseline="0"/>
          </a:br>
          <a:r>
            <a:rPr lang="de-DE" sz="1100" baseline="0"/>
            <a:t>Januar 2019: 	10,36 Cent/kWh (vor Sonderkürzung)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aseline="0"/>
            <a:t>Februar 2019:	9,87  </a:t>
          </a:r>
          <a:r>
            <a:rPr lang="de-DE" sz="1100" baseline="0">
              <a:effectLst/>
              <a:latin typeface="+mn-lt"/>
              <a:ea typeface="+mn-ea"/>
              <a:cs typeface="+mn-cs"/>
            </a:rPr>
            <a:t>Cent/kWh (Sonderkürzung; 1. Stufe)</a:t>
          </a:r>
          <a:endParaRPr lang="de-DE">
            <a:effectLst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aseline="0">
              <a:effectLst/>
              <a:latin typeface="+mn-lt"/>
              <a:ea typeface="+mn-ea"/>
              <a:cs typeface="+mn-cs"/>
            </a:rPr>
            <a:t>März 2019:	9,39  Cent/kWh (Sonderkürzung; 2. Stufe)</a:t>
          </a:r>
          <a:endParaRPr lang="de-DE">
            <a:effectLst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aseline="0">
              <a:effectLst/>
              <a:latin typeface="+mn-lt"/>
              <a:ea typeface="+mn-ea"/>
              <a:cs typeface="+mn-cs"/>
            </a:rPr>
            <a:t>April 2019:	8,90  Cent/kWh (Sonderkürzung; 3. Stufe)</a:t>
          </a:r>
          <a:endParaRPr lang="de-DE">
            <a:effectLst/>
          </a:endParaRPr>
        </a:p>
        <a:p>
          <a:pPr algn="l"/>
          <a:endParaRPr lang="de-DE" sz="1100"/>
        </a:p>
      </xdr:txBody>
    </xdr:sp>
    <xdr:clientData/>
  </xdr:twoCellAnchor>
  <xdr:twoCellAnchor>
    <xdr:from>
      <xdr:col>33</xdr:col>
      <xdr:colOff>93927</xdr:colOff>
      <xdr:row>236</xdr:row>
      <xdr:rowOff>146845</xdr:rowOff>
    </xdr:from>
    <xdr:to>
      <xdr:col>41</xdr:col>
      <xdr:colOff>324114</xdr:colOff>
      <xdr:row>250</xdr:row>
      <xdr:rowOff>11907</xdr:rowOff>
    </xdr:to>
    <xdr:sp macro="" textlink="">
      <xdr:nvSpPr>
        <xdr:cNvPr id="15" name="Abgerundetes Rechtec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 bwMode="auto">
        <a:xfrm>
          <a:off x="14857677" y="31936533"/>
          <a:ext cx="3933031" cy="2198687"/>
        </a:xfrm>
        <a:prstGeom prst="roundRect">
          <a:avLst/>
        </a:prstGeom>
        <a:solidFill>
          <a:srgbClr val="FFD5D5"/>
        </a:solidFill>
        <a:ln w="508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de-DE" sz="1100" b="1"/>
            <a:t>Hinweis</a:t>
          </a:r>
          <a:r>
            <a:rPr lang="de-DE" sz="1100"/>
            <a:t>:			31.07.2020</a:t>
          </a:r>
        </a:p>
        <a:p>
          <a:pPr algn="l"/>
          <a:endParaRPr lang="de-DE" sz="1100"/>
        </a:p>
        <a:p>
          <a:pPr algn="l"/>
          <a:r>
            <a:rPr lang="de-DE" sz="1100"/>
            <a:t>Der </a:t>
          </a:r>
          <a:r>
            <a:rPr lang="de-DE" sz="1100" b="1">
              <a:effectLst/>
              <a:latin typeface="+mn-lt"/>
              <a:ea typeface="+mn-ea"/>
              <a:cs typeface="+mn-cs"/>
            </a:rPr>
            <a:t>52 GWp - </a:t>
          </a:r>
          <a:r>
            <a:rPr lang="de-DE" sz="1100" b="1"/>
            <a:t>PV-Deckel </a:t>
          </a:r>
          <a:r>
            <a:rPr lang="de-DE" sz="1100" b="0"/>
            <a:t>ist gefallen</a:t>
          </a:r>
          <a:r>
            <a:rPr lang="de-DE" sz="1100" b="0" baseline="0"/>
            <a:t>. </a:t>
          </a:r>
        </a:p>
        <a:p>
          <a:pPr algn="l"/>
          <a:endParaRPr lang="de-DE"/>
        </a:p>
        <a:p>
          <a:pPr algn="l"/>
          <a:r>
            <a:rPr lang="de-DE"/>
            <a:t>Der Deutsche Bundestag hat am 18. Juni 2020 das Gebäude-Energie-Gesetz (GEG) verabschiedet. Darin ist die Aufhebung des 52 Gigawatt-Deckels</a:t>
          </a:r>
          <a:r>
            <a:rPr lang="de-DE" baseline="0"/>
            <a:t> für PV-Anlagen geregelt. </a:t>
          </a:r>
        </a:p>
        <a:p>
          <a:pPr algn="l"/>
          <a:r>
            <a:rPr lang="de-DE" sz="1100"/>
            <a:t>Der Bundesrat hat ins</a:t>
          </a:r>
          <a:r>
            <a:rPr lang="de-DE" sz="1100" baseline="0"/>
            <a:t> seiner Sitzung am 03.07.2020 das GEG gebilligt und den Bundestag aufgefordert, den 52-GW-Deckel abzuschaffen (§49 EEG ).</a:t>
          </a:r>
        </a:p>
      </xdr:txBody>
    </xdr:sp>
    <xdr:clientData fPrintsWithSheet="0"/>
  </xdr:twoCellAnchor>
  <xdr:twoCellAnchor editAs="oneCell">
    <xdr:from>
      <xdr:col>18</xdr:col>
      <xdr:colOff>119063</xdr:colOff>
      <xdr:row>135</xdr:row>
      <xdr:rowOff>83343</xdr:rowOff>
    </xdr:from>
    <xdr:to>
      <xdr:col>22</xdr:col>
      <xdr:colOff>1</xdr:colOff>
      <xdr:row>137</xdr:row>
      <xdr:rowOff>6733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86751" y="22776656"/>
          <a:ext cx="1440656" cy="280577"/>
        </a:xfrm>
        <a:prstGeom prst="rect">
          <a:avLst/>
        </a:prstGeom>
      </xdr:spPr>
    </xdr:pic>
    <xdr:clientData/>
  </xdr:twoCellAnchor>
  <xdr:twoCellAnchor>
    <xdr:from>
      <xdr:col>49</xdr:col>
      <xdr:colOff>321469</xdr:colOff>
      <xdr:row>167</xdr:row>
      <xdr:rowOff>35719</xdr:rowOff>
    </xdr:from>
    <xdr:to>
      <xdr:col>63</xdr:col>
      <xdr:colOff>821531</xdr:colOff>
      <xdr:row>171</xdr:row>
      <xdr:rowOff>142875</xdr:rowOff>
    </xdr:to>
    <xdr:sp macro="" textlink="">
      <xdr:nvSpPr>
        <xdr:cNvPr id="4" name="Abgerundetes Rechteck 3"/>
        <xdr:cNvSpPr/>
      </xdr:nvSpPr>
      <xdr:spPr bwMode="auto">
        <a:xfrm>
          <a:off x="22502813" y="30039469"/>
          <a:ext cx="11168062" cy="821531"/>
        </a:xfrm>
        <a:prstGeom prst="roundRect">
          <a:avLst/>
        </a:prstGeom>
        <a:solidFill>
          <a:srgbClr val="FFD5D5"/>
        </a:solidFill>
        <a:ln w="508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marL="0" indent="0" algn="l"/>
          <a:r>
            <a:rPr lang="de-DE" sz="1100" b="0">
              <a:latin typeface="+mn-lt"/>
              <a:ea typeface="+mn-ea"/>
              <a:cs typeface="+mn-cs"/>
            </a:rPr>
            <a:t>Die Neuregelungen durch das sogenannte "Osterpaket" (Gesetz zu Sofortmaßnahmen für einen beschleunigten Ausbau der erneuerbaren Energien; Beschluß 08.07.2022, Bundesrat) </a:t>
          </a:r>
        </a:p>
        <a:p>
          <a:pPr marL="0" indent="0" algn="l"/>
          <a:r>
            <a:rPr lang="de-DE" sz="1100" b="0">
              <a:latin typeface="+mn-lt"/>
              <a:ea typeface="+mn-ea"/>
              <a:cs typeface="+mn-cs"/>
            </a:rPr>
            <a:t>machen eine grundlegende Überarbeitung der Vergütungsstrukturen erforderlich. </a:t>
          </a:r>
        </a:p>
        <a:p>
          <a:pPr marL="0" indent="0" algn="l"/>
          <a:r>
            <a:rPr lang="de-DE" sz="1100" b="0">
              <a:latin typeface="+mn-lt"/>
              <a:ea typeface="+mn-ea"/>
              <a:cs typeface="+mn-cs"/>
            </a:rPr>
            <a:t>Künftig gibt es differenzierte Vergütungssätze für reine Einspeiseanlagen, Eigenverbrauchsanlagen sowie Freilandanlagen.</a:t>
          </a:r>
        </a:p>
        <a:p>
          <a:pPr marL="0" indent="0" algn="l"/>
          <a:r>
            <a:rPr lang="de-DE" sz="1100" b="0">
              <a:latin typeface="+mn-lt"/>
              <a:ea typeface="+mn-ea"/>
              <a:cs typeface="+mn-cs"/>
            </a:rPr>
            <a:t>Für das 2. Halbjahr 2022 gibt es eine Übergangsregelung, zum 1.1.2023 tritt das EEG2023 in Kraft. 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99381</xdr:colOff>
      <xdr:row>28</xdr:row>
      <xdr:rowOff>476250</xdr:rowOff>
    </xdr:from>
    <xdr:to>
      <xdr:col>28</xdr:col>
      <xdr:colOff>242256</xdr:colOff>
      <xdr:row>29</xdr:row>
      <xdr:rowOff>361950</xdr:rowOff>
    </xdr:to>
    <xdr:sp macro="" textlink="">
      <xdr:nvSpPr>
        <xdr:cNvPr id="39937" name="Text 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19C0000}"/>
            </a:ext>
          </a:extLst>
        </xdr:cNvPr>
        <xdr:cNvSpPr txBox="1">
          <a:spLocks noChangeArrowheads="1"/>
        </xdr:cNvSpPr>
      </xdr:nvSpPr>
      <xdr:spPr bwMode="auto">
        <a:xfrm>
          <a:off x="5800725" y="3343275"/>
          <a:ext cx="1238250" cy="400050"/>
        </a:xfrm>
        <a:prstGeom prst="rect">
          <a:avLst/>
        </a:prstGeom>
        <a:solidFill>
          <a:srgbClr val="FFCC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lnSpc>
              <a:spcPts val="1000"/>
            </a:lnSpc>
            <a:defRPr sz="1000"/>
          </a:pPr>
          <a:r>
            <a:rPr lang="de-DE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zur Erfassung des Guthabenzins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46</xdr:row>
      <xdr:rowOff>0</xdr:rowOff>
    </xdr:from>
    <xdr:to>
      <xdr:col>29</xdr:col>
      <xdr:colOff>0</xdr:colOff>
      <xdr:row>68</xdr:row>
      <xdr:rowOff>0</xdr:rowOff>
    </xdr:to>
    <xdr:graphicFrame macro="">
      <xdr:nvGraphicFramePr>
        <xdr:cNvPr id="8701876" name="Diagramm 3">
          <a:extLst>
            <a:ext uri="{FF2B5EF4-FFF2-40B4-BE49-F238E27FC236}">
              <a16:creationId xmlns:a16="http://schemas.microsoft.com/office/drawing/2014/main" id="{00000000-0008-0000-0900-0000B4C78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76200</xdr:colOff>
      <xdr:row>40</xdr:row>
      <xdr:rowOff>0</xdr:rowOff>
    </xdr:from>
    <xdr:to>
      <xdr:col>27</xdr:col>
      <xdr:colOff>46784</xdr:colOff>
      <xdr:row>44</xdr:row>
      <xdr:rowOff>152400</xdr:rowOff>
    </xdr:to>
    <xdr:sp macro="" textlink="">
      <xdr:nvSpPr>
        <xdr:cNvPr id="34824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8880000}"/>
            </a:ext>
          </a:extLst>
        </xdr:cNvPr>
        <xdr:cNvSpPr txBox="1">
          <a:spLocks noChangeArrowheads="1"/>
        </xdr:cNvSpPr>
      </xdr:nvSpPr>
      <xdr:spPr bwMode="auto">
        <a:xfrm>
          <a:off x="4972050" y="4114800"/>
          <a:ext cx="1771650" cy="533400"/>
        </a:xfrm>
        <a:prstGeom prst="rect">
          <a:avLst/>
        </a:prstGeom>
        <a:solidFill>
          <a:srgbClr val="FFCC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&lt;&lt;&lt;  weitere Hinweise &gt;&gt;&gt;</a:t>
          </a:r>
        </a:p>
        <a:p>
          <a:pPr algn="ctr" rtl="0">
            <a:defRPr sz="1000"/>
          </a:pPr>
          <a:r>
            <a:rPr lang="de-DE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zum Finanzierungsmodell </a:t>
          </a:r>
        </a:p>
        <a:p>
          <a:pPr algn="ctr" rtl="0">
            <a:defRPr sz="1000"/>
          </a:pPr>
          <a:r>
            <a:rPr lang="de-DE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(hier klicken)</a:t>
          </a:r>
        </a:p>
      </xdr:txBody>
    </xdr:sp>
    <xdr:clientData/>
  </xdr:twoCellAnchor>
  <xdr:twoCellAnchor editAs="oneCell">
    <xdr:from>
      <xdr:col>24</xdr:col>
      <xdr:colOff>0</xdr:colOff>
      <xdr:row>28</xdr:row>
      <xdr:rowOff>0</xdr:rowOff>
    </xdr:from>
    <xdr:to>
      <xdr:col>29</xdr:col>
      <xdr:colOff>0</xdr:colOff>
      <xdr:row>32</xdr:row>
      <xdr:rowOff>48057</xdr:rowOff>
    </xdr:to>
    <xdr:sp macro="" textlink="">
      <xdr:nvSpPr>
        <xdr:cNvPr id="34825" name="Text Box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9880000}"/>
            </a:ext>
          </a:extLst>
        </xdr:cNvPr>
        <xdr:cNvSpPr txBox="1">
          <a:spLocks noChangeArrowheads="1"/>
        </xdr:cNvSpPr>
      </xdr:nvSpPr>
      <xdr:spPr bwMode="auto">
        <a:xfrm>
          <a:off x="5981700" y="2962275"/>
          <a:ext cx="1238250" cy="409575"/>
        </a:xfrm>
        <a:prstGeom prst="rect">
          <a:avLst/>
        </a:prstGeom>
        <a:solidFill>
          <a:srgbClr val="FFCC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de-DE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zurück zur </a:t>
          </a:r>
        </a:p>
        <a:p>
          <a:pPr algn="ctr" rtl="0">
            <a:defRPr sz="1000"/>
          </a:pPr>
          <a:r>
            <a:rPr lang="de-DE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Kalkulation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77638</xdr:colOff>
      <xdr:row>1</xdr:row>
      <xdr:rowOff>0</xdr:rowOff>
    </xdr:from>
    <xdr:to>
      <xdr:col>29</xdr:col>
      <xdr:colOff>86264</xdr:colOff>
      <xdr:row>38</xdr:row>
      <xdr:rowOff>0</xdr:rowOff>
    </xdr:to>
    <xdr:grpSp>
      <xdr:nvGrpSpPr>
        <xdr:cNvPr id="10552456" name="Group 10">
          <a:extLst>
            <a:ext uri="{FF2B5EF4-FFF2-40B4-BE49-F238E27FC236}">
              <a16:creationId xmlns:a16="http://schemas.microsoft.com/office/drawing/2014/main" id="{00000000-0008-0000-0A00-00008804A100}"/>
            </a:ext>
          </a:extLst>
        </xdr:cNvPr>
        <xdr:cNvGrpSpPr>
          <a:grpSpLocks/>
        </xdr:cNvGrpSpPr>
      </xdr:nvGrpSpPr>
      <xdr:grpSpPr bwMode="auto">
        <a:xfrm>
          <a:off x="3535213" y="38100"/>
          <a:ext cx="3342376" cy="3771900"/>
          <a:chOff x="370" y="8"/>
          <a:chExt cx="337" cy="352"/>
        </a:xfrm>
      </xdr:grpSpPr>
      <xdr:graphicFrame macro="">
        <xdr:nvGraphicFramePr>
          <xdr:cNvPr id="10552457" name="Diagramm 2">
            <a:extLst>
              <a:ext uri="{FF2B5EF4-FFF2-40B4-BE49-F238E27FC236}">
                <a16:creationId xmlns:a16="http://schemas.microsoft.com/office/drawing/2014/main" id="{00000000-0008-0000-0A00-00008904A100}"/>
              </a:ext>
            </a:extLst>
          </xdr:cNvPr>
          <xdr:cNvGraphicFramePr>
            <a:graphicFrameLocks/>
          </xdr:cNvGraphicFramePr>
        </xdr:nvGraphicFramePr>
        <xdr:xfrm>
          <a:off x="370" y="8"/>
          <a:ext cx="337" cy="35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0552458" name="Oval 3">
            <a:extLst>
              <a:ext uri="{FF2B5EF4-FFF2-40B4-BE49-F238E27FC236}">
                <a16:creationId xmlns:a16="http://schemas.microsoft.com/office/drawing/2014/main" id="{00000000-0008-0000-0A00-00008A04A100}"/>
              </a:ext>
            </a:extLst>
          </xdr:cNvPr>
          <xdr:cNvSpPr>
            <a:spLocks noChangeArrowheads="1"/>
          </xdr:cNvSpPr>
        </xdr:nvSpPr>
        <xdr:spPr bwMode="auto">
          <a:xfrm>
            <a:off x="453" y="83"/>
            <a:ext cx="28" cy="27"/>
          </a:xfrm>
          <a:prstGeom prst="ellipse">
            <a:avLst/>
          </a:prstGeom>
          <a:gradFill rotWithShape="0">
            <a:gsLst>
              <a:gs pos="0">
                <a:srgbClr val="FF3300"/>
              </a:gs>
              <a:gs pos="100000">
                <a:srgbClr val="FFE1D9"/>
              </a:gs>
            </a:gsLst>
            <a:lin ang="2700000" scaled="1"/>
          </a:gra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552459" name="Line 4">
            <a:extLst>
              <a:ext uri="{FF2B5EF4-FFF2-40B4-BE49-F238E27FC236}">
                <a16:creationId xmlns:a16="http://schemas.microsoft.com/office/drawing/2014/main" id="{00000000-0008-0000-0A00-00008B04A100}"/>
              </a:ext>
            </a:extLst>
          </xdr:cNvPr>
          <xdr:cNvSpPr>
            <a:spLocks noChangeShapeType="1"/>
          </xdr:cNvSpPr>
        </xdr:nvSpPr>
        <xdr:spPr bwMode="auto">
          <a:xfrm>
            <a:off x="470" y="114"/>
            <a:ext cx="12" cy="36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52460" name="Line 6">
            <a:extLst>
              <a:ext uri="{FF2B5EF4-FFF2-40B4-BE49-F238E27FC236}">
                <a16:creationId xmlns:a16="http://schemas.microsoft.com/office/drawing/2014/main" id="{00000000-0008-0000-0A00-00008C04A100}"/>
              </a:ext>
            </a:extLst>
          </xdr:cNvPr>
          <xdr:cNvSpPr>
            <a:spLocks noChangeShapeType="1"/>
          </xdr:cNvSpPr>
        </xdr:nvSpPr>
        <xdr:spPr bwMode="auto">
          <a:xfrm>
            <a:off x="477" y="111"/>
            <a:ext cx="25" cy="38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52461" name="Line 7">
            <a:extLst>
              <a:ext uri="{FF2B5EF4-FFF2-40B4-BE49-F238E27FC236}">
                <a16:creationId xmlns:a16="http://schemas.microsoft.com/office/drawing/2014/main" id="{00000000-0008-0000-0A00-00008D04A100}"/>
              </a:ext>
            </a:extLst>
          </xdr:cNvPr>
          <xdr:cNvSpPr>
            <a:spLocks noChangeShapeType="1"/>
          </xdr:cNvSpPr>
        </xdr:nvSpPr>
        <xdr:spPr bwMode="auto">
          <a:xfrm>
            <a:off x="484" y="105"/>
            <a:ext cx="25" cy="26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52462" name="Line 8">
            <a:extLst>
              <a:ext uri="{FF2B5EF4-FFF2-40B4-BE49-F238E27FC236}">
                <a16:creationId xmlns:a16="http://schemas.microsoft.com/office/drawing/2014/main" id="{00000000-0008-0000-0A00-00008E04A100}"/>
              </a:ext>
            </a:extLst>
          </xdr:cNvPr>
          <xdr:cNvSpPr>
            <a:spLocks noChangeShapeType="1"/>
          </xdr:cNvSpPr>
        </xdr:nvSpPr>
        <xdr:spPr bwMode="auto">
          <a:xfrm>
            <a:off x="462" y="112"/>
            <a:ext cx="0" cy="32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52463" name="Line 9">
            <a:extLst>
              <a:ext uri="{FF2B5EF4-FFF2-40B4-BE49-F238E27FC236}">
                <a16:creationId xmlns:a16="http://schemas.microsoft.com/office/drawing/2014/main" id="{00000000-0008-0000-0A00-00008F04A100}"/>
              </a:ext>
            </a:extLst>
          </xdr:cNvPr>
          <xdr:cNvSpPr>
            <a:spLocks noChangeShapeType="1"/>
          </xdr:cNvSpPr>
        </xdr:nvSpPr>
        <xdr:spPr bwMode="auto">
          <a:xfrm>
            <a:off x="485" y="95"/>
            <a:ext cx="26" cy="12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43132</xdr:colOff>
      <xdr:row>20</xdr:row>
      <xdr:rowOff>34506</xdr:rowOff>
    </xdr:from>
    <xdr:to>
      <xdr:col>16</xdr:col>
      <xdr:colOff>112143</xdr:colOff>
      <xdr:row>30</xdr:row>
      <xdr:rowOff>34506</xdr:rowOff>
    </xdr:to>
    <xdr:pic>
      <xdr:nvPicPr>
        <xdr:cNvPr id="9762662" name="Picture 30">
          <a:extLst>
            <a:ext uri="{FF2B5EF4-FFF2-40B4-BE49-F238E27FC236}">
              <a16:creationId xmlns:a16="http://schemas.microsoft.com/office/drawing/2014/main" id="{00000000-0008-0000-0B00-000066F79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3087" y="2700068"/>
          <a:ext cx="1880558" cy="1475117"/>
        </a:xfrm>
        <a:prstGeom prst="rect">
          <a:avLst/>
        </a:prstGeom>
        <a:noFill/>
        <a:ln w="952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155275</xdr:colOff>
      <xdr:row>22</xdr:row>
      <xdr:rowOff>60385</xdr:rowOff>
    </xdr:from>
    <xdr:to>
      <xdr:col>33</xdr:col>
      <xdr:colOff>112143</xdr:colOff>
      <xdr:row>30</xdr:row>
      <xdr:rowOff>34506</xdr:rowOff>
    </xdr:to>
    <xdr:pic>
      <xdr:nvPicPr>
        <xdr:cNvPr id="9762663" name="Picture 31">
          <a:extLst>
            <a:ext uri="{FF2B5EF4-FFF2-40B4-BE49-F238E27FC236}">
              <a16:creationId xmlns:a16="http://schemas.microsoft.com/office/drawing/2014/main" id="{00000000-0008-0000-0B00-000067F79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3494" y="3036498"/>
          <a:ext cx="1509623" cy="1138687"/>
        </a:xfrm>
        <a:prstGeom prst="rect">
          <a:avLst/>
        </a:prstGeom>
        <a:noFill/>
        <a:ln w="952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155275</xdr:colOff>
      <xdr:row>32</xdr:row>
      <xdr:rowOff>112143</xdr:rowOff>
    </xdr:from>
    <xdr:to>
      <xdr:col>16</xdr:col>
      <xdr:colOff>112143</xdr:colOff>
      <xdr:row>45</xdr:row>
      <xdr:rowOff>69011</xdr:rowOff>
    </xdr:to>
    <xdr:pic>
      <xdr:nvPicPr>
        <xdr:cNvPr id="9762664" name="Picture 32">
          <a:extLst>
            <a:ext uri="{FF2B5EF4-FFF2-40B4-BE49-F238E27FC236}">
              <a16:creationId xmlns:a16="http://schemas.microsoft.com/office/drawing/2014/main" id="{00000000-0008-0000-0B00-000068F79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023" y="4485736"/>
          <a:ext cx="1509622" cy="1820173"/>
        </a:xfrm>
        <a:prstGeom prst="rect">
          <a:avLst/>
        </a:prstGeom>
        <a:noFill/>
        <a:ln w="952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155275</xdr:colOff>
      <xdr:row>38</xdr:row>
      <xdr:rowOff>17253</xdr:rowOff>
    </xdr:from>
    <xdr:to>
      <xdr:col>33</xdr:col>
      <xdr:colOff>112143</xdr:colOff>
      <xdr:row>45</xdr:row>
      <xdr:rowOff>69011</xdr:rowOff>
    </xdr:to>
    <xdr:pic>
      <xdr:nvPicPr>
        <xdr:cNvPr id="9762665" name="Picture 33">
          <a:extLst>
            <a:ext uri="{FF2B5EF4-FFF2-40B4-BE49-F238E27FC236}">
              <a16:creationId xmlns:a16="http://schemas.microsoft.com/office/drawing/2014/main" id="{00000000-0008-0000-0B00-000069F79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3494" y="5244860"/>
          <a:ext cx="1509623" cy="1061049"/>
        </a:xfrm>
        <a:prstGeom prst="rect">
          <a:avLst/>
        </a:prstGeom>
        <a:noFill/>
        <a:ln w="952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232913</xdr:colOff>
      <xdr:row>50</xdr:row>
      <xdr:rowOff>8626</xdr:rowOff>
    </xdr:from>
    <xdr:to>
      <xdr:col>16</xdr:col>
      <xdr:colOff>112143</xdr:colOff>
      <xdr:row>60</xdr:row>
      <xdr:rowOff>69011</xdr:rowOff>
    </xdr:to>
    <xdr:pic>
      <xdr:nvPicPr>
        <xdr:cNvPr id="9762666" name="Picture 34">
          <a:extLst>
            <a:ext uri="{FF2B5EF4-FFF2-40B4-BE49-F238E27FC236}">
              <a16:creationId xmlns:a16="http://schemas.microsoft.com/office/drawing/2014/main" id="{00000000-0008-0000-0B00-00006AF79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2868" y="6866626"/>
          <a:ext cx="1690777" cy="1535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181155</xdr:colOff>
      <xdr:row>52</xdr:row>
      <xdr:rowOff>94891</xdr:rowOff>
    </xdr:from>
    <xdr:to>
      <xdr:col>33</xdr:col>
      <xdr:colOff>112143</xdr:colOff>
      <xdr:row>60</xdr:row>
      <xdr:rowOff>69011</xdr:rowOff>
    </xdr:to>
    <xdr:pic>
      <xdr:nvPicPr>
        <xdr:cNvPr id="9762667" name="Picture 35">
          <a:extLst>
            <a:ext uri="{FF2B5EF4-FFF2-40B4-BE49-F238E27FC236}">
              <a16:creationId xmlns:a16="http://schemas.microsoft.com/office/drawing/2014/main" id="{00000000-0008-0000-0B00-00006BF79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996" y="7263442"/>
          <a:ext cx="2260121" cy="1138686"/>
        </a:xfrm>
        <a:prstGeom prst="rect">
          <a:avLst/>
        </a:prstGeom>
        <a:noFill/>
        <a:ln w="952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l-bw.de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trlProp" Target="../ctrlProps/ctrlProp8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image" Target="../media/image3.emf"/><Relationship Id="rId10" Type="http://schemas.openxmlformats.org/officeDocument/2006/relationships/ctrlProp" Target="../ctrlProps/ctrlProp5.xml"/><Relationship Id="rId4" Type="http://schemas.openxmlformats.org/officeDocument/2006/relationships/control" Target="../activeX/activeX1.xml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undesnetzagentur.de/DE/Sachgebiete/ElektrizitaetundGas/Unternehmen_Institutionen/ErneuerbareEnergien/ZahlenDatenInformationen/EEG_Registerdaten/EEG_Registerdaten_node.html" TargetMode="External"/><Relationship Id="rId3" Type="http://schemas.openxmlformats.org/officeDocument/2006/relationships/hyperlink" Target="http://www.bmu.de/erneuerbare_energien/downloads/doc/48898.php" TargetMode="External"/><Relationship Id="rId7" Type="http://schemas.openxmlformats.org/officeDocument/2006/relationships/hyperlink" Target="https://www.solarwirtschaft.de/eeg.html" TargetMode="External"/><Relationship Id="rId12" Type="http://schemas.openxmlformats.org/officeDocument/2006/relationships/drawing" Target="../drawings/drawing3.xml"/><Relationship Id="rId2" Type="http://schemas.openxmlformats.org/officeDocument/2006/relationships/hyperlink" Target="http://www.erneuerbare-energien.de/erneuerbare_energien/pv-novelle_2012/doc/48542.php" TargetMode="External"/><Relationship Id="rId1" Type="http://schemas.openxmlformats.org/officeDocument/2006/relationships/hyperlink" Target="http://www.solarwirtschaft.de/unsere-themen/erneuerbare-energien-gesetz" TargetMode="External"/><Relationship Id="rId6" Type="http://schemas.openxmlformats.org/officeDocument/2006/relationships/hyperlink" Target="http://www.bundesnetzagentur.de/cln_1931/DE/Sachgebiete/ElektrizitaetundGas/Unternehmen_Institutionen/ErneuerbareEnergien/Photovoltaik/DatenMeldgn_EEG-VergSaetze/DatenMeldgn_EEG-VergSaetze_node.html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http://www.clearingstelle-eeg.de/fotovoltaik/" TargetMode="External"/><Relationship Id="rId10" Type="http://schemas.openxmlformats.org/officeDocument/2006/relationships/hyperlink" Target="https://www.solarwirtschaft.de/eeg.html" TargetMode="External"/><Relationship Id="rId4" Type="http://schemas.openxmlformats.org/officeDocument/2006/relationships/hyperlink" Target="http://www.bundesnetzagentur.de/cln_1931/DE/Sachgebiete/ElektrizitaetGas/ErneuerbareEnergienGesetz/VerguetungssaetzePVAnlagen/VerguetungssaetzePhotovoltaik_Basepage.html?nn=135464" TargetMode="External"/><Relationship Id="rId9" Type="http://schemas.openxmlformats.org/officeDocument/2006/relationships/hyperlink" Target="https://www.bundesnetzagentur.de/DE/Sachgebiete/ElektrizitaetundGas/Unternehmen_Institutionen/ErneuerbareEnergien/ZahlenDatenInformationen/EEG_Registerdaten/EEG_Registerdaten_node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1"/>
  <dimension ref="A1:BT584"/>
  <sheetViews>
    <sheetView showGridLines="0" showZeros="0" tabSelected="1" zoomScaleNormal="100" workbookViewId="0">
      <pane ySplit="7" topLeftCell="A8" activePane="bottomLeft" state="frozen"/>
      <selection pane="bottomLeft" activeCell="A8" sqref="A8"/>
    </sheetView>
  </sheetViews>
  <sheetFormatPr baseColWidth="10" defaultColWidth="3.7109375" defaultRowHeight="12.2" customHeight="1"/>
  <cols>
    <col min="1" max="1" width="0.28515625" style="25" customWidth="1"/>
    <col min="2" max="2" width="2.7109375" style="25" customWidth="1"/>
    <col min="3" max="4" width="4.7109375" style="25" customWidth="1"/>
    <col min="5" max="28" width="4" style="25" customWidth="1"/>
    <col min="29" max="29" width="1.7109375" style="25" customWidth="1"/>
    <col min="30" max="16384" width="3.7109375" style="25"/>
  </cols>
  <sheetData>
    <row r="1" spans="2:65" ht="3.2" customHeight="1"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</row>
    <row r="2" spans="2:65" ht="5.0999999999999996" customHeight="1" thickBot="1"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H2" s="1155" t="s">
        <v>1363</v>
      </c>
    </row>
    <row r="3" spans="2:65" ht="18" customHeight="1" thickTop="1">
      <c r="C3" s="35"/>
      <c r="D3" s="39" t="s">
        <v>1588</v>
      </c>
      <c r="E3" s="35"/>
      <c r="F3" s="35"/>
      <c r="G3" s="35"/>
      <c r="H3" s="35"/>
      <c r="I3" s="39"/>
      <c r="J3" s="35"/>
      <c r="K3" s="40"/>
      <c r="L3" s="35"/>
      <c r="M3" s="1413" t="s">
        <v>32</v>
      </c>
      <c r="N3" s="1414"/>
      <c r="O3" s="1414"/>
      <c r="P3" s="1414"/>
      <c r="Q3" s="1414"/>
      <c r="R3" s="1414"/>
      <c r="S3" s="1415"/>
      <c r="T3" s="35"/>
      <c r="U3" s="35"/>
      <c r="V3" s="35"/>
      <c r="W3" s="35"/>
      <c r="X3" s="35"/>
      <c r="Y3" s="41"/>
      <c r="Z3" s="42"/>
      <c r="AA3" s="43"/>
      <c r="AB3" s="35"/>
      <c r="AH3" s="1404" t="s">
        <v>1364</v>
      </c>
      <c r="AI3" s="1405"/>
      <c r="AJ3" s="1405"/>
      <c r="AK3" s="1405"/>
      <c r="AL3" s="1405"/>
      <c r="AM3" s="1405"/>
      <c r="AN3" s="1405"/>
      <c r="AO3" s="1405"/>
      <c r="AP3" s="1405"/>
      <c r="AQ3" s="1405"/>
      <c r="AR3" s="1405"/>
      <c r="AS3" s="1405"/>
      <c r="AT3" s="1405"/>
      <c r="AU3" s="1405"/>
      <c r="AV3" s="1405"/>
      <c r="AW3" s="1405"/>
      <c r="AX3" s="1405"/>
      <c r="AY3" s="1405"/>
      <c r="AZ3" s="1405"/>
      <c r="BA3" s="1405"/>
      <c r="BB3" s="1405"/>
      <c r="BC3" s="1405"/>
      <c r="BD3" s="1405"/>
      <c r="BE3" s="1405"/>
      <c r="BF3" s="1405"/>
      <c r="BG3" s="1405"/>
      <c r="BH3" s="1405"/>
      <c r="BI3" s="1405"/>
      <c r="BJ3" s="1405"/>
      <c r="BK3" s="1405"/>
      <c r="BL3" s="1405"/>
      <c r="BM3" s="1406"/>
    </row>
    <row r="4" spans="2:65" ht="5.0999999999999996" customHeight="1">
      <c r="C4" s="35"/>
      <c r="D4" s="35"/>
      <c r="E4" s="35"/>
      <c r="F4" s="35"/>
      <c r="G4" s="35"/>
      <c r="H4" s="35"/>
      <c r="I4" s="35"/>
      <c r="J4" s="35"/>
      <c r="K4" s="35"/>
      <c r="L4" s="35"/>
      <c r="M4" s="1416"/>
      <c r="N4" s="1417"/>
      <c r="O4" s="1417"/>
      <c r="P4" s="1417"/>
      <c r="Q4" s="1417"/>
      <c r="R4" s="1417"/>
      <c r="S4" s="1418"/>
      <c r="T4" s="35"/>
      <c r="U4" s="35"/>
      <c r="V4" s="35"/>
      <c r="W4" s="35"/>
      <c r="X4" s="35"/>
      <c r="Y4" s="44"/>
      <c r="Z4" s="45"/>
      <c r="AA4" s="46"/>
      <c r="AB4" s="35"/>
      <c r="AH4" s="1407"/>
      <c r="AI4" s="1408"/>
      <c r="AJ4" s="1408"/>
      <c r="AK4" s="1408"/>
      <c r="AL4" s="1408"/>
      <c r="AM4" s="1408"/>
      <c r="AN4" s="1408"/>
      <c r="AO4" s="1408"/>
      <c r="AP4" s="1408"/>
      <c r="AQ4" s="1408"/>
      <c r="AR4" s="1408"/>
      <c r="AS4" s="1408"/>
      <c r="AT4" s="1408"/>
      <c r="AU4" s="1408"/>
      <c r="AV4" s="1408"/>
      <c r="AW4" s="1408"/>
      <c r="AX4" s="1408"/>
      <c r="AY4" s="1408"/>
      <c r="AZ4" s="1408"/>
      <c r="BA4" s="1408"/>
      <c r="BB4" s="1408"/>
      <c r="BC4" s="1408"/>
      <c r="BD4" s="1408"/>
      <c r="BE4" s="1408"/>
      <c r="BF4" s="1408"/>
      <c r="BG4" s="1408"/>
      <c r="BH4" s="1408"/>
      <c r="BI4" s="1408"/>
      <c r="BJ4" s="1408"/>
      <c r="BK4" s="1408"/>
      <c r="BL4" s="1408"/>
      <c r="BM4" s="1409"/>
    </row>
    <row r="5" spans="2:65" ht="18" customHeight="1">
      <c r="C5" s="35"/>
      <c r="D5" s="47" t="s">
        <v>551</v>
      </c>
      <c r="E5" s="35"/>
      <c r="F5" s="35"/>
      <c r="G5" s="35"/>
      <c r="H5" s="35"/>
      <c r="I5" s="35"/>
      <c r="J5" s="35"/>
      <c r="K5" s="35"/>
      <c r="L5" s="35"/>
      <c r="M5" s="1416"/>
      <c r="N5" s="1417"/>
      <c r="O5" s="1417"/>
      <c r="P5" s="1417"/>
      <c r="Q5" s="1417"/>
      <c r="R5" s="1417"/>
      <c r="S5" s="1418"/>
      <c r="T5" s="35"/>
      <c r="U5" s="35"/>
      <c r="V5" s="35"/>
      <c r="W5" s="35"/>
      <c r="X5" s="35"/>
      <c r="Y5" s="48"/>
      <c r="Z5" s="49"/>
      <c r="AA5" s="50"/>
      <c r="AB5" s="35"/>
      <c r="AH5" s="1410"/>
      <c r="AI5" s="1411"/>
      <c r="AJ5" s="1411"/>
      <c r="AK5" s="1411"/>
      <c r="AL5" s="1411"/>
      <c r="AM5" s="1411"/>
      <c r="AN5" s="1411"/>
      <c r="AO5" s="1411"/>
      <c r="AP5" s="1411"/>
      <c r="AQ5" s="1411"/>
      <c r="AR5" s="1411"/>
      <c r="AS5" s="1411"/>
      <c r="AT5" s="1411"/>
      <c r="AU5" s="1411"/>
      <c r="AV5" s="1411"/>
      <c r="AW5" s="1411"/>
      <c r="AX5" s="1411"/>
      <c r="AY5" s="1411"/>
      <c r="AZ5" s="1411"/>
      <c r="BA5" s="1411"/>
      <c r="BB5" s="1411"/>
      <c r="BC5" s="1411"/>
      <c r="BD5" s="1411"/>
      <c r="BE5" s="1411"/>
      <c r="BF5" s="1411"/>
      <c r="BG5" s="1411"/>
      <c r="BH5" s="1411"/>
      <c r="BI5" s="1411"/>
      <c r="BJ5" s="1411"/>
      <c r="BK5" s="1411"/>
      <c r="BL5" s="1411"/>
      <c r="BM5" s="1412"/>
    </row>
    <row r="6" spans="2:65" ht="9" customHeight="1" thickBot="1">
      <c r="C6" s="35"/>
      <c r="D6" s="35"/>
      <c r="E6" s="35"/>
      <c r="F6" s="35"/>
      <c r="G6" s="35"/>
      <c r="H6" s="35"/>
      <c r="I6" s="35"/>
      <c r="J6" s="35"/>
      <c r="K6" s="35"/>
      <c r="L6" s="35"/>
      <c r="M6" s="1419"/>
      <c r="N6" s="1420"/>
      <c r="O6" s="1420"/>
      <c r="P6" s="1420"/>
      <c r="Q6" s="1420"/>
      <c r="R6" s="1420"/>
      <c r="S6" s="1421"/>
      <c r="T6" s="35"/>
      <c r="U6" s="35"/>
      <c r="V6" s="35"/>
      <c r="W6" s="35"/>
      <c r="X6" s="35"/>
      <c r="Y6" s="35"/>
      <c r="Z6" s="35"/>
      <c r="AA6" s="30"/>
      <c r="AB6" s="35"/>
    </row>
    <row r="7" spans="2:65" ht="5.0999999999999996" customHeight="1" thickTop="1">
      <c r="C7" s="35"/>
      <c r="D7" s="51"/>
      <c r="E7" s="51"/>
      <c r="F7" s="51"/>
      <c r="G7" s="51"/>
      <c r="H7" s="51"/>
      <c r="I7" s="51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</row>
    <row r="8" spans="2:65" s="26" customFormat="1" ht="6" customHeight="1">
      <c r="B8" s="70"/>
      <c r="D8" s="52"/>
      <c r="E8" s="52"/>
      <c r="F8" s="52"/>
      <c r="G8" s="52"/>
      <c r="H8" s="52"/>
      <c r="I8" s="52"/>
    </row>
    <row r="9" spans="2:65" ht="18" customHeight="1">
      <c r="D9" s="34" t="s">
        <v>304</v>
      </c>
    </row>
    <row r="10" spans="2:65" ht="12.2" customHeight="1">
      <c r="D10" s="25" t="s">
        <v>305</v>
      </c>
    </row>
    <row r="11" spans="2:65" ht="12.2" customHeight="1">
      <c r="D11" s="25" t="s">
        <v>306</v>
      </c>
    </row>
    <row r="12" spans="2:65" s="26" customFormat="1" ht="6" customHeight="1">
      <c r="B12" s="25"/>
      <c r="D12" s="52"/>
      <c r="E12" s="52"/>
      <c r="F12" s="52"/>
      <c r="G12" s="52"/>
      <c r="H12" s="52"/>
      <c r="I12" s="52"/>
    </row>
    <row r="13" spans="2:65" ht="12.2" customHeight="1">
      <c r="D13" s="25" t="s">
        <v>307</v>
      </c>
    </row>
    <row r="14" spans="2:65" ht="18" customHeight="1">
      <c r="D14" s="34" t="s">
        <v>518</v>
      </c>
    </row>
    <row r="15" spans="2:65" s="26" customFormat="1" ht="6" customHeight="1" thickBot="1">
      <c r="B15" s="25"/>
      <c r="D15" s="52"/>
      <c r="E15" s="52"/>
      <c r="F15" s="52"/>
      <c r="G15" s="52"/>
      <c r="H15" s="52"/>
      <c r="I15" s="52"/>
    </row>
    <row r="16" spans="2:65" s="61" customFormat="1" ht="14.1" customHeight="1">
      <c r="B16" s="682"/>
      <c r="D16" s="683" t="s">
        <v>660</v>
      </c>
      <c r="E16" s="684"/>
      <c r="F16" s="684"/>
      <c r="G16" s="684"/>
      <c r="H16" s="684"/>
      <c r="I16" s="684"/>
      <c r="J16" s="684"/>
      <c r="K16" s="684"/>
      <c r="L16" s="684"/>
      <c r="M16" s="684"/>
      <c r="N16" s="684"/>
      <c r="O16" s="684"/>
      <c r="P16" s="684"/>
      <c r="Q16" s="684"/>
      <c r="R16" s="684"/>
      <c r="S16" s="684"/>
      <c r="T16" s="684"/>
      <c r="U16" s="684"/>
      <c r="V16" s="684"/>
      <c r="W16" s="684"/>
      <c r="X16" s="684"/>
      <c r="Y16" s="684"/>
      <c r="Z16" s="684"/>
      <c r="AA16" s="684"/>
      <c r="AB16" s="685"/>
    </row>
    <row r="17" spans="2:28" s="61" customFormat="1" ht="14.1" customHeight="1">
      <c r="B17" s="682"/>
      <c r="D17" s="686" t="s">
        <v>1449</v>
      </c>
      <c r="E17" s="687"/>
      <c r="F17" s="687"/>
      <c r="G17" s="687"/>
      <c r="H17" s="687"/>
      <c r="I17" s="687"/>
      <c r="J17" s="687"/>
      <c r="K17" s="687"/>
      <c r="L17" s="687"/>
      <c r="M17" s="687"/>
      <c r="N17" s="687"/>
      <c r="O17" s="687"/>
      <c r="P17" s="687"/>
      <c r="Q17" s="687"/>
      <c r="R17" s="687"/>
      <c r="S17" s="687"/>
      <c r="T17" s="687"/>
      <c r="U17" s="687"/>
      <c r="V17" s="687"/>
      <c r="W17" s="687"/>
      <c r="X17" s="687"/>
      <c r="Y17" s="687"/>
      <c r="Z17" s="687"/>
      <c r="AA17" s="687"/>
      <c r="AB17" s="688"/>
    </row>
    <row r="18" spans="2:28" s="61" customFormat="1" ht="14.1" customHeight="1" thickBot="1">
      <c r="B18" s="682"/>
      <c r="D18" s="689" t="s">
        <v>661</v>
      </c>
      <c r="E18" s="687"/>
      <c r="F18" s="687"/>
      <c r="G18" s="687"/>
      <c r="H18" s="687"/>
      <c r="I18" s="687"/>
      <c r="J18" s="687"/>
      <c r="K18" s="687"/>
      <c r="L18" s="687"/>
      <c r="M18" s="687"/>
      <c r="N18" s="687"/>
      <c r="O18" s="687"/>
      <c r="P18" s="687"/>
      <c r="Q18" s="687"/>
      <c r="R18" s="687"/>
      <c r="S18" s="687"/>
      <c r="T18" s="687"/>
      <c r="U18" s="687"/>
      <c r="V18" s="687"/>
      <c r="W18" s="687"/>
      <c r="X18" s="687"/>
      <c r="Y18" s="687"/>
      <c r="Z18" s="687"/>
      <c r="AA18" s="687"/>
      <c r="AB18" s="688"/>
    </row>
    <row r="19" spans="2:28" ht="12.2" customHeight="1" thickBot="1">
      <c r="D19" s="1422" t="s">
        <v>182</v>
      </c>
      <c r="E19" s="1423"/>
      <c r="F19" s="1423"/>
      <c r="G19" s="1423"/>
      <c r="H19" s="1423"/>
      <c r="I19" s="1423"/>
      <c r="J19" s="1424"/>
      <c r="K19" s="693" t="s">
        <v>1115</v>
      </c>
      <c r="L19" s="690"/>
      <c r="M19" s="690"/>
      <c r="N19" s="690"/>
      <c r="O19" s="690"/>
      <c r="P19" s="690"/>
      <c r="Q19" s="690"/>
      <c r="R19" s="691"/>
      <c r="S19" s="690"/>
      <c r="T19" s="690"/>
      <c r="U19" s="690"/>
      <c r="V19" s="690"/>
      <c r="W19" s="690"/>
      <c r="X19" s="690"/>
      <c r="Y19" s="690"/>
      <c r="Z19" s="690"/>
      <c r="AA19" s="690"/>
      <c r="AB19" s="692"/>
    </row>
    <row r="20" spans="2:28" ht="13.9" customHeight="1">
      <c r="C20" s="26"/>
      <c r="D20" s="1139"/>
      <c r="E20" s="1140"/>
      <c r="F20" s="1140"/>
      <c r="G20" s="1140"/>
      <c r="H20" s="1140"/>
      <c r="I20" s="1140"/>
      <c r="J20" s="1140"/>
      <c r="K20" s="1140"/>
      <c r="L20" s="1140"/>
      <c r="M20" s="1140"/>
      <c r="N20" s="1140"/>
      <c r="O20" s="1140"/>
      <c r="P20" s="1140"/>
      <c r="Q20" s="1140"/>
      <c r="R20" s="1140"/>
      <c r="S20" s="1140"/>
      <c r="T20" s="1140"/>
      <c r="U20" s="1140"/>
      <c r="V20" s="1140"/>
      <c r="W20" s="1140"/>
      <c r="X20" s="1140"/>
      <c r="Y20" s="1140"/>
      <c r="Z20" s="1140"/>
      <c r="AA20" s="1140"/>
      <c r="AB20" s="1140"/>
    </row>
    <row r="21" spans="2:28" ht="13.9" customHeight="1">
      <c r="C21" s="1432" t="s">
        <v>1464</v>
      </c>
      <c r="D21" s="1240" t="s">
        <v>1450</v>
      </c>
      <c r="E21" s="1140"/>
      <c r="F21" s="1140"/>
      <c r="G21" s="1140"/>
      <c r="H21" s="1140"/>
      <c r="I21" s="1140"/>
      <c r="J21" s="1140"/>
      <c r="K21" s="1140"/>
      <c r="L21" s="1140"/>
      <c r="M21" s="1140"/>
      <c r="N21" s="1140"/>
      <c r="O21" s="1140"/>
      <c r="P21" s="1140"/>
      <c r="Q21" s="1140"/>
      <c r="R21" s="1140"/>
      <c r="S21" s="1140"/>
      <c r="T21" s="1140"/>
      <c r="U21" s="1140"/>
      <c r="V21" s="1140"/>
      <c r="W21" s="1140"/>
      <c r="X21" s="1140"/>
      <c r="Y21" s="1140"/>
      <c r="Z21" s="1140"/>
      <c r="AA21" s="1140"/>
      <c r="AB21" s="1140"/>
    </row>
    <row r="22" spans="2:28" ht="13.9" customHeight="1">
      <c r="C22" s="1433"/>
      <c r="D22" s="1219" t="s">
        <v>1451</v>
      </c>
      <c r="E22" s="1140"/>
      <c r="F22" s="1140"/>
      <c r="G22" s="1140"/>
      <c r="H22" s="1140"/>
      <c r="I22" s="1140"/>
      <c r="J22" s="1140"/>
      <c r="K22" s="1140"/>
      <c r="L22" s="1140"/>
      <c r="M22" s="1140"/>
      <c r="N22" s="1140"/>
      <c r="O22" s="1140"/>
      <c r="P22" s="1140"/>
      <c r="Q22" s="1140"/>
      <c r="R22" s="1140"/>
      <c r="S22" s="1140"/>
      <c r="T22" s="1140"/>
      <c r="U22" s="1140"/>
      <c r="V22" s="1140"/>
      <c r="W22" s="1140"/>
      <c r="X22" s="1140"/>
      <c r="Y22" s="1140"/>
      <c r="Z22" s="1140"/>
      <c r="AA22" s="1140"/>
      <c r="AB22" s="1140"/>
    </row>
    <row r="23" spans="2:28" ht="13.9" customHeight="1">
      <c r="C23" s="1433"/>
      <c r="D23" s="1219" t="s">
        <v>1452</v>
      </c>
      <c r="E23" s="1140"/>
      <c r="F23" s="1140"/>
      <c r="G23" s="1140"/>
      <c r="H23" s="1140"/>
      <c r="I23" s="1140"/>
      <c r="J23" s="1140"/>
      <c r="K23" s="1140"/>
      <c r="L23" s="1140"/>
      <c r="M23" s="1140"/>
      <c r="N23" s="1140"/>
      <c r="O23" s="1140"/>
      <c r="P23" s="1140"/>
      <c r="Q23" s="1140"/>
      <c r="R23" s="1140"/>
      <c r="S23" s="1140"/>
      <c r="T23" s="1140"/>
      <c r="U23" s="1140"/>
      <c r="V23" s="1140"/>
      <c r="W23" s="1140"/>
      <c r="X23" s="1140"/>
      <c r="Y23" s="1140"/>
      <c r="Z23" s="1140"/>
      <c r="AA23" s="1140"/>
      <c r="AB23" s="1140"/>
    </row>
    <row r="24" spans="2:28" ht="13.9" customHeight="1">
      <c r="C24" s="1433"/>
      <c r="D24" s="1219" t="s">
        <v>1465</v>
      </c>
      <c r="E24" s="1140"/>
      <c r="F24" s="1140"/>
      <c r="G24" s="1140"/>
      <c r="H24" s="1140"/>
      <c r="I24" s="1140"/>
      <c r="J24" s="1140"/>
      <c r="K24" s="1140"/>
      <c r="L24" s="1140"/>
      <c r="M24" s="1140"/>
      <c r="N24" s="1140"/>
      <c r="O24" s="1140"/>
      <c r="P24" s="1140"/>
      <c r="Q24" s="1140"/>
      <c r="R24" s="1140"/>
      <c r="S24" s="1140"/>
      <c r="T24" s="1140"/>
      <c r="U24" s="1140"/>
      <c r="V24" s="1140"/>
      <c r="W24" s="1140"/>
      <c r="X24" s="1140"/>
      <c r="Y24" s="1140"/>
      <c r="Z24" s="1140"/>
      <c r="AA24" s="1140"/>
      <c r="AB24" s="1140"/>
    </row>
    <row r="25" spans="2:28" ht="13.9" customHeight="1">
      <c r="C25" s="1433"/>
      <c r="D25" s="1219"/>
      <c r="E25" s="1238" t="s">
        <v>1498</v>
      </c>
      <c r="F25" s="1140"/>
      <c r="G25" s="1140"/>
      <c r="H25" s="1140"/>
      <c r="I25" s="1140"/>
      <c r="J25" s="1140"/>
      <c r="K25" s="1140"/>
      <c r="L25" s="1140"/>
      <c r="M25" s="1140"/>
      <c r="N25" s="1140"/>
      <c r="O25" s="1140"/>
      <c r="P25" s="1140"/>
      <c r="Q25" s="1140"/>
      <c r="R25" s="1140"/>
      <c r="S25" s="1140"/>
      <c r="T25" s="1140"/>
      <c r="U25" s="1140"/>
      <c r="V25" s="1140"/>
      <c r="W25" s="1140"/>
      <c r="X25" s="1140"/>
      <c r="Y25" s="1140"/>
      <c r="Z25" s="1140"/>
      <c r="AA25" s="1140"/>
      <c r="AB25" s="1140"/>
    </row>
    <row r="26" spans="2:28" ht="13.9" customHeight="1">
      <c r="C26" s="1433"/>
      <c r="D26" s="1219"/>
      <c r="E26" s="1238" t="s">
        <v>1457</v>
      </c>
      <c r="F26" s="1140"/>
      <c r="G26" s="1140"/>
      <c r="H26" s="1140"/>
      <c r="I26" s="1140"/>
      <c r="J26" s="1140"/>
      <c r="K26" s="1140"/>
      <c r="L26" s="1140"/>
      <c r="M26" s="1140"/>
      <c r="N26" s="1140"/>
      <c r="O26" s="1140"/>
      <c r="P26" s="1140"/>
      <c r="Q26" s="1140"/>
      <c r="R26" s="1140"/>
      <c r="S26" s="1140"/>
      <c r="T26" s="1140"/>
      <c r="U26" s="1140"/>
      <c r="V26" s="1140"/>
      <c r="W26" s="1140"/>
      <c r="X26" s="1140"/>
      <c r="Y26" s="1140"/>
      <c r="Z26" s="1140"/>
      <c r="AA26" s="1140"/>
      <c r="AB26" s="1140"/>
    </row>
    <row r="27" spans="2:28" ht="13.9" customHeight="1">
      <c r="C27" s="1433"/>
      <c r="D27" s="1219"/>
      <c r="E27" s="1238" t="s">
        <v>1576</v>
      </c>
      <c r="F27" s="1140"/>
      <c r="G27" s="1140"/>
      <c r="H27" s="1140"/>
      <c r="I27" s="1140"/>
      <c r="J27" s="1140"/>
      <c r="K27" s="1140"/>
      <c r="L27" s="1140"/>
      <c r="M27" s="1140"/>
      <c r="N27" s="1140"/>
      <c r="O27" s="1140"/>
      <c r="P27" s="1140"/>
      <c r="Q27" s="1140"/>
      <c r="R27" s="1140"/>
      <c r="S27" s="1140"/>
      <c r="T27" s="1140"/>
      <c r="U27" s="1140"/>
      <c r="V27" s="1140"/>
      <c r="W27" s="1140"/>
      <c r="X27" s="1140"/>
      <c r="Y27" s="1140"/>
      <c r="Z27" s="1140"/>
      <c r="AA27" s="1140"/>
      <c r="AB27" s="1140"/>
    </row>
    <row r="28" spans="2:28" ht="13.9" customHeight="1">
      <c r="C28" s="1433"/>
      <c r="D28" s="1219"/>
      <c r="E28" s="1238" t="s">
        <v>1459</v>
      </c>
      <c r="F28" s="1140"/>
      <c r="G28" s="1140"/>
      <c r="H28" s="1140"/>
      <c r="I28" s="1140"/>
      <c r="J28" s="1140"/>
      <c r="K28" s="1140"/>
      <c r="L28" s="1140"/>
      <c r="M28" s="1140"/>
      <c r="N28" s="1140"/>
      <c r="O28" s="1140"/>
      <c r="P28" s="1140"/>
      <c r="Q28" s="1140"/>
      <c r="R28" s="1140"/>
      <c r="S28" s="1140"/>
      <c r="T28" s="1140"/>
      <c r="U28" s="1140"/>
      <c r="V28" s="1140"/>
      <c r="W28" s="1140"/>
      <c r="X28" s="1140"/>
      <c r="Y28" s="1140"/>
      <c r="Z28" s="1140"/>
      <c r="AA28" s="1140"/>
      <c r="AB28" s="1140"/>
    </row>
    <row r="29" spans="2:28" ht="13.9" customHeight="1">
      <c r="C29" s="1433"/>
      <c r="D29" s="1219"/>
      <c r="E29" s="1238" t="s">
        <v>1458</v>
      </c>
      <c r="F29" s="1140"/>
      <c r="G29" s="1140"/>
      <c r="H29" s="1140"/>
      <c r="I29" s="1140"/>
      <c r="J29" s="1140"/>
      <c r="K29" s="1140"/>
      <c r="L29" s="1140"/>
      <c r="M29" s="1140"/>
      <c r="N29" s="1140"/>
      <c r="O29" s="1140"/>
      <c r="P29" s="1140"/>
      <c r="Q29" s="1140"/>
      <c r="R29" s="1140"/>
      <c r="S29" s="1140"/>
      <c r="T29" s="1140"/>
      <c r="U29" s="1140"/>
      <c r="V29" s="1140"/>
      <c r="W29" s="1140"/>
      <c r="X29" s="1140"/>
      <c r="Y29" s="1140"/>
      <c r="Z29" s="1140"/>
      <c r="AA29" s="1140"/>
      <c r="AB29" s="1140"/>
    </row>
    <row r="30" spans="2:28" ht="13.9" customHeight="1">
      <c r="C30" s="1433"/>
      <c r="D30" s="1219"/>
      <c r="E30" s="1238" t="s">
        <v>1461</v>
      </c>
      <c r="F30" s="1140"/>
      <c r="G30" s="1140"/>
      <c r="H30" s="1140"/>
      <c r="I30" s="1140"/>
      <c r="J30" s="1140"/>
      <c r="K30" s="1140"/>
      <c r="L30" s="1140"/>
      <c r="M30" s="1140"/>
      <c r="N30" s="1140"/>
      <c r="O30" s="1140"/>
      <c r="P30" s="1140"/>
      <c r="Q30" s="1140"/>
      <c r="R30" s="1140"/>
      <c r="S30" s="1140"/>
      <c r="T30" s="1140"/>
      <c r="U30" s="1140"/>
      <c r="V30" s="1140"/>
      <c r="W30" s="1140"/>
      <c r="X30" s="1140"/>
      <c r="Y30" s="1140"/>
      <c r="Z30" s="1140"/>
      <c r="AA30" s="1140"/>
      <c r="AB30" s="1140"/>
    </row>
    <row r="31" spans="2:28" ht="13.9" customHeight="1">
      <c r="C31" s="1433"/>
      <c r="D31" s="1219"/>
      <c r="E31" s="1238" t="s">
        <v>1460</v>
      </c>
      <c r="F31" s="1140"/>
      <c r="G31" s="1140"/>
      <c r="H31" s="1140"/>
      <c r="I31" s="1140"/>
      <c r="J31" s="1140"/>
      <c r="K31" s="1140"/>
      <c r="L31" s="1140"/>
      <c r="M31" s="1140"/>
      <c r="N31" s="1140"/>
      <c r="O31" s="1140"/>
      <c r="P31" s="1140"/>
      <c r="Q31" s="1140"/>
      <c r="R31" s="1140"/>
      <c r="S31" s="1140"/>
      <c r="T31" s="1140"/>
      <c r="U31" s="1140"/>
      <c r="V31" s="1140"/>
      <c r="W31" s="1140"/>
      <c r="X31" s="1140"/>
      <c r="Y31" s="1140"/>
      <c r="Z31" s="1140"/>
      <c r="AA31" s="1140"/>
      <c r="AB31" s="1140"/>
    </row>
    <row r="32" spans="2:28" ht="13.9" customHeight="1">
      <c r="C32" s="1433"/>
      <c r="D32" s="1219"/>
      <c r="E32" s="1239" t="s">
        <v>1462</v>
      </c>
      <c r="F32" s="1140"/>
      <c r="G32" s="1140"/>
      <c r="H32" s="1140"/>
      <c r="I32" s="1140"/>
      <c r="J32" s="1140"/>
      <c r="K32" s="1140"/>
      <c r="L32" s="1140"/>
      <c r="M32" s="1140"/>
      <c r="N32" s="1140"/>
      <c r="O32" s="1140"/>
      <c r="P32" s="1140"/>
      <c r="Q32" s="1140"/>
      <c r="R32" s="1140"/>
      <c r="S32" s="1140"/>
      <c r="T32" s="1140"/>
      <c r="U32" s="1140"/>
      <c r="V32" s="1140"/>
      <c r="W32" s="1140"/>
      <c r="X32" s="1140"/>
      <c r="Y32" s="1140"/>
      <c r="Z32" s="1140"/>
      <c r="AA32" s="1140"/>
      <c r="AB32" s="1140"/>
    </row>
    <row r="33" spans="3:28" ht="13.9" customHeight="1">
      <c r="C33" s="1433"/>
      <c r="D33" s="1219"/>
      <c r="E33" s="1239" t="s">
        <v>1463</v>
      </c>
      <c r="F33" s="1140"/>
      <c r="G33" s="1140"/>
      <c r="H33" s="1140"/>
      <c r="I33" s="1140"/>
      <c r="J33" s="1140"/>
      <c r="K33" s="1140"/>
      <c r="L33" s="1140"/>
      <c r="M33" s="1140"/>
      <c r="N33" s="1140"/>
      <c r="O33" s="1140"/>
      <c r="P33" s="1140"/>
      <c r="Q33" s="1140"/>
      <c r="R33" s="1140"/>
      <c r="S33" s="1140"/>
      <c r="T33" s="1140"/>
      <c r="U33" s="1140"/>
      <c r="V33" s="1140"/>
      <c r="W33" s="1140"/>
      <c r="X33" s="1140"/>
      <c r="Y33" s="1140"/>
      <c r="Z33" s="1140"/>
      <c r="AA33" s="1140"/>
      <c r="AB33" s="1140"/>
    </row>
    <row r="34" spans="3:28" ht="13.9" customHeight="1">
      <c r="C34" s="1433"/>
      <c r="D34" s="1219"/>
      <c r="E34" s="1239" t="s">
        <v>1577</v>
      </c>
      <c r="F34" s="1140"/>
      <c r="G34" s="1140"/>
      <c r="H34" s="1140"/>
      <c r="I34" s="1140"/>
      <c r="J34" s="1140"/>
      <c r="K34" s="1140"/>
      <c r="L34" s="1140"/>
      <c r="M34" s="1140"/>
      <c r="N34" s="1140"/>
      <c r="O34" s="1140"/>
      <c r="P34" s="1140"/>
      <c r="Q34" s="1140"/>
      <c r="R34" s="1140"/>
      <c r="S34" s="1140"/>
      <c r="T34" s="1140"/>
      <c r="U34" s="1140"/>
      <c r="V34" s="1140"/>
      <c r="W34" s="1140"/>
      <c r="X34" s="1140"/>
      <c r="Y34" s="1140"/>
      <c r="Z34" s="1140"/>
      <c r="AA34" s="1140"/>
      <c r="AB34" s="1140"/>
    </row>
    <row r="35" spans="3:28" ht="13.9" customHeight="1">
      <c r="C35" s="1434"/>
      <c r="D35" s="1219"/>
      <c r="E35" s="1140"/>
      <c r="F35" s="1140"/>
      <c r="G35" s="1140"/>
      <c r="H35" s="1140"/>
      <c r="I35" s="1140"/>
      <c r="J35" s="1140"/>
      <c r="K35" s="1140"/>
      <c r="L35" s="1140"/>
      <c r="M35" s="1140"/>
      <c r="N35" s="1140"/>
      <c r="O35" s="1140"/>
      <c r="P35" s="1140"/>
      <c r="Q35" s="1140"/>
      <c r="R35" s="1140"/>
      <c r="S35" s="1140"/>
      <c r="T35" s="1140"/>
      <c r="U35" s="1140"/>
      <c r="V35" s="1140"/>
      <c r="W35" s="1140"/>
      <c r="X35" s="1140"/>
      <c r="Y35" s="1140"/>
      <c r="Z35" s="1140"/>
      <c r="AA35" s="1140"/>
      <c r="AB35" s="1140"/>
    </row>
    <row r="36" spans="3:28" ht="13.9" customHeight="1">
      <c r="C36" s="26"/>
      <c r="D36" s="1219"/>
      <c r="E36" s="1140"/>
      <c r="F36" s="1140"/>
      <c r="G36" s="1140"/>
      <c r="H36" s="1140"/>
      <c r="I36" s="1140"/>
      <c r="J36" s="1140"/>
      <c r="K36" s="1140"/>
      <c r="L36" s="1140"/>
      <c r="M36" s="1140"/>
      <c r="N36" s="1140"/>
      <c r="O36" s="1140"/>
      <c r="P36" s="1140"/>
      <c r="Q36" s="1140"/>
      <c r="R36" s="1140"/>
      <c r="S36" s="1140"/>
      <c r="T36" s="1140"/>
      <c r="U36" s="1140"/>
      <c r="V36" s="1140"/>
      <c r="W36" s="1140"/>
      <c r="X36" s="1140"/>
      <c r="Y36" s="1140"/>
      <c r="Z36" s="1140"/>
      <c r="AA36" s="1140"/>
      <c r="AB36" s="1140"/>
    </row>
    <row r="37" spans="3:28" ht="13.9" customHeight="1">
      <c r="C37" s="1432" t="s">
        <v>1299</v>
      </c>
      <c r="D37" s="1240" t="s">
        <v>1301</v>
      </c>
      <c r="E37" s="1140"/>
      <c r="F37" s="1140"/>
      <c r="G37" s="1140"/>
      <c r="H37" s="1140"/>
      <c r="I37" s="1140"/>
      <c r="J37" s="1140"/>
      <c r="K37" s="1140"/>
      <c r="L37" s="1140"/>
      <c r="M37" s="1140"/>
      <c r="N37" s="1140"/>
      <c r="O37" s="1140"/>
      <c r="P37" s="1140"/>
      <c r="Q37" s="1140"/>
      <c r="R37" s="1140"/>
      <c r="S37" s="1140"/>
      <c r="T37" s="1140"/>
      <c r="U37" s="1140"/>
      <c r="V37" s="1140"/>
      <c r="W37" s="1140"/>
      <c r="X37" s="1140"/>
      <c r="Y37" s="1140"/>
      <c r="Z37" s="1140"/>
      <c r="AA37" s="1140"/>
      <c r="AB37" s="1140"/>
    </row>
    <row r="38" spans="3:28" ht="13.9" customHeight="1">
      <c r="C38" s="1433"/>
      <c r="D38" s="1219" t="s">
        <v>1302</v>
      </c>
      <c r="E38" s="1140"/>
      <c r="F38" s="1140"/>
      <c r="G38" s="1140"/>
      <c r="H38" s="1140"/>
      <c r="I38" s="1140"/>
      <c r="J38" s="1140"/>
      <c r="K38" s="1140"/>
      <c r="L38" s="1140"/>
      <c r="M38" s="1140"/>
      <c r="N38" s="1140"/>
      <c r="O38" s="1140"/>
      <c r="P38" s="1140"/>
      <c r="Q38" s="1140"/>
      <c r="R38" s="1140"/>
      <c r="S38" s="1140"/>
      <c r="T38" s="1140"/>
      <c r="U38" s="1140"/>
      <c r="V38" s="1140"/>
      <c r="W38" s="1140"/>
      <c r="X38" s="1140"/>
      <c r="Y38" s="1140"/>
      <c r="Z38" s="1140"/>
      <c r="AA38" s="1140"/>
      <c r="AB38" s="1140"/>
    </row>
    <row r="39" spans="3:28" ht="13.9" customHeight="1">
      <c r="C39" s="1433"/>
      <c r="D39" s="1219" t="s">
        <v>1303</v>
      </c>
      <c r="E39" s="1219"/>
      <c r="F39" s="1140"/>
      <c r="G39" s="1140"/>
      <c r="H39" s="1140"/>
      <c r="I39" s="1140"/>
      <c r="J39" s="1140"/>
      <c r="K39" s="1140"/>
      <c r="L39" s="1140"/>
      <c r="M39" s="1140"/>
      <c r="N39" s="1140"/>
      <c r="O39" s="1140"/>
      <c r="P39" s="1140"/>
      <c r="Q39" s="1140"/>
      <c r="R39" s="1140"/>
      <c r="S39" s="1140"/>
      <c r="T39" s="1140"/>
      <c r="U39" s="1140"/>
      <c r="V39" s="1140"/>
      <c r="W39" s="1140"/>
      <c r="X39" s="1140"/>
      <c r="Y39" s="1140"/>
      <c r="Z39" s="1140"/>
      <c r="AA39" s="1140"/>
      <c r="AB39" s="1140"/>
    </row>
    <row r="40" spans="3:28" ht="13.9" customHeight="1">
      <c r="C40" s="1433"/>
      <c r="D40" s="1219" t="s">
        <v>1304</v>
      </c>
      <c r="E40" s="1219"/>
      <c r="F40" s="1140"/>
      <c r="G40" s="1140"/>
      <c r="H40" s="1140"/>
      <c r="I40" s="1140"/>
      <c r="J40" s="1140"/>
      <c r="K40" s="1140"/>
      <c r="L40" s="1140"/>
      <c r="M40" s="1140"/>
      <c r="N40" s="1140"/>
      <c r="O40" s="1140"/>
      <c r="P40" s="1140"/>
      <c r="Q40" s="1140"/>
      <c r="R40" s="1140"/>
      <c r="S40" s="1140"/>
      <c r="T40" s="1140"/>
      <c r="U40" s="1140"/>
      <c r="V40" s="1140"/>
      <c r="W40" s="1140"/>
      <c r="X40" s="1140"/>
      <c r="Y40" s="1140"/>
      <c r="Z40" s="1140"/>
      <c r="AA40" s="1140"/>
      <c r="AB40" s="1140"/>
    </row>
    <row r="41" spans="3:28" ht="13.9" customHeight="1">
      <c r="C41" s="1433"/>
      <c r="D41" s="1219" t="s">
        <v>1305</v>
      </c>
      <c r="E41" s="1219"/>
      <c r="F41" s="1140"/>
      <c r="G41" s="1140"/>
      <c r="H41" s="1140"/>
      <c r="I41" s="1140"/>
      <c r="J41" s="1140"/>
      <c r="K41" s="1140"/>
      <c r="L41" s="1140"/>
      <c r="M41" s="1140"/>
      <c r="N41" s="1140"/>
      <c r="O41" s="1140"/>
      <c r="P41" s="1140"/>
      <c r="Q41" s="1140"/>
      <c r="R41" s="1140"/>
      <c r="S41" s="1140"/>
      <c r="T41" s="1140"/>
      <c r="U41" s="1140"/>
      <c r="V41" s="1140"/>
      <c r="W41" s="1140"/>
      <c r="X41" s="1140"/>
      <c r="Y41" s="1140"/>
      <c r="Z41" s="1140"/>
      <c r="AA41" s="1140"/>
      <c r="AB41" s="1140"/>
    </row>
    <row r="42" spans="3:28" ht="13.9" customHeight="1">
      <c r="C42" s="1433"/>
      <c r="D42" s="1219" t="s">
        <v>1306</v>
      </c>
      <c r="E42" s="1219"/>
      <c r="F42" s="1140"/>
      <c r="G42" s="1140"/>
      <c r="H42" s="1140"/>
      <c r="I42" s="1140"/>
      <c r="J42" s="1140"/>
      <c r="K42" s="1140"/>
      <c r="L42" s="1140"/>
      <c r="M42" s="1140"/>
      <c r="N42" s="1140"/>
      <c r="O42" s="1140"/>
      <c r="P42" s="1140"/>
      <c r="Q42" s="1140"/>
      <c r="R42" s="1140"/>
      <c r="S42" s="1140"/>
      <c r="T42" s="1140"/>
      <c r="U42" s="1140"/>
      <c r="V42" s="1140"/>
      <c r="W42" s="1140"/>
      <c r="X42" s="1140"/>
      <c r="Y42" s="1140"/>
      <c r="Z42" s="1140"/>
      <c r="AA42" s="1140"/>
      <c r="AB42" s="1140"/>
    </row>
    <row r="43" spans="3:28" ht="13.9" customHeight="1">
      <c r="C43" s="1433"/>
      <c r="D43" s="1219" t="s">
        <v>1307</v>
      </c>
      <c r="E43" s="1219"/>
      <c r="F43" s="1140"/>
      <c r="G43" s="1140"/>
      <c r="H43" s="1140"/>
      <c r="I43" s="1140"/>
      <c r="J43" s="1140"/>
      <c r="K43" s="1140"/>
      <c r="L43" s="1140"/>
      <c r="M43" s="1140"/>
      <c r="N43" s="1140"/>
      <c r="O43" s="1140"/>
      <c r="P43" s="1140"/>
      <c r="Q43" s="1140"/>
      <c r="R43" s="1140"/>
      <c r="S43" s="1140"/>
      <c r="T43" s="1140"/>
      <c r="U43" s="1140"/>
      <c r="V43" s="1140"/>
      <c r="W43" s="1140"/>
      <c r="X43" s="1140"/>
      <c r="Y43" s="1140"/>
      <c r="Z43" s="1140"/>
      <c r="AA43" s="1140"/>
      <c r="AB43" s="1140"/>
    </row>
    <row r="44" spans="3:28" ht="13.9" customHeight="1">
      <c r="C44" s="1433"/>
      <c r="D44" s="1219" t="s">
        <v>1308</v>
      </c>
      <c r="E44" s="1219"/>
      <c r="F44" s="1140"/>
      <c r="G44" s="1140"/>
      <c r="H44" s="1140"/>
      <c r="I44" s="1140"/>
      <c r="J44" s="1140"/>
      <c r="K44" s="1140"/>
      <c r="L44" s="1140"/>
      <c r="M44" s="1140"/>
      <c r="N44" s="1140"/>
      <c r="O44" s="1140"/>
      <c r="P44" s="1140"/>
      <c r="Q44" s="1140"/>
      <c r="R44" s="1140"/>
      <c r="S44" s="1140"/>
      <c r="T44" s="1140"/>
      <c r="U44" s="1140"/>
      <c r="V44" s="1140"/>
      <c r="W44" s="1140"/>
      <c r="X44" s="1140"/>
      <c r="Y44" s="1140"/>
      <c r="Z44" s="1140"/>
      <c r="AA44" s="1140"/>
      <c r="AB44" s="1140"/>
    </row>
    <row r="45" spans="3:28" ht="13.9" customHeight="1">
      <c r="C45" s="1433"/>
      <c r="D45" s="1219" t="s">
        <v>1344</v>
      </c>
      <c r="E45" s="1219"/>
      <c r="F45" s="1140"/>
      <c r="G45" s="1140"/>
      <c r="H45" s="1140"/>
      <c r="I45" s="1140"/>
      <c r="J45" s="1140"/>
      <c r="K45" s="1140"/>
      <c r="L45" s="1140"/>
      <c r="M45" s="1140"/>
      <c r="N45" s="1140"/>
      <c r="O45" s="1140"/>
      <c r="P45" s="1140"/>
      <c r="Q45" s="1140"/>
      <c r="R45" s="1140"/>
      <c r="S45" s="1140"/>
      <c r="T45" s="1140"/>
      <c r="U45" s="1140"/>
      <c r="V45" s="1140"/>
      <c r="W45" s="1140"/>
      <c r="X45" s="1140"/>
      <c r="Y45" s="1140"/>
      <c r="Z45" s="1140"/>
      <c r="AA45" s="1140"/>
      <c r="AB45" s="1140"/>
    </row>
    <row r="46" spans="3:28" ht="13.9" customHeight="1">
      <c r="C46" s="1433"/>
      <c r="D46" s="1220"/>
      <c r="E46" s="1238" t="s">
        <v>1309</v>
      </c>
      <c r="F46" s="1140"/>
      <c r="G46" s="1140"/>
      <c r="H46" s="1140"/>
      <c r="I46" s="1140"/>
      <c r="J46" s="1140"/>
      <c r="K46" s="1140"/>
      <c r="L46" s="1140"/>
      <c r="M46" s="1140"/>
      <c r="N46" s="1140"/>
      <c r="O46" s="1140"/>
      <c r="P46" s="1140"/>
      <c r="Q46" s="1140"/>
      <c r="R46" s="1140"/>
      <c r="S46" s="1140"/>
      <c r="T46" s="1140"/>
      <c r="U46" s="1140"/>
      <c r="V46" s="1140"/>
      <c r="W46" s="1140"/>
      <c r="X46" s="1140"/>
      <c r="Y46" s="1140"/>
      <c r="Z46" s="1140"/>
      <c r="AA46" s="1140"/>
      <c r="AB46" s="1140"/>
    </row>
    <row r="47" spans="3:28" ht="13.9" customHeight="1">
      <c r="C47" s="1433"/>
      <c r="D47" s="1219"/>
      <c r="E47" s="1238" t="s">
        <v>1310</v>
      </c>
      <c r="F47" s="1140"/>
      <c r="G47" s="1140"/>
      <c r="H47" s="1140"/>
      <c r="I47" s="1140"/>
      <c r="J47" s="1140"/>
      <c r="K47" s="1140"/>
      <c r="L47" s="1140"/>
      <c r="M47" s="1140"/>
      <c r="N47" s="1140"/>
      <c r="O47" s="1140"/>
      <c r="P47" s="1140"/>
      <c r="Q47" s="1140"/>
      <c r="R47" s="1140"/>
      <c r="S47" s="1140"/>
      <c r="T47" s="1140"/>
      <c r="U47" s="1140"/>
      <c r="V47" s="1140"/>
      <c r="W47" s="1140"/>
      <c r="X47" s="1140"/>
      <c r="Y47" s="1140"/>
      <c r="Z47" s="1140"/>
      <c r="AA47" s="1140"/>
      <c r="AB47" s="1140"/>
    </row>
    <row r="48" spans="3:28" ht="13.9" customHeight="1">
      <c r="C48" s="1433"/>
      <c r="D48" s="1219"/>
      <c r="E48" s="1238" t="s">
        <v>1311</v>
      </c>
      <c r="F48" s="1140"/>
      <c r="G48" s="1140"/>
      <c r="H48" s="1140"/>
      <c r="I48" s="1140"/>
      <c r="J48" s="1140"/>
      <c r="K48" s="1140"/>
      <c r="L48" s="1140"/>
      <c r="M48" s="1140"/>
      <c r="N48" s="1140"/>
      <c r="O48" s="1140"/>
      <c r="P48" s="1140"/>
      <c r="Q48" s="1140"/>
      <c r="R48" s="1140"/>
      <c r="S48" s="1140"/>
      <c r="T48" s="1140"/>
      <c r="U48" s="1140"/>
      <c r="V48" s="1140"/>
      <c r="W48" s="1140"/>
      <c r="X48" s="1140"/>
      <c r="Y48" s="1140"/>
      <c r="Z48" s="1140"/>
      <c r="AA48" s="1140"/>
      <c r="AB48" s="1140"/>
    </row>
    <row r="49" spans="2:72" ht="13.9" customHeight="1">
      <c r="C49" s="1433"/>
      <c r="D49" s="1219"/>
      <c r="E49" s="1238" t="s">
        <v>1345</v>
      </c>
      <c r="F49" s="1140"/>
      <c r="G49" s="1140"/>
      <c r="H49" s="1140"/>
      <c r="I49" s="1140"/>
      <c r="J49" s="1140"/>
      <c r="K49" s="1140"/>
      <c r="L49" s="1140"/>
      <c r="M49" s="1140"/>
      <c r="N49" s="1140"/>
      <c r="O49" s="1140"/>
      <c r="P49" s="1140"/>
      <c r="Q49" s="1140"/>
      <c r="R49" s="1140"/>
      <c r="S49" s="1140"/>
      <c r="T49" s="1140"/>
      <c r="U49" s="1140"/>
      <c r="V49" s="1140"/>
      <c r="W49" s="1140"/>
      <c r="X49" s="1140"/>
      <c r="Y49" s="1140"/>
      <c r="Z49" s="1140"/>
      <c r="AA49" s="1140"/>
      <c r="AB49" s="1140"/>
    </row>
    <row r="50" spans="2:72" ht="13.9" customHeight="1">
      <c r="C50" s="1433"/>
      <c r="D50" s="1219"/>
      <c r="E50" s="1239" t="s">
        <v>1346</v>
      </c>
      <c r="F50" s="1140"/>
      <c r="G50" s="1140"/>
      <c r="H50" s="1140"/>
      <c r="I50" s="1140"/>
      <c r="J50" s="1140"/>
      <c r="K50" s="1140"/>
      <c r="L50" s="1140"/>
      <c r="M50" s="1140"/>
      <c r="N50" s="1140"/>
      <c r="O50" s="1140"/>
      <c r="P50" s="1140"/>
      <c r="Q50" s="1140"/>
      <c r="R50" s="1140"/>
      <c r="S50" s="1140"/>
      <c r="T50" s="1140"/>
      <c r="U50" s="1140"/>
      <c r="V50" s="1140"/>
      <c r="W50" s="1140"/>
      <c r="X50" s="1140"/>
      <c r="Y50" s="1140"/>
      <c r="Z50" s="1140"/>
      <c r="AA50" s="1140"/>
      <c r="AB50" s="1140"/>
    </row>
    <row r="51" spans="2:72" ht="13.9" customHeight="1">
      <c r="C51" s="1434"/>
      <c r="D51" s="1219"/>
      <c r="E51" s="1239"/>
      <c r="F51" s="1140"/>
      <c r="G51" s="1140"/>
      <c r="H51" s="1140"/>
      <c r="I51" s="1140"/>
      <c r="J51" s="1140"/>
      <c r="K51" s="1140"/>
      <c r="L51" s="1140"/>
      <c r="M51" s="1140"/>
      <c r="N51" s="1140"/>
      <c r="O51" s="1140"/>
      <c r="P51" s="1140"/>
      <c r="Q51" s="1140"/>
      <c r="R51" s="1140"/>
      <c r="S51" s="1140"/>
      <c r="T51" s="1140"/>
      <c r="U51" s="1140"/>
      <c r="V51" s="1140"/>
      <c r="W51" s="1140"/>
      <c r="X51" s="1140"/>
      <c r="Y51" s="1140"/>
      <c r="Z51" s="1140"/>
      <c r="AA51" s="1140"/>
      <c r="AB51" s="1140"/>
    </row>
    <row r="52" spans="2:72" ht="13.9" customHeight="1">
      <c r="C52" s="26"/>
      <c r="D52" s="1139"/>
      <c r="E52" s="1140"/>
      <c r="F52" s="1140"/>
      <c r="G52" s="1140"/>
      <c r="H52" s="1140"/>
      <c r="I52" s="1140"/>
      <c r="J52" s="1140"/>
      <c r="K52" s="1140"/>
      <c r="L52" s="1140"/>
      <c r="M52" s="1140"/>
      <c r="N52" s="1140"/>
      <c r="O52" s="1140"/>
      <c r="P52" s="1140"/>
      <c r="Q52" s="1140"/>
      <c r="R52" s="1140"/>
      <c r="S52" s="1140"/>
      <c r="T52" s="1140"/>
      <c r="U52" s="1140"/>
      <c r="V52" s="1140"/>
      <c r="W52" s="1140"/>
      <c r="X52" s="1140"/>
      <c r="Y52" s="1140"/>
      <c r="Z52" s="1140"/>
      <c r="AA52" s="1140"/>
      <c r="AB52" s="1140"/>
    </row>
    <row r="53" spans="2:72" ht="13.9" customHeight="1">
      <c r="B53" s="1375" t="s">
        <v>494</v>
      </c>
      <c r="C53" s="1432" t="s">
        <v>1298</v>
      </c>
      <c r="D53" s="1139" t="s">
        <v>1172</v>
      </c>
      <c r="E53" s="1140"/>
      <c r="F53" s="1140"/>
      <c r="G53" s="1140"/>
      <c r="H53" s="1140"/>
      <c r="I53" s="1140"/>
      <c r="J53" s="1140"/>
      <c r="K53" s="1140"/>
      <c r="L53" s="1140"/>
      <c r="M53" s="1140"/>
      <c r="N53" s="1140"/>
      <c r="O53" s="1140"/>
      <c r="P53" s="1140"/>
      <c r="Q53" s="1140"/>
      <c r="R53" s="1140"/>
      <c r="S53" s="1140"/>
      <c r="T53" s="1140"/>
      <c r="U53" s="1140"/>
      <c r="V53" s="1140"/>
      <c r="W53" s="1140"/>
      <c r="X53" s="1140"/>
      <c r="Y53" s="1140"/>
      <c r="Z53" s="1140"/>
      <c r="AA53" s="1140"/>
      <c r="AB53" s="1140"/>
    </row>
    <row r="54" spans="2:72" ht="13.9" customHeight="1">
      <c r="B54" s="1376"/>
      <c r="C54" s="1433"/>
      <c r="D54" s="1141" t="s">
        <v>1173</v>
      </c>
      <c r="E54" s="1140"/>
      <c r="F54" s="1140"/>
      <c r="G54" s="1140"/>
      <c r="H54" s="1140"/>
      <c r="I54" s="1140"/>
      <c r="J54" s="1140"/>
      <c r="K54" s="1140"/>
      <c r="L54" s="1140"/>
      <c r="M54" s="1140"/>
      <c r="N54" s="1140"/>
      <c r="O54" s="1140"/>
      <c r="P54" s="1140"/>
      <c r="Q54" s="1140"/>
      <c r="R54" s="1140"/>
      <c r="S54" s="1140"/>
      <c r="T54" s="1140"/>
      <c r="U54" s="1140"/>
      <c r="V54" s="1140"/>
      <c r="W54" s="1140"/>
      <c r="X54" s="1140"/>
      <c r="Y54" s="1140"/>
      <c r="Z54" s="1140"/>
      <c r="AA54" s="1140"/>
      <c r="AB54" s="1140"/>
    </row>
    <row r="55" spans="2:72" ht="13.9" customHeight="1">
      <c r="B55" s="1377"/>
      <c r="C55" s="1433"/>
      <c r="D55" s="1141" t="s">
        <v>1174</v>
      </c>
      <c r="E55" s="1140"/>
      <c r="F55" s="1140"/>
      <c r="G55" s="1140"/>
      <c r="H55" s="1140"/>
      <c r="I55" s="1140"/>
      <c r="J55" s="1140"/>
      <c r="K55" s="1140"/>
      <c r="L55" s="1140"/>
      <c r="M55" s="1140"/>
      <c r="N55" s="1140"/>
      <c r="O55" s="1140"/>
      <c r="P55" s="1140"/>
      <c r="Q55" s="1140"/>
      <c r="R55" s="1140"/>
      <c r="S55" s="1140"/>
      <c r="T55" s="1140"/>
      <c r="U55" s="1140"/>
      <c r="V55" s="1140"/>
      <c r="W55" s="1140"/>
      <c r="X55" s="1140"/>
      <c r="Y55" s="1140"/>
      <c r="Z55" s="1140"/>
      <c r="AA55" s="1140"/>
      <c r="AB55" s="1140"/>
    </row>
    <row r="56" spans="2:72" ht="13.9" customHeight="1">
      <c r="C56" s="1433"/>
      <c r="D56" s="1141" t="s">
        <v>1224</v>
      </c>
      <c r="E56" s="1140"/>
      <c r="F56" s="1140"/>
      <c r="G56" s="1140"/>
      <c r="H56" s="1140"/>
      <c r="I56" s="1140"/>
      <c r="J56" s="1140"/>
      <c r="K56" s="1140"/>
      <c r="L56" s="1140"/>
      <c r="M56" s="1140"/>
      <c r="N56" s="1140"/>
      <c r="O56" s="1140"/>
      <c r="P56" s="1140"/>
      <c r="Q56" s="1140"/>
      <c r="R56" s="1140"/>
      <c r="S56" s="1140"/>
      <c r="T56" s="1140"/>
      <c r="U56" s="1140"/>
      <c r="V56" s="1140"/>
      <c r="W56" s="1140"/>
      <c r="X56" s="1140"/>
      <c r="Y56" s="1140"/>
      <c r="Z56" s="1140"/>
      <c r="AA56" s="1140"/>
      <c r="AB56" s="1140"/>
    </row>
    <row r="57" spans="2:72" ht="13.9" customHeight="1">
      <c r="C57" s="1433"/>
      <c r="D57" s="1141" t="s">
        <v>1225</v>
      </c>
      <c r="E57" s="1140"/>
      <c r="F57" s="1140"/>
      <c r="G57" s="1140"/>
      <c r="H57" s="1140"/>
      <c r="I57" s="1140"/>
      <c r="J57" s="1140"/>
      <c r="K57" s="1140"/>
      <c r="L57" s="1140"/>
      <c r="M57" s="1140"/>
      <c r="N57" s="1140"/>
      <c r="O57" s="1140"/>
      <c r="P57" s="1140"/>
      <c r="Q57" s="1140"/>
      <c r="R57" s="1140"/>
      <c r="S57" s="1140"/>
      <c r="T57" s="1140"/>
      <c r="U57" s="1140"/>
      <c r="V57" s="1140"/>
      <c r="W57" s="1140"/>
      <c r="X57" s="1140"/>
      <c r="Y57" s="1140"/>
      <c r="Z57" s="1140"/>
      <c r="AA57" s="1140"/>
      <c r="AB57" s="1140"/>
    </row>
    <row r="58" spans="2:72" ht="13.9" customHeight="1">
      <c r="C58" s="1433"/>
      <c r="D58" s="1144" t="s">
        <v>1300</v>
      </c>
      <c r="E58" s="1140"/>
      <c r="F58" s="1140"/>
      <c r="G58" s="1140"/>
      <c r="H58" s="1140"/>
      <c r="I58" s="1140"/>
      <c r="J58" s="1140"/>
      <c r="K58" s="1140"/>
      <c r="L58" s="1140"/>
      <c r="M58" s="1140"/>
      <c r="N58" s="1140"/>
      <c r="O58" s="1140"/>
      <c r="P58" s="1140"/>
      <c r="Q58" s="1140"/>
      <c r="R58" s="1140"/>
      <c r="S58" s="1140"/>
      <c r="T58" s="1140"/>
      <c r="U58" s="1140"/>
      <c r="V58" s="1140"/>
      <c r="W58" s="1140"/>
      <c r="X58" s="1140"/>
      <c r="Y58" s="1140"/>
      <c r="Z58" s="1140"/>
      <c r="AA58" s="1140"/>
      <c r="AB58" s="1140"/>
    </row>
    <row r="59" spans="2:72" ht="13.9" customHeight="1">
      <c r="C59" s="1433"/>
      <c r="D59" s="1141" t="s">
        <v>1209</v>
      </c>
      <c r="E59" s="1140"/>
      <c r="F59" s="1140"/>
      <c r="G59" s="1140"/>
      <c r="H59" s="1140"/>
      <c r="I59" s="1140"/>
      <c r="J59" s="1140"/>
      <c r="K59" s="1140"/>
      <c r="L59" s="1140"/>
      <c r="M59" s="1140"/>
      <c r="N59" s="1140"/>
      <c r="O59" s="1140"/>
      <c r="P59" s="1140"/>
      <c r="Q59" s="1140"/>
      <c r="R59" s="1140"/>
      <c r="S59" s="1140"/>
      <c r="T59" s="1140"/>
      <c r="U59" s="1140"/>
      <c r="V59" s="1140"/>
      <c r="W59" s="1140"/>
      <c r="X59" s="1140"/>
      <c r="Y59" s="1140"/>
      <c r="Z59" s="1140"/>
      <c r="AA59" s="1140"/>
      <c r="AB59" s="1140"/>
    </row>
    <row r="60" spans="2:72" ht="13.9" customHeight="1">
      <c r="C60" s="1433"/>
      <c r="D60" s="1141" t="s">
        <v>1176</v>
      </c>
      <c r="E60" s="1140"/>
      <c r="F60" s="1140"/>
      <c r="G60" s="1140"/>
      <c r="H60" s="1140"/>
      <c r="I60" s="1140"/>
      <c r="J60" s="1140"/>
      <c r="K60" s="1140"/>
      <c r="L60" s="1140"/>
      <c r="M60" s="1140"/>
      <c r="N60" s="1140"/>
      <c r="O60" s="1140"/>
      <c r="P60" s="1140"/>
      <c r="Q60" s="1140"/>
      <c r="R60" s="1140"/>
      <c r="S60" s="1140"/>
      <c r="T60" s="1140"/>
      <c r="U60" s="1140"/>
      <c r="V60" s="1140"/>
      <c r="W60" s="1140"/>
      <c r="X60" s="1140"/>
      <c r="Y60" s="1140"/>
      <c r="Z60" s="1140"/>
      <c r="AA60" s="1140"/>
      <c r="AB60" s="1140"/>
      <c r="BT60" s="1360"/>
    </row>
    <row r="61" spans="2:72" ht="13.9" customHeight="1">
      <c r="C61" s="1433"/>
      <c r="D61" s="1141" t="s">
        <v>1175</v>
      </c>
      <c r="E61" s="1140"/>
      <c r="F61" s="1140"/>
      <c r="G61" s="1140"/>
      <c r="H61" s="1140"/>
      <c r="I61" s="1140"/>
      <c r="J61" s="1140"/>
      <c r="K61" s="1140"/>
      <c r="L61" s="1140"/>
      <c r="M61" s="1140"/>
      <c r="N61" s="1140"/>
      <c r="O61" s="1140"/>
      <c r="P61" s="1140"/>
      <c r="Q61" s="1140"/>
      <c r="R61" s="1140"/>
      <c r="S61" s="1140"/>
      <c r="T61" s="1140"/>
      <c r="U61" s="1140"/>
      <c r="V61" s="1140"/>
      <c r="W61" s="1140"/>
      <c r="X61" s="1140"/>
      <c r="Y61" s="1140"/>
      <c r="Z61" s="1140"/>
      <c r="AA61" s="1140"/>
      <c r="AB61" s="1140"/>
      <c r="BT61" s="1361"/>
    </row>
    <row r="62" spans="2:72" ht="13.9" customHeight="1">
      <c r="C62" s="1433"/>
      <c r="D62" s="1141" t="s">
        <v>1210</v>
      </c>
      <c r="E62" s="1140"/>
      <c r="F62" s="1140"/>
      <c r="G62" s="1140"/>
      <c r="H62" s="1140"/>
      <c r="I62" s="1140"/>
      <c r="J62" s="1140"/>
      <c r="K62" s="1140"/>
      <c r="L62" s="1140"/>
      <c r="M62" s="1140"/>
      <c r="N62" s="1140"/>
      <c r="O62" s="1140"/>
      <c r="P62" s="1140"/>
      <c r="Q62" s="1140"/>
      <c r="R62" s="1140"/>
      <c r="S62" s="1140"/>
      <c r="T62" s="1140"/>
      <c r="U62" s="1140"/>
      <c r="V62" s="1140"/>
      <c r="W62" s="1140"/>
      <c r="X62" s="1140"/>
      <c r="Y62" s="1140"/>
      <c r="Z62" s="1140"/>
      <c r="AA62" s="1140"/>
      <c r="AB62" s="1140"/>
      <c r="BT62" s="1361"/>
    </row>
    <row r="63" spans="2:72" ht="13.9" customHeight="1">
      <c r="C63" s="1433"/>
      <c r="D63" s="1141" t="s">
        <v>1177</v>
      </c>
      <c r="E63" s="1140"/>
      <c r="F63" s="1140"/>
      <c r="G63" s="1140"/>
      <c r="H63" s="1140"/>
      <c r="I63" s="1140"/>
      <c r="J63" s="1140"/>
      <c r="K63" s="1140"/>
      <c r="L63" s="1140"/>
      <c r="M63" s="1140"/>
      <c r="N63" s="1140"/>
      <c r="O63" s="1140"/>
      <c r="P63" s="1140"/>
      <c r="Q63" s="1140"/>
      <c r="R63" s="1140"/>
      <c r="S63" s="1140"/>
      <c r="T63" s="1140"/>
      <c r="U63" s="1140"/>
      <c r="V63" s="1140"/>
      <c r="W63" s="1140"/>
      <c r="X63" s="1140"/>
      <c r="Y63" s="1140"/>
      <c r="Z63" s="1140"/>
      <c r="AA63" s="1140"/>
      <c r="AB63" s="1140"/>
      <c r="BT63" s="1361"/>
    </row>
    <row r="64" spans="2:72" ht="13.9" customHeight="1">
      <c r="C64" s="1433"/>
      <c r="D64" s="1141" t="s">
        <v>1178</v>
      </c>
      <c r="E64" s="1140"/>
      <c r="F64" s="1140"/>
      <c r="G64" s="1140"/>
      <c r="H64" s="1140"/>
      <c r="I64" s="1140"/>
      <c r="J64" s="1140"/>
      <c r="K64" s="1140"/>
      <c r="L64" s="1140"/>
      <c r="M64" s="1140"/>
      <c r="N64" s="1140"/>
      <c r="O64" s="1140"/>
      <c r="P64" s="1140"/>
      <c r="Q64" s="1140"/>
      <c r="R64" s="1140"/>
      <c r="S64" s="1140"/>
      <c r="T64" s="1140"/>
      <c r="U64" s="1140"/>
      <c r="V64" s="1140"/>
      <c r="W64" s="1140"/>
      <c r="X64" s="1140"/>
      <c r="Y64" s="1140"/>
      <c r="Z64" s="1140"/>
      <c r="AA64" s="1140"/>
      <c r="AB64" s="1140"/>
      <c r="BT64" s="1361"/>
    </row>
    <row r="65" spans="2:72" ht="13.9" customHeight="1">
      <c r="C65" s="1434"/>
      <c r="D65" s="1141"/>
      <c r="E65" s="1141" t="s">
        <v>1179</v>
      </c>
      <c r="F65" s="1140"/>
      <c r="G65" s="1140"/>
      <c r="H65" s="1140"/>
      <c r="I65" s="1140"/>
      <c r="J65" s="1140"/>
      <c r="K65" s="1140"/>
      <c r="L65" s="1140"/>
      <c r="M65" s="1140"/>
      <c r="N65" s="1140"/>
      <c r="O65" s="1140"/>
      <c r="P65" s="1140"/>
      <c r="Q65" s="1140"/>
      <c r="R65" s="1140"/>
      <c r="S65" s="1140"/>
      <c r="T65" s="1140"/>
      <c r="U65" s="1140"/>
      <c r="V65" s="1140"/>
      <c r="W65" s="1140"/>
      <c r="X65" s="1140"/>
      <c r="Y65" s="1140"/>
      <c r="Z65" s="1140"/>
      <c r="AA65" s="1140"/>
      <c r="AB65" s="1140"/>
      <c r="BT65" s="1361"/>
    </row>
    <row r="66" spans="2:72" ht="13.9" customHeight="1">
      <c r="B66" s="1140"/>
      <c r="C66" s="26"/>
      <c r="D66" s="1139"/>
      <c r="E66" s="1140"/>
      <c r="F66" s="1140"/>
      <c r="G66" s="1140"/>
      <c r="H66" s="1140"/>
      <c r="I66" s="1140"/>
      <c r="J66" s="1140"/>
      <c r="K66" s="1140"/>
      <c r="L66" s="1140"/>
      <c r="M66" s="1140"/>
      <c r="N66" s="1140"/>
      <c r="O66" s="1140"/>
      <c r="P66" s="1140"/>
      <c r="Q66" s="1140"/>
      <c r="R66" s="1140"/>
      <c r="S66" s="1140"/>
      <c r="T66" s="1140"/>
      <c r="U66" s="1140"/>
      <c r="V66" s="1140"/>
      <c r="W66" s="1140"/>
      <c r="X66" s="1140"/>
      <c r="Y66" s="1140"/>
      <c r="Z66" s="1140"/>
      <c r="AA66" s="1140"/>
      <c r="AB66" s="1140"/>
      <c r="BT66" s="1361"/>
    </row>
    <row r="67" spans="2:72" ht="13.9" customHeight="1">
      <c r="B67" s="1140"/>
      <c r="C67" s="1429" t="s">
        <v>899</v>
      </c>
      <c r="D67" s="1139" t="s">
        <v>891</v>
      </c>
      <c r="E67" s="1140"/>
      <c r="F67" s="1140"/>
      <c r="G67" s="1140"/>
      <c r="H67" s="1140"/>
      <c r="I67" s="1140"/>
      <c r="J67" s="1140"/>
      <c r="K67" s="1140"/>
      <c r="L67" s="1140"/>
      <c r="M67" s="1140"/>
      <c r="N67" s="1140"/>
      <c r="O67" s="1140"/>
      <c r="P67" s="1140"/>
      <c r="Q67" s="1140"/>
      <c r="R67" s="1140"/>
      <c r="S67" s="1140"/>
      <c r="T67" s="1140"/>
      <c r="U67" s="1140"/>
      <c r="V67" s="1140"/>
      <c r="W67" s="1140"/>
      <c r="X67" s="1140"/>
      <c r="Y67" s="1140"/>
      <c r="Z67" s="1140"/>
      <c r="AA67" s="1140"/>
      <c r="AB67" s="1140"/>
      <c r="BT67" s="1361"/>
    </row>
    <row r="68" spans="2:72" ht="13.9" customHeight="1">
      <c r="B68" s="1140"/>
      <c r="C68" s="1430"/>
      <c r="D68" s="1141" t="s">
        <v>892</v>
      </c>
      <c r="E68" s="1140"/>
      <c r="F68" s="1140"/>
      <c r="G68" s="1140"/>
      <c r="H68" s="1140"/>
      <c r="I68" s="1140"/>
      <c r="J68" s="1140"/>
      <c r="K68" s="1140"/>
      <c r="L68" s="1140"/>
      <c r="M68" s="1140"/>
      <c r="N68" s="1140"/>
      <c r="O68" s="1140"/>
      <c r="P68" s="1140"/>
      <c r="Q68" s="1140"/>
      <c r="R68" s="1140"/>
      <c r="S68" s="1140"/>
      <c r="T68" s="1140"/>
      <c r="U68" s="1140"/>
      <c r="V68" s="1140"/>
      <c r="W68" s="1140"/>
      <c r="X68" s="1140"/>
      <c r="Y68" s="1140"/>
      <c r="Z68" s="1140"/>
      <c r="AA68" s="1140"/>
      <c r="AB68" s="1140"/>
      <c r="BT68" s="1361"/>
    </row>
    <row r="69" spans="2:72" ht="13.9" customHeight="1">
      <c r="B69" s="1140"/>
      <c r="C69" s="1430"/>
      <c r="D69" s="1141" t="s">
        <v>893</v>
      </c>
      <c r="E69" s="1140"/>
      <c r="F69" s="1140"/>
      <c r="G69" s="1140"/>
      <c r="H69" s="1140"/>
      <c r="I69" s="1140"/>
      <c r="J69" s="1140"/>
      <c r="K69" s="1140"/>
      <c r="L69" s="1140"/>
      <c r="M69" s="1140"/>
      <c r="N69" s="1140"/>
      <c r="O69" s="1140"/>
      <c r="P69" s="1140"/>
      <c r="Q69" s="1140"/>
      <c r="R69" s="1140"/>
      <c r="S69" s="1140"/>
      <c r="T69" s="1140"/>
      <c r="U69" s="1140"/>
      <c r="V69" s="1140"/>
      <c r="W69" s="1140"/>
      <c r="X69" s="1140"/>
      <c r="Y69" s="1140"/>
      <c r="Z69" s="1140"/>
      <c r="AA69" s="1140"/>
      <c r="AB69" s="1140"/>
      <c r="BT69" s="1361"/>
    </row>
    <row r="70" spans="2:72" ht="13.9" customHeight="1">
      <c r="B70" s="1140"/>
      <c r="C70" s="1430"/>
      <c r="D70" s="1141" t="s">
        <v>894</v>
      </c>
      <c r="E70" s="1140"/>
      <c r="F70" s="1140"/>
      <c r="G70" s="1140"/>
      <c r="H70" s="1140"/>
      <c r="I70" s="1140"/>
      <c r="J70" s="1140"/>
      <c r="K70" s="1140"/>
      <c r="L70" s="1140"/>
      <c r="M70" s="1140"/>
      <c r="N70" s="1140"/>
      <c r="O70" s="1140"/>
      <c r="P70" s="1140"/>
      <c r="Q70" s="1140"/>
      <c r="R70" s="1140"/>
      <c r="S70" s="1140"/>
      <c r="T70" s="1140"/>
      <c r="U70" s="1140"/>
      <c r="V70" s="1140"/>
      <c r="W70" s="1140"/>
      <c r="X70" s="1140"/>
      <c r="Y70" s="1140"/>
      <c r="Z70" s="1140"/>
      <c r="AA70" s="1140"/>
      <c r="AB70" s="1140"/>
      <c r="BT70" s="1360"/>
    </row>
    <row r="71" spans="2:72" ht="13.9" customHeight="1">
      <c r="B71" s="1140"/>
      <c r="C71" s="1430"/>
      <c r="D71" s="1141" t="s">
        <v>895</v>
      </c>
      <c r="E71" s="1140"/>
      <c r="F71" s="1140"/>
      <c r="G71" s="1140"/>
      <c r="H71" s="1140"/>
      <c r="I71" s="1140"/>
      <c r="J71" s="1140"/>
      <c r="K71" s="1140"/>
      <c r="L71" s="1140"/>
      <c r="M71" s="1140"/>
      <c r="N71" s="1140"/>
      <c r="O71" s="1140"/>
      <c r="P71" s="1140"/>
      <c r="Q71" s="1140"/>
      <c r="R71" s="1140"/>
      <c r="S71" s="1140"/>
      <c r="T71" s="1140"/>
      <c r="U71" s="1140"/>
      <c r="V71" s="1140"/>
      <c r="W71" s="1140"/>
      <c r="X71" s="1140"/>
      <c r="Y71" s="1140"/>
      <c r="Z71" s="1140"/>
      <c r="AA71" s="1140"/>
      <c r="AB71" s="1140"/>
      <c r="BT71" s="1361"/>
    </row>
    <row r="72" spans="2:72" ht="13.9" customHeight="1">
      <c r="B72" s="1140"/>
      <c r="C72" s="1430"/>
      <c r="D72" s="1141" t="s">
        <v>896</v>
      </c>
      <c r="E72" s="1140"/>
      <c r="F72" s="1140"/>
      <c r="G72" s="1140"/>
      <c r="H72" s="1140"/>
      <c r="I72" s="1140"/>
      <c r="J72" s="1140"/>
      <c r="K72" s="1140"/>
      <c r="L72" s="1140"/>
      <c r="M72" s="1140"/>
      <c r="N72" s="1140"/>
      <c r="O72" s="1140"/>
      <c r="P72" s="1140"/>
      <c r="Q72" s="1140"/>
      <c r="R72" s="1140"/>
      <c r="S72" s="1140"/>
      <c r="T72" s="1140"/>
      <c r="U72" s="1140"/>
      <c r="V72" s="1140"/>
      <c r="W72" s="1140"/>
      <c r="X72" s="1140"/>
      <c r="Y72" s="1140"/>
      <c r="Z72" s="1140"/>
      <c r="AA72" s="1140"/>
      <c r="AB72" s="1140"/>
      <c r="BT72" s="1361" t="s">
        <v>1453</v>
      </c>
    </row>
    <row r="73" spans="2:72" ht="13.9" customHeight="1">
      <c r="C73" s="1430"/>
      <c r="D73" s="1141" t="s">
        <v>1117</v>
      </c>
      <c r="E73" s="1140"/>
      <c r="F73" s="1140"/>
      <c r="G73" s="1140"/>
      <c r="H73" s="1140"/>
      <c r="I73" s="1140"/>
      <c r="J73" s="1140"/>
      <c r="K73" s="1140"/>
      <c r="L73" s="1140"/>
      <c r="M73" s="1140"/>
      <c r="N73" s="1140"/>
      <c r="O73" s="1140"/>
      <c r="P73" s="1140"/>
      <c r="Q73" s="1140"/>
      <c r="R73" s="1140"/>
      <c r="S73" s="1428" t="s">
        <v>898</v>
      </c>
      <c r="T73" s="1428"/>
      <c r="U73" s="1428"/>
      <c r="V73" s="1428"/>
      <c r="W73" s="1428"/>
      <c r="X73" s="1428"/>
      <c r="Y73" s="1428"/>
      <c r="Z73" s="1428"/>
      <c r="AA73" s="1428"/>
      <c r="AB73" s="1140"/>
      <c r="BT73" s="1361" t="s">
        <v>1454</v>
      </c>
    </row>
    <row r="74" spans="2:72" ht="13.9" customHeight="1">
      <c r="C74" s="1430"/>
      <c r="D74" s="1141" t="s">
        <v>1118</v>
      </c>
      <c r="E74" s="1140"/>
      <c r="F74" s="1140"/>
      <c r="G74" s="1140"/>
      <c r="H74" s="1140"/>
      <c r="I74" s="1140"/>
      <c r="J74" s="1140"/>
      <c r="K74" s="1140"/>
      <c r="L74" s="1140"/>
      <c r="M74" s="1140"/>
      <c r="N74" s="1140"/>
      <c r="O74" s="1140"/>
      <c r="P74" s="1140"/>
      <c r="Q74" s="1140"/>
      <c r="R74" s="1140"/>
      <c r="S74" s="1140"/>
      <c r="T74" s="1140"/>
      <c r="U74" s="1140"/>
      <c r="V74" s="1140"/>
      <c r="W74" s="1140"/>
      <c r="X74" s="1140"/>
      <c r="Y74" s="1140"/>
      <c r="Z74" s="1140"/>
      <c r="AA74" s="1140"/>
      <c r="AB74" s="1140"/>
      <c r="BT74" s="1361" t="s">
        <v>1455</v>
      </c>
    </row>
    <row r="75" spans="2:72" s="26" customFormat="1" ht="10.15" customHeight="1">
      <c r="B75" s="25"/>
      <c r="C75" s="1430"/>
      <c r="D75" s="1141"/>
      <c r="E75" s="1141"/>
      <c r="F75" s="1141"/>
      <c r="G75" s="1141"/>
      <c r="H75" s="1141"/>
      <c r="I75" s="1141"/>
      <c r="J75" s="1141"/>
      <c r="K75" s="1141"/>
      <c r="L75" s="1141"/>
      <c r="M75" s="1141"/>
      <c r="N75" s="1141"/>
      <c r="O75" s="1141"/>
      <c r="P75" s="1141"/>
      <c r="Q75" s="1141"/>
      <c r="R75" s="1141"/>
      <c r="S75" s="1141"/>
      <c r="T75" s="1141"/>
      <c r="U75" s="1141"/>
      <c r="V75" s="1141"/>
      <c r="W75" s="1141"/>
      <c r="X75" s="1141"/>
      <c r="Y75" s="1141"/>
      <c r="Z75" s="1141"/>
      <c r="AA75" s="1141"/>
      <c r="AB75" s="1141"/>
      <c r="BT75" s="1361" t="s">
        <v>1456</v>
      </c>
    </row>
    <row r="76" spans="2:72" ht="13.9" customHeight="1">
      <c r="C76" s="1430"/>
      <c r="D76" s="1141" t="s">
        <v>1097</v>
      </c>
      <c r="E76" s="1141"/>
      <c r="F76" s="1141"/>
      <c r="G76" s="1141"/>
      <c r="H76" s="1141"/>
      <c r="I76" s="1141"/>
      <c r="J76" s="1141"/>
      <c r="K76" s="1141"/>
      <c r="L76" s="1141"/>
      <c r="M76" s="1141"/>
      <c r="N76" s="1141"/>
      <c r="O76" s="1141"/>
      <c r="P76" s="1141"/>
      <c r="Q76" s="1141"/>
      <c r="R76" s="1141"/>
      <c r="S76" s="1141"/>
      <c r="T76" s="1141"/>
      <c r="U76" s="1141"/>
      <c r="V76" s="1141"/>
      <c r="W76" s="1141"/>
      <c r="X76" s="1141"/>
      <c r="Y76" s="1141"/>
      <c r="Z76" s="1141"/>
      <c r="AA76" s="1141"/>
      <c r="AB76" s="1141"/>
    </row>
    <row r="77" spans="2:72" ht="13.9" customHeight="1">
      <c r="C77" s="1430"/>
      <c r="D77" s="1141" t="s">
        <v>1098</v>
      </c>
      <c r="E77" s="1141"/>
      <c r="F77" s="1141"/>
      <c r="G77" s="1141"/>
      <c r="H77" s="1141"/>
      <c r="I77" s="1141"/>
      <c r="J77" s="1141"/>
      <c r="K77" s="1141"/>
      <c r="L77" s="1141"/>
      <c r="M77" s="1141"/>
      <c r="N77" s="1141"/>
      <c r="O77" s="1141"/>
      <c r="P77" s="1141"/>
      <c r="Q77" s="1141"/>
      <c r="R77" s="1141"/>
      <c r="S77" s="1141"/>
      <c r="T77" s="1141"/>
      <c r="U77" s="1141"/>
      <c r="V77" s="1141"/>
      <c r="W77" s="1141"/>
      <c r="X77" s="1141"/>
      <c r="Y77" s="1141"/>
      <c r="Z77" s="1141"/>
      <c r="AA77" s="1141"/>
      <c r="AB77" s="1141"/>
    </row>
    <row r="78" spans="2:72" ht="13.9" customHeight="1">
      <c r="C78" s="1431"/>
      <c r="D78" s="1141" t="s">
        <v>1099</v>
      </c>
      <c r="E78" s="1141"/>
      <c r="F78" s="1141"/>
      <c r="G78" s="1141"/>
      <c r="H78" s="1141"/>
      <c r="I78" s="1141"/>
      <c r="J78" s="1141"/>
      <c r="K78" s="1141"/>
      <c r="L78" s="1141"/>
      <c r="M78" s="1141"/>
      <c r="N78" s="1141"/>
      <c r="O78" s="1141"/>
      <c r="P78" s="1141"/>
      <c r="Q78" s="1141"/>
      <c r="R78" s="1141"/>
      <c r="S78" s="1141"/>
      <c r="T78" s="1141"/>
      <c r="U78" s="1141"/>
      <c r="V78" s="1141"/>
      <c r="W78" s="1141"/>
      <c r="X78" s="1141"/>
      <c r="Y78" s="1141"/>
      <c r="Z78" s="1141"/>
      <c r="AA78" s="1141"/>
      <c r="AB78" s="1141"/>
    </row>
    <row r="79" spans="2:72" ht="10.15" customHeight="1"/>
    <row r="80" spans="2:72" ht="18" customHeight="1">
      <c r="C80" s="54" t="s">
        <v>510</v>
      </c>
      <c r="D80" s="55" t="s">
        <v>718</v>
      </c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</row>
    <row r="81" spans="3:28" ht="6.4" customHeight="1"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</row>
    <row r="82" spans="3:28" ht="14.1" customHeight="1">
      <c r="C82" s="54"/>
      <c r="D82" s="542" t="s">
        <v>348</v>
      </c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54"/>
    </row>
    <row r="83" spans="3:28" ht="14.1" customHeight="1">
      <c r="C83" s="54"/>
      <c r="D83" s="26" t="s">
        <v>365</v>
      </c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54"/>
    </row>
    <row r="84" spans="3:28" ht="13.9" customHeight="1">
      <c r="C84" s="54"/>
      <c r="D84" s="26" t="s">
        <v>548</v>
      </c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54"/>
    </row>
    <row r="85" spans="3:28" ht="14.1" customHeight="1">
      <c r="C85" s="54"/>
      <c r="D85" s="26" t="s">
        <v>549</v>
      </c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54"/>
    </row>
    <row r="86" spans="3:28" ht="6.4" customHeight="1"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</row>
    <row r="87" spans="3:28" ht="14.1" customHeight="1">
      <c r="C87" s="54"/>
      <c r="D87" s="542" t="s">
        <v>366</v>
      </c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54"/>
    </row>
    <row r="88" spans="3:28" ht="12.2" customHeight="1">
      <c r="C88" s="54"/>
      <c r="D88" s="844" t="s">
        <v>714</v>
      </c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54"/>
    </row>
    <row r="89" spans="3:28" ht="12.2" customHeight="1">
      <c r="C89" s="54"/>
      <c r="D89" s="844" t="s">
        <v>715</v>
      </c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54"/>
    </row>
    <row r="90" spans="3:28" ht="6.4" customHeight="1"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</row>
    <row r="91" spans="3:28" ht="14.1" customHeight="1">
      <c r="C91" s="54"/>
      <c r="D91" s="542" t="s">
        <v>746</v>
      </c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54"/>
    </row>
    <row r="92" spans="3:28" ht="12.2" customHeight="1">
      <c r="C92" s="54"/>
      <c r="D92" s="844" t="s">
        <v>716</v>
      </c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54"/>
    </row>
    <row r="93" spans="3:28" ht="6.4" customHeight="1"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</row>
    <row r="94" spans="3:28" ht="14.1" customHeight="1">
      <c r="C94" s="54"/>
      <c r="D94" s="542" t="s">
        <v>367</v>
      </c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54"/>
    </row>
    <row r="95" spans="3:28" ht="12.2" customHeight="1">
      <c r="C95" s="54"/>
      <c r="D95" s="844" t="s">
        <v>717</v>
      </c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54"/>
    </row>
    <row r="96" spans="3:28" ht="12.2" customHeight="1">
      <c r="C96" s="54"/>
      <c r="D96" s="844" t="s">
        <v>747</v>
      </c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54"/>
    </row>
    <row r="97" spans="2:28" ht="6.4" customHeight="1"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</row>
    <row r="98" spans="2:28" ht="14.1" customHeight="1">
      <c r="C98" s="54"/>
      <c r="D98" s="542" t="s">
        <v>719</v>
      </c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54"/>
    </row>
    <row r="99" spans="2:28" ht="12.2" customHeight="1">
      <c r="C99" s="54"/>
      <c r="D99" s="844" t="s">
        <v>720</v>
      </c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54"/>
    </row>
    <row r="100" spans="2:28" ht="12.2" customHeight="1">
      <c r="C100" s="54"/>
      <c r="D100" s="844" t="s">
        <v>721</v>
      </c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54"/>
    </row>
    <row r="101" spans="2:28" ht="6.4" customHeight="1"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</row>
    <row r="102" spans="2:28" ht="6.4" customHeight="1"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2:28" s="26" customFormat="1" ht="12.2" customHeight="1">
      <c r="D103" s="56" t="s">
        <v>596</v>
      </c>
    </row>
    <row r="104" spans="2:28" s="26" customFormat="1" ht="12.2" customHeight="1">
      <c r="D104" s="56" t="s">
        <v>0</v>
      </c>
    </row>
    <row r="105" spans="2:28" s="26" customFormat="1" ht="12.2" customHeight="1"/>
    <row r="106" spans="2:28" ht="18" customHeight="1">
      <c r="C106" s="25" t="s">
        <v>512</v>
      </c>
      <c r="D106" s="34" t="s">
        <v>511</v>
      </c>
    </row>
    <row r="107" spans="2:28" ht="6.4" customHeight="1"/>
    <row r="108" spans="2:28" ht="18" customHeight="1">
      <c r="B108" s="1375" t="s">
        <v>494</v>
      </c>
      <c r="C108" s="25" t="s">
        <v>513</v>
      </c>
      <c r="D108" s="57" t="s">
        <v>1078</v>
      </c>
    </row>
    <row r="109" spans="2:28" ht="6.4" customHeight="1">
      <c r="B109" s="1376"/>
    </row>
    <row r="110" spans="2:28" ht="12.75" customHeight="1">
      <c r="B110" s="1377"/>
      <c r="E110" s="1364" t="s">
        <v>1484</v>
      </c>
    </row>
    <row r="111" spans="2:28" ht="12.2" customHeight="1">
      <c r="E111" s="1155" t="s">
        <v>1466</v>
      </c>
    </row>
    <row r="112" spans="2:28" ht="12.2" customHeight="1">
      <c r="E112" s="60" t="s">
        <v>1203</v>
      </c>
    </row>
    <row r="113" spans="4:5" ht="12.2" customHeight="1">
      <c r="E113" s="1144" t="s">
        <v>1467</v>
      </c>
    </row>
    <row r="114" spans="4:5" ht="12.2" customHeight="1">
      <c r="E114" s="1144"/>
    </row>
    <row r="115" spans="4:5" ht="12.2" customHeight="1">
      <c r="D115" s="1367"/>
      <c r="E115" s="1365" t="s">
        <v>1482</v>
      </c>
    </row>
    <row r="116" spans="4:5" ht="12.2" customHeight="1">
      <c r="E116" s="1155" t="s">
        <v>1468</v>
      </c>
    </row>
    <row r="117" spans="4:5" ht="12.2" customHeight="1">
      <c r="E117" s="1155" t="s">
        <v>1469</v>
      </c>
    </row>
    <row r="118" spans="4:5" ht="12.2" customHeight="1">
      <c r="E118" s="60" t="s">
        <v>1205</v>
      </c>
    </row>
    <row r="119" spans="4:5" ht="12.2" customHeight="1">
      <c r="E119" s="1155" t="s">
        <v>1470</v>
      </c>
    </row>
    <row r="120" spans="4:5" ht="12.2" customHeight="1">
      <c r="E120" s="892" t="s">
        <v>1379</v>
      </c>
    </row>
    <row r="121" spans="4:5" ht="12.2" customHeight="1">
      <c r="E121" s="892" t="s">
        <v>1380</v>
      </c>
    </row>
    <row r="122" spans="4:5" ht="12.2" customHeight="1">
      <c r="E122" s="892" t="s">
        <v>1473</v>
      </c>
    </row>
    <row r="123" spans="4:5" ht="12.2" customHeight="1">
      <c r="E123" s="892" t="s">
        <v>1471</v>
      </c>
    </row>
    <row r="124" spans="4:5" ht="12.2" customHeight="1">
      <c r="E124" s="892" t="s">
        <v>1472</v>
      </c>
    </row>
    <row r="125" spans="4:5" ht="12.2" customHeight="1">
      <c r="E125" s="1145" t="s">
        <v>1474</v>
      </c>
    </row>
    <row r="126" spans="4:5" ht="12.2" customHeight="1">
      <c r="E126" s="1155" t="s">
        <v>1475</v>
      </c>
    </row>
    <row r="127" spans="4:5" ht="12.2" customHeight="1">
      <c r="E127" s="1155" t="s">
        <v>1476</v>
      </c>
    </row>
    <row r="128" spans="4:5" ht="12.2" customHeight="1">
      <c r="E128" s="60" t="s">
        <v>1206</v>
      </c>
    </row>
    <row r="129" spans="4:6" ht="12.2" customHeight="1">
      <c r="E129" s="60"/>
      <c r="F129" s="1363" t="s">
        <v>1483</v>
      </c>
    </row>
    <row r="130" spans="4:6" ht="12.2" customHeight="1">
      <c r="E130" s="60"/>
    </row>
    <row r="131" spans="4:6" ht="12.2" customHeight="1">
      <c r="D131" s="1367"/>
      <c r="E131" s="607" t="s">
        <v>1499</v>
      </c>
    </row>
    <row r="132" spans="4:6" ht="12.2" customHeight="1">
      <c r="E132" s="1155" t="s">
        <v>1500</v>
      </c>
    </row>
    <row r="133" spans="4:6" ht="12.2" customHeight="1">
      <c r="E133" s="1155" t="s">
        <v>1478</v>
      </c>
    </row>
    <row r="134" spans="4:6" ht="12.2" customHeight="1">
      <c r="E134" s="1155" t="s">
        <v>1479</v>
      </c>
    </row>
    <row r="135" spans="4:6" ht="12.2" customHeight="1">
      <c r="E135" s="60"/>
      <c r="F135" s="1363" t="s">
        <v>1485</v>
      </c>
    </row>
    <row r="136" spans="4:6" ht="12.2" customHeight="1">
      <c r="E136" s="60"/>
    </row>
    <row r="137" spans="4:6" ht="12.2" customHeight="1">
      <c r="E137" s="1145" t="s">
        <v>1204</v>
      </c>
    </row>
    <row r="138" spans="4:6" ht="12.2" customHeight="1">
      <c r="E138" s="60" t="s">
        <v>1082</v>
      </c>
    </row>
    <row r="139" spans="4:6" ht="12.2" customHeight="1">
      <c r="E139" s="60" t="s">
        <v>1107</v>
      </c>
    </row>
    <row r="140" spans="4:6" ht="12.2" customHeight="1">
      <c r="E140" s="60" t="s">
        <v>1104</v>
      </c>
    </row>
    <row r="141" spans="4:6" ht="12.2" customHeight="1">
      <c r="E141" s="60" t="s">
        <v>1105</v>
      </c>
    </row>
    <row r="142" spans="4:6" ht="12.2" customHeight="1">
      <c r="E142" s="60" t="s">
        <v>1106</v>
      </c>
    </row>
    <row r="143" spans="4:6" ht="12.2" customHeight="1">
      <c r="E143" s="60" t="s">
        <v>1092</v>
      </c>
    </row>
    <row r="144" spans="4:6" ht="12.2" customHeight="1">
      <c r="E144" s="60" t="s">
        <v>1093</v>
      </c>
    </row>
    <row r="145" spans="5:5" ht="12.2" customHeight="1">
      <c r="E145" s="60" t="s">
        <v>1094</v>
      </c>
    </row>
    <row r="146" spans="5:5" ht="12.2" customHeight="1">
      <c r="E146" s="60" t="s">
        <v>1108</v>
      </c>
    </row>
    <row r="147" spans="5:5" ht="12.2" customHeight="1">
      <c r="E147" s="60" t="s">
        <v>1109</v>
      </c>
    </row>
    <row r="148" spans="5:5" ht="12.2" customHeight="1">
      <c r="E148" s="60" t="s">
        <v>1110</v>
      </c>
    </row>
    <row r="149" spans="5:5" ht="12.75" customHeight="1">
      <c r="E149" s="60" t="s">
        <v>1095</v>
      </c>
    </row>
    <row r="150" spans="5:5" ht="12.2" customHeight="1">
      <c r="E150" s="60" t="s">
        <v>1083</v>
      </c>
    </row>
    <row r="151" spans="5:5" ht="12.2" customHeight="1">
      <c r="E151" s="60" t="s">
        <v>1084</v>
      </c>
    </row>
    <row r="152" spans="5:5" ht="12.2" customHeight="1">
      <c r="E152" s="60" t="s">
        <v>1085</v>
      </c>
    </row>
    <row r="153" spans="5:5" ht="12.2" customHeight="1">
      <c r="E153" s="60" t="s">
        <v>1086</v>
      </c>
    </row>
    <row r="154" spans="5:5" ht="12.2" customHeight="1">
      <c r="E154" s="60" t="s">
        <v>1087</v>
      </c>
    </row>
    <row r="155" spans="5:5" ht="12.2" customHeight="1">
      <c r="E155" s="60"/>
    </row>
    <row r="156" spans="5:5" ht="12.2" customHeight="1">
      <c r="E156" s="60" t="s">
        <v>1096</v>
      </c>
    </row>
    <row r="157" spans="5:5" ht="12.2" customHeight="1">
      <c r="E157" s="60" t="s">
        <v>1088</v>
      </c>
    </row>
    <row r="158" spans="5:5" ht="12.2" customHeight="1">
      <c r="E158" s="25" t="s">
        <v>1089</v>
      </c>
    </row>
    <row r="159" spans="5:5" ht="12.2" customHeight="1">
      <c r="E159" s="25" t="s">
        <v>1090</v>
      </c>
    </row>
    <row r="160" spans="5:5" ht="12.2" customHeight="1">
      <c r="E160" s="25" t="s">
        <v>1091</v>
      </c>
    </row>
    <row r="162" spans="4:26" ht="6.4" customHeight="1"/>
    <row r="163" spans="4:26" ht="12.2" customHeight="1">
      <c r="D163" s="1367"/>
      <c r="E163" s="1155" t="s">
        <v>1381</v>
      </c>
    </row>
    <row r="164" spans="4:26" ht="12.2" customHeight="1">
      <c r="E164" s="25" t="s">
        <v>68</v>
      </c>
    </row>
    <row r="165" spans="4:26" ht="6.4" customHeight="1"/>
    <row r="166" spans="4:26" ht="12.2" customHeight="1">
      <c r="D166" s="1367"/>
      <c r="E166" s="1155" t="s">
        <v>1481</v>
      </c>
    </row>
    <row r="167" spans="4:26" ht="12.2" customHeight="1">
      <c r="E167" s="1155" t="s">
        <v>1477</v>
      </c>
    </row>
    <row r="168" spans="4:26" ht="12.2" customHeight="1">
      <c r="E168" s="25" t="s">
        <v>748</v>
      </c>
    </row>
    <row r="169" spans="4:26" ht="12.2" customHeight="1">
      <c r="E169" s="60" t="s">
        <v>749</v>
      </c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4:26" ht="12.2" customHeight="1">
      <c r="E170" s="60" t="s">
        <v>750</v>
      </c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4:26" ht="12.2" customHeight="1">
      <c r="E171" s="60" t="s">
        <v>752</v>
      </c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4:26" ht="12.2" customHeight="1">
      <c r="E172" s="60" t="s">
        <v>751</v>
      </c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4:26" ht="12.2" customHeight="1">
      <c r="F173" s="1363" t="s">
        <v>753</v>
      </c>
    </row>
    <row r="174" spans="4:26" ht="6.4" customHeight="1"/>
    <row r="175" spans="4:26" ht="12.2" customHeight="1">
      <c r="D175" s="1367"/>
      <c r="E175" s="25" t="s">
        <v>506</v>
      </c>
    </row>
    <row r="176" spans="4:26" ht="12.2" customHeight="1">
      <c r="E176" s="25" t="s">
        <v>507</v>
      </c>
    </row>
    <row r="177" spans="2:28" ht="12.2" customHeight="1">
      <c r="E177" s="25" t="s">
        <v>69</v>
      </c>
    </row>
    <row r="178" spans="2:28" ht="12.2" customHeight="1">
      <c r="E178" s="25" t="s">
        <v>508</v>
      </c>
    </row>
    <row r="179" spans="2:28" ht="12.2" customHeight="1">
      <c r="E179" s="25" t="s">
        <v>303</v>
      </c>
    </row>
    <row r="180" spans="2:28" ht="12.2" customHeight="1">
      <c r="F180" s="1363" t="s">
        <v>35</v>
      </c>
    </row>
    <row r="181" spans="2:28" ht="6.4" customHeight="1"/>
    <row r="182" spans="2:28" ht="12.2" customHeight="1">
      <c r="D182" s="1367"/>
      <c r="E182" s="25" t="s">
        <v>509</v>
      </c>
    </row>
    <row r="183" spans="2:28" ht="12.2" customHeight="1">
      <c r="E183" s="60" t="s">
        <v>754</v>
      </c>
    </row>
    <row r="184" spans="2:28" ht="12.2" customHeight="1">
      <c r="E184" s="60" t="s">
        <v>755</v>
      </c>
    </row>
    <row r="186" spans="2:28" ht="18" customHeight="1">
      <c r="B186" s="1375" t="s">
        <v>494</v>
      </c>
      <c r="C186" s="25" t="s">
        <v>514</v>
      </c>
      <c r="D186" s="57" t="s">
        <v>385</v>
      </c>
      <c r="AB186" s="59"/>
    </row>
    <row r="187" spans="2:28" ht="6.4" customHeight="1">
      <c r="B187" s="1376"/>
    </row>
    <row r="188" spans="2:28" ht="12.2" customHeight="1">
      <c r="B188" s="1377"/>
      <c r="D188" s="1367"/>
      <c r="E188" s="60" t="s">
        <v>4</v>
      </c>
    </row>
    <row r="189" spans="2:28" ht="12.2" customHeight="1">
      <c r="E189" s="25" t="s">
        <v>1</v>
      </c>
    </row>
    <row r="190" spans="2:28" ht="12.2" customHeight="1">
      <c r="E190" s="25" t="s">
        <v>2</v>
      </c>
    </row>
    <row r="191" spans="2:28" ht="12.2" customHeight="1">
      <c r="E191" s="25" t="s">
        <v>3</v>
      </c>
    </row>
    <row r="192" spans="2:28" ht="12.2" customHeight="1">
      <c r="E192" s="25" t="s">
        <v>516</v>
      </c>
    </row>
    <row r="193" spans="2:12" ht="12.2" customHeight="1">
      <c r="E193" s="25" t="s">
        <v>515</v>
      </c>
    </row>
    <row r="194" spans="2:12" ht="12.2" customHeight="1">
      <c r="E194" s="60" t="s">
        <v>5</v>
      </c>
    </row>
    <row r="195" spans="2:12" ht="12.2" customHeight="1">
      <c r="E195" s="25" t="s">
        <v>38</v>
      </c>
    </row>
    <row r="196" spans="2:12" ht="12.2" customHeight="1">
      <c r="E196" s="25" t="s">
        <v>627</v>
      </c>
    </row>
    <row r="197" spans="2:12" ht="12.2" customHeight="1">
      <c r="E197" s="25" t="s">
        <v>104</v>
      </c>
    </row>
    <row r="198" spans="2:12" ht="12.2" customHeight="1">
      <c r="E198" s="1155" t="s">
        <v>1486</v>
      </c>
    </row>
    <row r="199" spans="2:12" ht="12.2" customHeight="1">
      <c r="E199" s="25" t="s">
        <v>37</v>
      </c>
      <c r="G199" s="130" t="s">
        <v>994</v>
      </c>
      <c r="J199" s="130"/>
    </row>
    <row r="201" spans="2:12" ht="18" customHeight="1">
      <c r="B201" s="1375" t="s">
        <v>494</v>
      </c>
      <c r="C201" s="25" t="s">
        <v>517</v>
      </c>
      <c r="D201" s="57" t="s">
        <v>386</v>
      </c>
      <c r="J201" s="1425" t="s">
        <v>575</v>
      </c>
      <c r="K201" s="1426"/>
      <c r="L201" s="1427"/>
    </row>
    <row r="202" spans="2:12" ht="6.4" customHeight="1">
      <c r="B202" s="1376"/>
    </row>
    <row r="203" spans="2:12" ht="12.2" customHeight="1">
      <c r="B203" s="1377"/>
      <c r="D203" s="1367"/>
      <c r="E203" s="25" t="s">
        <v>519</v>
      </c>
    </row>
    <row r="204" spans="2:12" ht="12.2" customHeight="1">
      <c r="E204" s="25" t="s">
        <v>55</v>
      </c>
    </row>
    <row r="205" spans="2:12" ht="12.2" customHeight="1">
      <c r="E205" s="60" t="s">
        <v>995</v>
      </c>
    </row>
    <row r="206" spans="2:12" ht="12.2" customHeight="1">
      <c r="E206" s="25" t="s">
        <v>373</v>
      </c>
    </row>
    <row r="207" spans="2:12" ht="12.2" customHeight="1">
      <c r="E207" s="25" t="s">
        <v>374</v>
      </c>
    </row>
    <row r="208" spans="2:12" ht="12.2" customHeight="1">
      <c r="E208" s="1155" t="s">
        <v>1487</v>
      </c>
    </row>
    <row r="209" spans="4:6" ht="12.2" customHeight="1">
      <c r="E209" s="1155" t="s">
        <v>1488</v>
      </c>
    </row>
    <row r="210" spans="4:6" ht="12.2" customHeight="1">
      <c r="E210" s="1155" t="s">
        <v>1382</v>
      </c>
    </row>
    <row r="211" spans="4:6" ht="12.2" customHeight="1">
      <c r="F211" s="1363" t="s">
        <v>359</v>
      </c>
    </row>
    <row r="212" spans="4:6" ht="6.4" customHeight="1"/>
    <row r="213" spans="4:6" ht="12.2" customHeight="1">
      <c r="D213" s="1367"/>
      <c r="E213" s="25" t="s">
        <v>658</v>
      </c>
    </row>
    <row r="214" spans="4:6" ht="12.2" customHeight="1">
      <c r="E214" s="25" t="s">
        <v>629</v>
      </c>
    </row>
    <row r="215" spans="4:6" ht="12.2" customHeight="1">
      <c r="E215" s="60" t="s">
        <v>756</v>
      </c>
    </row>
    <row r="216" spans="4:6" ht="12.2" customHeight="1">
      <c r="E216" s="25" t="s">
        <v>360</v>
      </c>
    </row>
    <row r="217" spans="4:6" ht="12.2" customHeight="1">
      <c r="E217" s="25" t="s">
        <v>630</v>
      </c>
    </row>
    <row r="218" spans="4:6" ht="12.2" customHeight="1">
      <c r="F218" s="1363" t="s">
        <v>34</v>
      </c>
    </row>
    <row r="219" spans="4:6" ht="6.4" customHeight="1"/>
    <row r="220" spans="4:6" ht="12.2" customHeight="1">
      <c r="D220" s="1367"/>
      <c r="E220" s="60" t="s">
        <v>996</v>
      </c>
    </row>
    <row r="221" spans="4:6" ht="12.2" customHeight="1">
      <c r="E221" s="1155" t="s">
        <v>1489</v>
      </c>
    </row>
    <row r="222" spans="4:6" ht="12.2" customHeight="1">
      <c r="E222" s="60" t="s">
        <v>1207</v>
      </c>
    </row>
    <row r="223" spans="4:6" ht="12.2" customHeight="1">
      <c r="E223" s="60" t="s">
        <v>1208</v>
      </c>
    </row>
    <row r="224" spans="4:6" ht="12.2" customHeight="1">
      <c r="E224" s="1155" t="s">
        <v>1490</v>
      </c>
    </row>
    <row r="225" spans="2:20" ht="12.2" customHeight="1">
      <c r="E225" s="60" t="s">
        <v>757</v>
      </c>
    </row>
    <row r="226" spans="2:20" ht="12.2" customHeight="1">
      <c r="E226" s="60" t="s">
        <v>758</v>
      </c>
    </row>
    <row r="227" spans="2:20" ht="12.2" customHeight="1">
      <c r="E227" s="1155" t="s">
        <v>1491</v>
      </c>
    </row>
    <row r="228" spans="2:20" ht="12.2" customHeight="1">
      <c r="E228" s="1155" t="s">
        <v>1492</v>
      </c>
    </row>
    <row r="229" spans="2:20" ht="6.4" customHeight="1"/>
    <row r="230" spans="2:20" s="61" customFormat="1" ht="15.4" customHeight="1">
      <c r="E230" s="61" t="s">
        <v>520</v>
      </c>
      <c r="S230" s="62">
        <f>Kalkulation!V21</f>
        <v>20</v>
      </c>
      <c r="T230" s="61" t="s">
        <v>521</v>
      </c>
    </row>
    <row r="231" spans="2:20" ht="12.2" customHeight="1">
      <c r="E231" s="25" t="s">
        <v>550</v>
      </c>
    </row>
    <row r="232" spans="2:20" ht="12.2" customHeight="1">
      <c r="E232" s="25" t="s">
        <v>631</v>
      </c>
    </row>
    <row r="234" spans="2:20" ht="18" customHeight="1">
      <c r="B234" s="1375" t="s">
        <v>494</v>
      </c>
      <c r="C234" s="25" t="s">
        <v>522</v>
      </c>
      <c r="D234" s="57" t="s">
        <v>395</v>
      </c>
    </row>
    <row r="235" spans="2:20" ht="6.4" customHeight="1">
      <c r="B235" s="1376"/>
    </row>
    <row r="236" spans="2:20" ht="12.2" customHeight="1">
      <c r="B236" s="1377"/>
      <c r="E236" s="132" t="s">
        <v>998</v>
      </c>
    </row>
    <row r="237" spans="2:20" ht="12.2" customHeight="1">
      <c r="E237" s="132" t="s">
        <v>997</v>
      </c>
    </row>
    <row r="238" spans="2:20" ht="6.4" customHeight="1"/>
    <row r="239" spans="2:20" ht="12.2" customHeight="1">
      <c r="E239" s="25" t="s">
        <v>33</v>
      </c>
    </row>
    <row r="240" spans="2:20" ht="12.2" customHeight="1">
      <c r="E240" s="25" t="s">
        <v>523</v>
      </c>
    </row>
    <row r="241" spans="4:7" ht="6.4" customHeight="1"/>
    <row r="242" spans="4:7" ht="12.2" customHeight="1">
      <c r="D242" s="1367"/>
      <c r="E242" s="25" t="s">
        <v>172</v>
      </c>
    </row>
    <row r="243" spans="4:7" ht="6.4" customHeight="1"/>
    <row r="244" spans="4:7" ht="12.2" customHeight="1">
      <c r="E244" s="188" t="s">
        <v>154</v>
      </c>
    </row>
    <row r="245" spans="4:7" ht="12.2" customHeight="1">
      <c r="E245" s="25" t="s">
        <v>155</v>
      </c>
    </row>
    <row r="246" spans="4:7" ht="12.2" customHeight="1">
      <c r="E246" s="25" t="s">
        <v>156</v>
      </c>
    </row>
    <row r="247" spans="4:7" ht="12.2" customHeight="1">
      <c r="E247" s="25" t="s">
        <v>524</v>
      </c>
    </row>
    <row r="248" spans="4:7" ht="12.2" customHeight="1">
      <c r="E248" s="25" t="s">
        <v>525</v>
      </c>
      <c r="F248" s="25" t="s">
        <v>63</v>
      </c>
    </row>
    <row r="249" spans="4:7" ht="12.2" customHeight="1">
      <c r="F249" s="25" t="s">
        <v>62</v>
      </c>
    </row>
    <row r="250" spans="4:7" ht="12.2" customHeight="1">
      <c r="E250" s="25" t="s">
        <v>525</v>
      </c>
      <c r="F250" s="25" t="s">
        <v>71</v>
      </c>
    </row>
    <row r="251" spans="4:7" ht="12.2" customHeight="1">
      <c r="G251" s="60" t="s">
        <v>759</v>
      </c>
    </row>
    <row r="252" spans="4:7" ht="12.2" customHeight="1">
      <c r="E252" s="25" t="s">
        <v>525</v>
      </c>
      <c r="F252" s="25" t="s">
        <v>70</v>
      </c>
    </row>
    <row r="253" spans="4:7" ht="12.2" customHeight="1">
      <c r="G253" s="25" t="s">
        <v>183</v>
      </c>
    </row>
    <row r="254" spans="4:7" ht="12.2" customHeight="1">
      <c r="E254" s="25" t="s">
        <v>361</v>
      </c>
    </row>
    <row r="255" spans="4:7" ht="12.2" customHeight="1">
      <c r="E255" s="25" t="s">
        <v>362</v>
      </c>
    </row>
    <row r="256" spans="4:7" ht="12.2" customHeight="1">
      <c r="E256" s="25" t="s">
        <v>363</v>
      </c>
    </row>
    <row r="257" spans="2:9" ht="12.2" customHeight="1">
      <c r="E257" s="60" t="s">
        <v>760</v>
      </c>
    </row>
    <row r="258" spans="2:9" ht="12.2" customHeight="1">
      <c r="F258" s="1363" t="s">
        <v>36</v>
      </c>
    </row>
    <row r="259" spans="2:9" ht="6.4" customHeight="1"/>
    <row r="260" spans="2:9" ht="12.2" customHeight="1">
      <c r="E260" s="53" t="s">
        <v>42</v>
      </c>
      <c r="F260" s="58"/>
      <c r="G260" s="53"/>
      <c r="H260" s="53" t="s">
        <v>105</v>
      </c>
      <c r="I260" s="53"/>
    </row>
    <row r="261" spans="2:9" ht="12.2" customHeight="1">
      <c r="E261" s="53"/>
      <c r="F261" s="58"/>
      <c r="G261" s="53"/>
      <c r="H261" s="53" t="s">
        <v>632</v>
      </c>
      <c r="I261" s="53"/>
    </row>
    <row r="262" spans="2:9" ht="12.2" customHeight="1">
      <c r="E262" s="53"/>
      <c r="F262" s="53"/>
      <c r="G262" s="53"/>
      <c r="H262" s="53" t="s">
        <v>633</v>
      </c>
      <c r="I262" s="53"/>
    </row>
    <row r="263" spans="2:9" ht="6.4" customHeight="1"/>
    <row r="264" spans="2:9" ht="12.2" customHeight="1">
      <c r="B264" s="1375" t="s">
        <v>494</v>
      </c>
      <c r="E264" s="188" t="s">
        <v>157</v>
      </c>
    </row>
    <row r="265" spans="2:9" ht="12.2" customHeight="1">
      <c r="B265" s="1376"/>
      <c r="E265" s="25" t="s">
        <v>158</v>
      </c>
    </row>
    <row r="266" spans="2:9" ht="12.2" customHeight="1">
      <c r="B266" s="1377"/>
      <c r="E266" s="25" t="s">
        <v>159</v>
      </c>
      <c r="F266" s="53"/>
      <c r="G266" s="53"/>
      <c r="H266" s="53"/>
      <c r="I266" s="53"/>
    </row>
    <row r="267" spans="2:9" ht="12.2" customHeight="1">
      <c r="E267" s="25" t="s">
        <v>160</v>
      </c>
      <c r="F267" s="53"/>
      <c r="G267" s="53"/>
      <c r="H267" s="53"/>
      <c r="I267" s="53"/>
    </row>
    <row r="268" spans="2:9" ht="12.2" customHeight="1">
      <c r="E268" s="25" t="s">
        <v>161</v>
      </c>
      <c r="F268" s="53"/>
      <c r="G268" s="53"/>
      <c r="H268" s="53"/>
      <c r="I268" s="53"/>
    </row>
    <row r="269" spans="2:9" ht="12.2" customHeight="1">
      <c r="E269" s="60" t="s">
        <v>999</v>
      </c>
      <c r="F269" s="53"/>
      <c r="G269" s="53"/>
      <c r="H269" s="53"/>
      <c r="I269" s="53"/>
    </row>
    <row r="270" spans="2:9" ht="12.2" customHeight="1">
      <c r="E270" s="25" t="s">
        <v>162</v>
      </c>
      <c r="F270" s="53"/>
      <c r="G270" s="53"/>
      <c r="H270" s="53"/>
      <c r="I270" s="53"/>
    </row>
    <row r="271" spans="2:9" ht="6.4" customHeight="1"/>
    <row r="272" spans="2:9" ht="12.2" customHeight="1">
      <c r="E272" s="53" t="s">
        <v>368</v>
      </c>
      <c r="F272" s="53"/>
      <c r="G272" s="53" t="s">
        <v>369</v>
      </c>
      <c r="H272" s="53"/>
      <c r="I272" s="53"/>
    </row>
    <row r="273" spans="5:9" ht="12.2" customHeight="1">
      <c r="E273" s="53"/>
      <c r="F273" s="53"/>
      <c r="G273" s="131" t="s">
        <v>173</v>
      </c>
      <c r="H273" s="53"/>
      <c r="I273" s="53"/>
    </row>
    <row r="274" spans="5:9" ht="12.2" customHeight="1">
      <c r="E274" s="53"/>
      <c r="F274" s="53"/>
      <c r="G274" s="131" t="s">
        <v>184</v>
      </c>
      <c r="H274" s="53"/>
      <c r="I274" s="53"/>
    </row>
    <row r="275" spans="5:9" ht="12.2" customHeight="1">
      <c r="E275" s="53"/>
      <c r="F275" s="53"/>
      <c r="G275" s="53" t="s">
        <v>185</v>
      </c>
      <c r="H275" s="53"/>
      <c r="I275" s="53"/>
    </row>
    <row r="276" spans="5:9" ht="12.2" customHeight="1">
      <c r="E276" s="53"/>
      <c r="F276" s="53"/>
      <c r="G276" s="53" t="s">
        <v>174</v>
      </c>
      <c r="H276" s="53"/>
      <c r="I276" s="53"/>
    </row>
    <row r="277" spans="5:9" ht="12.2" customHeight="1">
      <c r="F277" s="58"/>
      <c r="G277" s="53" t="s">
        <v>106</v>
      </c>
    </row>
    <row r="278" spans="5:9" ht="12.2" customHeight="1">
      <c r="F278" s="58"/>
      <c r="G278" s="131" t="s">
        <v>370</v>
      </c>
    </row>
    <row r="279" spans="5:9" ht="12.2" customHeight="1">
      <c r="F279" s="58"/>
      <c r="G279" s="53" t="s">
        <v>371</v>
      </c>
    </row>
    <row r="280" spans="5:9" ht="12.2" customHeight="1">
      <c r="F280" s="58"/>
      <c r="G280" s="204" t="s">
        <v>165</v>
      </c>
    </row>
    <row r="281" spans="5:9" ht="12.2" customHeight="1">
      <c r="F281" s="58"/>
      <c r="G281" s="205" t="s">
        <v>167</v>
      </c>
    </row>
    <row r="282" spans="5:9" ht="12.2" customHeight="1">
      <c r="F282" s="58"/>
      <c r="G282" s="205" t="s">
        <v>6</v>
      </c>
    </row>
    <row r="283" spans="5:9" ht="12.2" customHeight="1">
      <c r="F283" s="58"/>
      <c r="G283" s="205" t="s">
        <v>166</v>
      </c>
    </row>
    <row r="284" spans="5:9" ht="12.2" customHeight="1">
      <c r="F284" s="58"/>
      <c r="G284" s="205" t="s">
        <v>168</v>
      </c>
    </row>
    <row r="285" spans="5:9" ht="12.2" customHeight="1">
      <c r="F285" s="58"/>
      <c r="G285" s="205" t="s">
        <v>170</v>
      </c>
    </row>
    <row r="286" spans="5:9" ht="12.2" customHeight="1">
      <c r="F286" s="58"/>
      <c r="G286" s="205" t="s">
        <v>169</v>
      </c>
    </row>
    <row r="287" spans="5:9" ht="12.2" customHeight="1">
      <c r="E287" s="1403" t="s">
        <v>171</v>
      </c>
      <c r="F287" s="58"/>
      <c r="G287" s="205" t="s">
        <v>175</v>
      </c>
    </row>
    <row r="288" spans="5:9" ht="12.2" customHeight="1">
      <c r="E288" s="1403"/>
      <c r="F288" s="58"/>
      <c r="G288" s="205" t="s">
        <v>164</v>
      </c>
    </row>
    <row r="289" spans="2:28" ht="12.2" customHeight="1">
      <c r="E289" s="1403"/>
      <c r="F289" s="58"/>
      <c r="G289" s="205" t="s">
        <v>372</v>
      </c>
    </row>
    <row r="290" spans="2:28" ht="12.2" customHeight="1">
      <c r="F290" s="58"/>
      <c r="G290" s="205" t="s">
        <v>1493</v>
      </c>
    </row>
    <row r="292" spans="2:28" ht="18" customHeight="1">
      <c r="C292" s="25" t="s">
        <v>561</v>
      </c>
      <c r="D292" s="57" t="s">
        <v>526</v>
      </c>
    </row>
    <row r="293" spans="2:28" ht="6.4" customHeight="1"/>
    <row r="294" spans="2:28" ht="15.4" customHeight="1">
      <c r="B294" s="1378" t="s">
        <v>494</v>
      </c>
      <c r="C294" s="63" t="s">
        <v>562</v>
      </c>
      <c r="E294" s="57" t="s">
        <v>530</v>
      </c>
    </row>
    <row r="295" spans="2:28" ht="6.4" customHeight="1">
      <c r="B295" s="1379"/>
    </row>
    <row r="296" spans="2:28" ht="15" customHeight="1" thickBot="1">
      <c r="B296" s="1380"/>
      <c r="C296" s="890"/>
      <c r="D296" s="891"/>
      <c r="E296" s="25" t="s">
        <v>528</v>
      </c>
    </row>
    <row r="297" spans="2:28" ht="12.2" customHeight="1" thickBot="1">
      <c r="C297" s="891"/>
      <c r="D297" s="891"/>
      <c r="E297" s="25" t="s">
        <v>529</v>
      </c>
      <c r="V297" s="1388" t="s">
        <v>364</v>
      </c>
      <c r="W297" s="1389"/>
      <c r="X297" s="1389"/>
      <c r="Y297" s="1389"/>
      <c r="Z297" s="1390"/>
    </row>
    <row r="298" spans="2:28" ht="6.4" customHeight="1">
      <c r="C298" s="891"/>
      <c r="D298" s="891"/>
    </row>
    <row r="299" spans="2:28" ht="15" customHeight="1">
      <c r="C299" s="1381" t="s">
        <v>1100</v>
      </c>
      <c r="D299" s="1382"/>
      <c r="E299" s="1039" t="s">
        <v>739</v>
      </c>
      <c r="F299" s="1040"/>
      <c r="G299" s="1040"/>
      <c r="H299" s="1040"/>
      <c r="I299" s="1040"/>
      <c r="J299" s="1040"/>
      <c r="K299" s="1040"/>
      <c r="L299" s="1040"/>
      <c r="M299" s="1040"/>
      <c r="N299" s="1040"/>
      <c r="O299" s="1040"/>
      <c r="P299" s="1040"/>
      <c r="Q299" s="1040"/>
      <c r="R299" s="1040"/>
      <c r="S299" s="1040"/>
      <c r="T299" s="1040"/>
      <c r="U299" s="1040"/>
      <c r="V299" s="1040"/>
      <c r="W299" s="1040"/>
      <c r="X299" s="1040"/>
      <c r="Y299" s="1040"/>
      <c r="Z299" s="1040"/>
      <c r="AA299" s="1040"/>
      <c r="AB299" s="1040"/>
    </row>
    <row r="300" spans="2:28" ht="12.2" customHeight="1">
      <c r="C300" s="1383"/>
      <c r="D300" s="1384"/>
      <c r="E300" s="1041" t="s">
        <v>765</v>
      </c>
      <c r="F300" s="1040"/>
      <c r="G300" s="1040"/>
      <c r="H300" s="1040"/>
      <c r="I300" s="1040"/>
      <c r="J300" s="1040"/>
      <c r="K300" s="1040"/>
      <c r="L300" s="1040"/>
      <c r="M300" s="1040"/>
      <c r="N300" s="1040"/>
      <c r="O300" s="1040"/>
      <c r="P300" s="1040"/>
      <c r="Q300" s="1040"/>
      <c r="R300" s="1040"/>
      <c r="S300" s="1040"/>
      <c r="T300" s="1040"/>
      <c r="U300" s="1040"/>
      <c r="V300" s="1040"/>
      <c r="W300" s="1040"/>
      <c r="X300" s="1040"/>
      <c r="Y300" s="1040"/>
      <c r="Z300" s="1040"/>
      <c r="AA300" s="1040"/>
      <c r="AB300" s="1040"/>
    </row>
    <row r="301" spans="2:28" ht="12.2" customHeight="1">
      <c r="C301" s="1383"/>
      <c r="D301" s="1384"/>
      <c r="E301" s="1039" t="s">
        <v>766</v>
      </c>
      <c r="F301" s="1040"/>
      <c r="G301" s="1040"/>
      <c r="H301" s="1040"/>
      <c r="I301" s="1040"/>
      <c r="J301" s="1040"/>
      <c r="K301" s="1040"/>
      <c r="L301" s="1040"/>
      <c r="M301" s="1040"/>
      <c r="N301" s="1040"/>
      <c r="O301" s="1040"/>
      <c r="P301" s="1040"/>
      <c r="Q301" s="1040"/>
      <c r="R301" s="1040"/>
      <c r="S301" s="1040"/>
      <c r="T301" s="1040"/>
      <c r="U301" s="1040"/>
      <c r="V301" s="1040"/>
      <c r="W301" s="1040"/>
      <c r="X301" s="1040"/>
      <c r="Y301" s="1040"/>
      <c r="Z301" s="1040"/>
      <c r="AA301" s="1040"/>
      <c r="AB301" s="1040"/>
    </row>
    <row r="302" spans="2:28" ht="12.2" customHeight="1">
      <c r="C302" s="1383"/>
      <c r="D302" s="1384"/>
      <c r="E302" s="1042" t="s">
        <v>734</v>
      </c>
      <c r="F302" s="1040"/>
      <c r="G302" s="1040"/>
      <c r="H302" s="1040"/>
      <c r="I302" s="1040"/>
      <c r="J302" s="1040"/>
      <c r="K302" s="1040"/>
      <c r="L302" s="1040"/>
      <c r="M302" s="1040"/>
      <c r="N302" s="1040"/>
      <c r="O302" s="1040"/>
      <c r="P302" s="1040"/>
      <c r="Q302" s="1040"/>
      <c r="R302" s="1040"/>
      <c r="S302" s="1040"/>
      <c r="T302" s="1040"/>
      <c r="U302" s="1040"/>
      <c r="V302" s="1040"/>
      <c r="W302" s="1040"/>
      <c r="X302" s="1040"/>
      <c r="Y302" s="1040"/>
      <c r="Z302" s="1040"/>
      <c r="AA302" s="1040"/>
      <c r="AB302" s="1040"/>
    </row>
    <row r="303" spans="2:28" ht="12.2" customHeight="1">
      <c r="C303" s="1383"/>
      <c r="D303" s="1384"/>
      <c r="E303" s="1042" t="s">
        <v>735</v>
      </c>
      <c r="F303" s="1040"/>
      <c r="G303" s="1040"/>
      <c r="H303" s="1040"/>
      <c r="I303" s="1040"/>
      <c r="J303" s="1040"/>
      <c r="K303" s="1040"/>
      <c r="L303" s="1040"/>
      <c r="M303" s="1040"/>
      <c r="N303" s="1040"/>
      <c r="O303" s="1040"/>
      <c r="P303" s="1040"/>
      <c r="Q303" s="1040"/>
      <c r="R303" s="1040"/>
      <c r="S303" s="1040"/>
      <c r="T303" s="1040"/>
      <c r="U303" s="1040"/>
      <c r="V303" s="1040"/>
      <c r="W303" s="1040"/>
      <c r="X303" s="1040"/>
      <c r="Y303" s="1040"/>
      <c r="Z303" s="1040"/>
      <c r="AA303" s="1040"/>
      <c r="AB303" s="1040"/>
    </row>
    <row r="304" spans="2:28" ht="12.2" customHeight="1">
      <c r="C304" s="1383"/>
      <c r="D304" s="1384"/>
      <c r="E304" s="1042" t="s">
        <v>736</v>
      </c>
      <c r="F304" s="1040"/>
      <c r="G304" s="1040"/>
      <c r="H304" s="1040"/>
      <c r="I304" s="1040"/>
      <c r="J304" s="1040"/>
      <c r="K304" s="1040"/>
      <c r="L304" s="1040"/>
      <c r="M304" s="1040"/>
      <c r="N304" s="1040"/>
      <c r="O304" s="1040"/>
      <c r="P304" s="1040"/>
      <c r="Q304" s="1040"/>
      <c r="R304" s="1040"/>
      <c r="S304" s="1040"/>
      <c r="T304" s="1040"/>
      <c r="U304" s="1040"/>
      <c r="V304" s="1040"/>
      <c r="W304" s="1040"/>
      <c r="X304" s="1040"/>
      <c r="Y304" s="1040"/>
      <c r="Z304" s="1040"/>
      <c r="AA304" s="1040"/>
      <c r="AB304" s="1040"/>
    </row>
    <row r="305" spans="3:28" ht="12.2" customHeight="1">
      <c r="C305" s="1383"/>
      <c r="D305" s="1384"/>
      <c r="E305" s="1042" t="s">
        <v>722</v>
      </c>
      <c r="F305" s="1039"/>
      <c r="G305" s="1039"/>
      <c r="H305" s="1039"/>
      <c r="I305" s="1039"/>
      <c r="J305" s="1039"/>
      <c r="K305" s="1039"/>
      <c r="L305" s="1039"/>
      <c r="M305" s="1039"/>
      <c r="N305" s="1039"/>
      <c r="O305" s="1039"/>
      <c r="P305" s="1039"/>
      <c r="Q305" s="1039"/>
      <c r="R305" s="1039"/>
      <c r="S305" s="1039"/>
      <c r="T305" s="1039"/>
      <c r="U305" s="1039"/>
      <c r="V305" s="1039"/>
      <c r="W305" s="1039"/>
      <c r="X305" s="1039"/>
      <c r="Y305" s="1039"/>
      <c r="Z305" s="1039"/>
      <c r="AA305" s="1039"/>
      <c r="AB305" s="1039"/>
    </row>
    <row r="306" spans="3:28" ht="12.2" customHeight="1">
      <c r="C306" s="1383"/>
      <c r="D306" s="1384"/>
      <c r="E306" s="1042" t="s">
        <v>737</v>
      </c>
      <c r="F306" s="1039"/>
      <c r="G306" s="1039"/>
      <c r="H306" s="1039"/>
      <c r="I306" s="1039"/>
      <c r="J306" s="1039"/>
      <c r="K306" s="1039"/>
      <c r="L306" s="1039"/>
      <c r="M306" s="1039"/>
      <c r="N306" s="1039"/>
      <c r="O306" s="1039"/>
      <c r="P306" s="1039"/>
      <c r="Q306" s="1039"/>
      <c r="R306" s="1039"/>
      <c r="S306" s="1039"/>
      <c r="T306" s="1039"/>
      <c r="U306" s="1039"/>
      <c r="V306" s="1039"/>
      <c r="W306" s="1039"/>
      <c r="X306" s="1039"/>
      <c r="Y306" s="1039"/>
      <c r="Z306" s="1039"/>
      <c r="AA306" s="1039"/>
      <c r="AB306" s="1039"/>
    </row>
    <row r="307" spans="3:28" ht="12.2" customHeight="1">
      <c r="C307" s="1383"/>
      <c r="D307" s="1384"/>
      <c r="E307" s="1042" t="s">
        <v>738</v>
      </c>
      <c r="F307" s="1039"/>
      <c r="G307" s="1039"/>
      <c r="H307" s="1039"/>
      <c r="I307" s="1039"/>
      <c r="J307" s="1039"/>
      <c r="K307" s="1039"/>
      <c r="L307" s="1039"/>
      <c r="M307" s="1039"/>
      <c r="N307" s="1039"/>
      <c r="O307" s="1039"/>
      <c r="P307" s="1039"/>
      <c r="Q307" s="1039"/>
      <c r="R307" s="1039"/>
      <c r="S307" s="1039"/>
      <c r="T307" s="1039"/>
      <c r="U307" s="1039"/>
      <c r="V307" s="1039"/>
      <c r="W307" s="1039"/>
      <c r="X307" s="1039"/>
      <c r="Y307" s="1039"/>
      <c r="Z307" s="1039"/>
      <c r="AA307" s="1039"/>
      <c r="AB307" s="1039"/>
    </row>
    <row r="308" spans="3:28" ht="12.2" customHeight="1">
      <c r="C308" s="1383"/>
      <c r="D308" s="1384"/>
      <c r="E308" s="1042" t="s">
        <v>740</v>
      </c>
      <c r="F308" s="1039"/>
      <c r="G308" s="1039"/>
      <c r="H308" s="1039"/>
      <c r="I308" s="1039"/>
      <c r="J308" s="1039"/>
      <c r="K308" s="1039"/>
      <c r="L308" s="1039"/>
      <c r="M308" s="1039"/>
      <c r="N308" s="1039"/>
      <c r="O308" s="1039"/>
      <c r="P308" s="1039"/>
      <c r="Q308" s="1039"/>
      <c r="R308" s="1039"/>
      <c r="S308" s="1039"/>
      <c r="T308" s="1039"/>
      <c r="U308" s="1039"/>
      <c r="V308" s="1039"/>
      <c r="W308" s="1039"/>
      <c r="X308" s="1039"/>
      <c r="Y308" s="1039"/>
      <c r="Z308" s="1039"/>
      <c r="AA308" s="1039"/>
      <c r="AB308" s="1039"/>
    </row>
    <row r="309" spans="3:28" ht="12.2" customHeight="1">
      <c r="C309" s="1383"/>
      <c r="D309" s="1384"/>
      <c r="E309" s="1039" t="s">
        <v>993</v>
      </c>
      <c r="F309" s="1039"/>
      <c r="G309" s="1039"/>
      <c r="H309" s="1039"/>
      <c r="I309" s="1039"/>
      <c r="J309" s="1039"/>
      <c r="K309" s="1039"/>
      <c r="L309" s="1039"/>
      <c r="M309" s="1039"/>
      <c r="N309" s="1039"/>
      <c r="O309" s="1039"/>
      <c r="P309" s="1039"/>
      <c r="Q309" s="1039"/>
      <c r="R309" s="1039"/>
      <c r="S309" s="1039"/>
      <c r="T309" s="1039"/>
      <c r="U309" s="1039"/>
      <c r="V309" s="1039"/>
      <c r="W309" s="1039"/>
      <c r="X309" s="1039"/>
      <c r="Y309" s="1039"/>
      <c r="Z309" s="1039"/>
      <c r="AA309" s="1039"/>
      <c r="AB309" s="1039"/>
    </row>
    <row r="310" spans="3:28" ht="12.2" customHeight="1">
      <c r="C310" s="1383"/>
      <c r="D310" s="1384"/>
      <c r="E310" s="1039" t="s">
        <v>767</v>
      </c>
      <c r="F310" s="1039"/>
      <c r="G310" s="1039"/>
      <c r="H310" s="1039"/>
      <c r="I310" s="1039"/>
      <c r="J310" s="1039"/>
      <c r="K310" s="1039"/>
      <c r="L310" s="1039"/>
      <c r="M310" s="1039"/>
      <c r="N310" s="1039"/>
      <c r="O310" s="1039"/>
      <c r="P310" s="1039"/>
      <c r="Q310" s="1039"/>
      <c r="R310" s="1039"/>
      <c r="S310" s="1039"/>
      <c r="T310" s="1039"/>
      <c r="U310" s="1039"/>
      <c r="V310" s="1039"/>
      <c r="W310" s="1039"/>
      <c r="X310" s="1039"/>
      <c r="Y310" s="1039"/>
      <c r="Z310" s="1039"/>
      <c r="AA310" s="1039"/>
      <c r="AB310" s="1039"/>
    </row>
    <row r="311" spans="3:28" ht="12.2" customHeight="1">
      <c r="C311" s="1383"/>
      <c r="D311" s="1384"/>
      <c r="E311" s="1039" t="s">
        <v>768</v>
      </c>
      <c r="F311" s="1039"/>
      <c r="G311" s="1039"/>
      <c r="H311" s="1039"/>
      <c r="I311" s="1039"/>
      <c r="J311" s="1039"/>
      <c r="K311" s="1039"/>
      <c r="L311" s="1039"/>
      <c r="M311" s="1039"/>
      <c r="N311" s="1039"/>
      <c r="O311" s="1039"/>
      <c r="P311" s="1039"/>
      <c r="Q311" s="1039"/>
      <c r="R311" s="1039"/>
      <c r="S311" s="1039"/>
      <c r="T311" s="1039"/>
      <c r="U311" s="1039"/>
      <c r="V311" s="1039"/>
      <c r="W311" s="1039"/>
      <c r="X311" s="1039"/>
      <c r="Y311" s="1039"/>
      <c r="Z311" s="1039"/>
      <c r="AA311" s="1039"/>
      <c r="AB311" s="1039"/>
    </row>
    <row r="312" spans="3:28" ht="12.2" customHeight="1">
      <c r="C312" s="1383"/>
      <c r="D312" s="1384"/>
      <c r="E312" s="1039" t="s">
        <v>769</v>
      </c>
      <c r="F312" s="1039"/>
      <c r="G312" s="1039"/>
      <c r="H312" s="1039"/>
      <c r="I312" s="1039"/>
      <c r="J312" s="1039"/>
      <c r="K312" s="1039"/>
      <c r="L312" s="1039"/>
      <c r="M312" s="1039"/>
      <c r="N312" s="1039"/>
      <c r="O312" s="1039"/>
      <c r="P312" s="1039"/>
      <c r="Q312" s="1039"/>
      <c r="R312" s="1039"/>
      <c r="S312" s="1039"/>
      <c r="T312" s="1039"/>
      <c r="U312" s="1039"/>
      <c r="V312" s="1039"/>
      <c r="W312" s="1039"/>
      <c r="X312" s="1039"/>
      <c r="Y312" s="1039"/>
      <c r="Z312" s="1039"/>
      <c r="AA312" s="1039"/>
      <c r="AB312" s="1039"/>
    </row>
    <row r="313" spans="3:28" ht="12.2" customHeight="1">
      <c r="C313" s="1385"/>
      <c r="D313" s="1386"/>
      <c r="E313" s="1039" t="s">
        <v>770</v>
      </c>
      <c r="F313" s="1039"/>
      <c r="G313" s="1039"/>
      <c r="H313" s="1039"/>
      <c r="I313" s="1039"/>
      <c r="J313" s="1039"/>
      <c r="K313" s="1039"/>
      <c r="L313" s="1039"/>
      <c r="M313" s="1039"/>
      <c r="N313" s="1039"/>
      <c r="O313" s="1039"/>
      <c r="P313" s="1039"/>
      <c r="Q313" s="1039"/>
      <c r="R313" s="1039"/>
      <c r="S313" s="1039"/>
      <c r="T313" s="1039"/>
      <c r="U313" s="1039"/>
      <c r="V313" s="1039"/>
      <c r="W313" s="1039"/>
      <c r="X313" s="1039"/>
      <c r="Y313" s="1039"/>
      <c r="Z313" s="1039"/>
      <c r="AA313" s="1039"/>
      <c r="AB313" s="1039"/>
    </row>
    <row r="314" spans="3:28" ht="6.4" customHeight="1">
      <c r="C314" s="891"/>
      <c r="D314" s="891"/>
    </row>
    <row r="315" spans="3:28" ht="12.2" customHeight="1">
      <c r="C315" s="891"/>
      <c r="D315" s="891"/>
      <c r="E315" s="60" t="s">
        <v>700</v>
      </c>
    </row>
    <row r="316" spans="3:28" ht="12.2" customHeight="1">
      <c r="C316" s="891"/>
      <c r="D316" s="891"/>
      <c r="E316" s="1155" t="s">
        <v>1578</v>
      </c>
    </row>
    <row r="317" spans="3:28" ht="12.2" customHeight="1">
      <c r="C317" s="891"/>
      <c r="D317" s="891"/>
      <c r="E317" s="1155" t="s">
        <v>1579</v>
      </c>
    </row>
    <row r="318" spans="3:28" ht="12.2" customHeight="1">
      <c r="C318" s="891"/>
      <c r="D318" s="891"/>
      <c r="E318" s="60" t="s">
        <v>992</v>
      </c>
    </row>
    <row r="319" spans="3:28" ht="12.2" customHeight="1">
      <c r="C319" s="891"/>
      <c r="D319" s="891"/>
      <c r="E319" s="60" t="s">
        <v>701</v>
      </c>
    </row>
    <row r="320" spans="3:28" ht="12.2" customHeight="1">
      <c r="C320" s="891"/>
      <c r="D320" s="891"/>
      <c r="E320" s="60" t="s">
        <v>772</v>
      </c>
    </row>
    <row r="321" spans="3:6" ht="6.4" customHeight="1">
      <c r="C321" s="891"/>
      <c r="D321" s="891"/>
    </row>
    <row r="322" spans="3:6" ht="12.2" customHeight="1">
      <c r="C322" s="1391" t="s">
        <v>1496</v>
      </c>
      <c r="D322" s="1392"/>
      <c r="E322" s="60" t="s">
        <v>1101</v>
      </c>
    </row>
    <row r="323" spans="3:6" ht="12.2" customHeight="1">
      <c r="C323" s="1393"/>
      <c r="D323" s="1394"/>
      <c r="E323" s="1155" t="s">
        <v>1494</v>
      </c>
      <c r="F323" s="60"/>
    </row>
    <row r="324" spans="3:6" ht="12.2" customHeight="1">
      <c r="C324" s="1393"/>
      <c r="D324" s="1394"/>
      <c r="E324" s="60" t="s">
        <v>1102</v>
      </c>
      <c r="F324" s="60"/>
    </row>
    <row r="325" spans="3:6" ht="6.6" customHeight="1">
      <c r="C325" s="1393"/>
      <c r="D325" s="1394"/>
      <c r="E325" s="60"/>
      <c r="F325" s="60"/>
    </row>
    <row r="326" spans="3:6" ht="12.2" customHeight="1">
      <c r="C326" s="1393"/>
      <c r="D326" s="1394"/>
      <c r="E326" s="1155" t="s">
        <v>1495</v>
      </c>
      <c r="F326" s="60"/>
    </row>
    <row r="327" spans="3:6" ht="12.2" customHeight="1">
      <c r="C327" s="1393"/>
      <c r="D327" s="1394"/>
      <c r="E327" s="60" t="s">
        <v>1196</v>
      </c>
      <c r="F327" s="60"/>
    </row>
    <row r="328" spans="3:6" ht="6.6" customHeight="1">
      <c r="C328" s="1393"/>
      <c r="D328" s="1394"/>
      <c r="E328" s="60"/>
      <c r="F328" s="60"/>
    </row>
    <row r="329" spans="3:6" ht="12.2" customHeight="1">
      <c r="C329" s="1393"/>
      <c r="D329" s="1394"/>
      <c r="E329" s="1155" t="s">
        <v>1497</v>
      </c>
      <c r="F329" s="60"/>
    </row>
    <row r="330" spans="3:6" ht="12.2" customHeight="1">
      <c r="C330" s="1393"/>
      <c r="D330" s="1394"/>
      <c r="E330" s="1155" t="s">
        <v>1501</v>
      </c>
      <c r="F330" s="60"/>
    </row>
    <row r="331" spans="3:6" ht="12.2" customHeight="1">
      <c r="C331" s="1393"/>
      <c r="D331" s="1394"/>
      <c r="E331" s="1155" t="s">
        <v>1580</v>
      </c>
      <c r="F331" s="60"/>
    </row>
    <row r="332" spans="3:6" ht="6.4" customHeight="1">
      <c r="C332" s="1393"/>
      <c r="D332" s="1394"/>
      <c r="E332" s="60"/>
      <c r="F332" s="60"/>
    </row>
    <row r="333" spans="3:6" ht="12.2" customHeight="1">
      <c r="C333" s="1393"/>
      <c r="D333" s="1394"/>
      <c r="E333" s="1155" t="s">
        <v>1502</v>
      </c>
      <c r="F333" s="60"/>
    </row>
    <row r="334" spans="3:6" ht="12.2" customHeight="1">
      <c r="C334" s="1393"/>
      <c r="D334" s="1394"/>
      <c r="E334" s="1155" t="s">
        <v>1503</v>
      </c>
      <c r="F334" s="60"/>
    </row>
    <row r="335" spans="3:6" ht="12.2" customHeight="1">
      <c r="C335" s="1393"/>
      <c r="D335" s="1394"/>
      <c r="E335" s="607" t="s">
        <v>1504</v>
      </c>
      <c r="F335" s="60"/>
    </row>
    <row r="336" spans="3:6" ht="12.2" customHeight="1">
      <c r="C336" s="1393"/>
      <c r="D336" s="1394"/>
      <c r="E336" s="1155" t="s">
        <v>1505</v>
      </c>
      <c r="F336" s="60"/>
    </row>
    <row r="337" spans="3:6" ht="12.2" customHeight="1">
      <c r="C337" s="1393"/>
      <c r="D337" s="1394"/>
      <c r="E337" s="1155" t="s">
        <v>1506</v>
      </c>
      <c r="F337" s="60"/>
    </row>
    <row r="338" spans="3:6" ht="12.2" customHeight="1">
      <c r="C338" s="1393"/>
      <c r="D338" s="1394"/>
      <c r="E338" s="1155" t="s">
        <v>1507</v>
      </c>
      <c r="F338" s="60"/>
    </row>
    <row r="339" spans="3:6" ht="12.2" customHeight="1">
      <c r="C339" s="1393"/>
      <c r="D339" s="1394"/>
      <c r="E339" s="1155" t="s">
        <v>1534</v>
      </c>
      <c r="F339" s="60"/>
    </row>
    <row r="340" spans="3:6" ht="12.2" customHeight="1">
      <c r="C340" s="1393"/>
      <c r="D340" s="1394"/>
      <c r="E340" s="607" t="s">
        <v>1535</v>
      </c>
      <c r="F340" s="60"/>
    </row>
    <row r="341" spans="3:6" ht="12.2" customHeight="1">
      <c r="C341" s="1393"/>
      <c r="D341" s="1394"/>
      <c r="E341" s="607"/>
      <c r="F341" s="60"/>
    </row>
    <row r="342" spans="3:6" ht="12.2" customHeight="1">
      <c r="C342" s="1393"/>
      <c r="D342" s="1394"/>
      <c r="E342" s="892" t="s">
        <v>1508</v>
      </c>
    </row>
    <row r="343" spans="3:6" ht="12.2" customHeight="1">
      <c r="C343" s="1393"/>
      <c r="D343" s="1394"/>
      <c r="E343" s="892" t="s">
        <v>1237</v>
      </c>
    </row>
    <row r="344" spans="3:6" ht="12.2" customHeight="1">
      <c r="C344" s="1393"/>
      <c r="D344" s="1394"/>
      <c r="E344" s="892" t="s">
        <v>1509</v>
      </c>
    </row>
    <row r="345" spans="3:6" ht="6.4" customHeight="1">
      <c r="C345" s="1393"/>
      <c r="D345" s="1394"/>
      <c r="E345" s="60"/>
      <c r="F345" s="60"/>
    </row>
    <row r="346" spans="3:6" ht="12.2" customHeight="1">
      <c r="C346" s="1393"/>
      <c r="D346" s="1394"/>
      <c r="E346" s="60" t="s">
        <v>1103</v>
      </c>
      <c r="F346" s="60"/>
    </row>
    <row r="347" spans="3:6" ht="12.2" customHeight="1">
      <c r="C347" s="1393"/>
      <c r="D347" s="1394"/>
      <c r="E347" s="60" t="s">
        <v>1082</v>
      </c>
      <c r="F347" s="60"/>
    </row>
    <row r="348" spans="3:6" ht="12.2" customHeight="1">
      <c r="C348" s="1393"/>
      <c r="D348" s="1394"/>
      <c r="E348" s="60" t="s">
        <v>1107</v>
      </c>
      <c r="F348" s="60"/>
    </row>
    <row r="349" spans="3:6" ht="12.2" customHeight="1">
      <c r="C349" s="1393"/>
      <c r="D349" s="1394"/>
      <c r="E349" s="60" t="s">
        <v>1104</v>
      </c>
      <c r="F349" s="60"/>
    </row>
    <row r="350" spans="3:6" ht="12.2" customHeight="1">
      <c r="C350" s="1393"/>
      <c r="D350" s="1394"/>
      <c r="E350" s="60" t="s">
        <v>1105</v>
      </c>
    </row>
    <row r="351" spans="3:6" ht="12.2" customHeight="1">
      <c r="C351" s="1393"/>
      <c r="D351" s="1394"/>
      <c r="E351" s="60" t="s">
        <v>1106</v>
      </c>
    </row>
    <row r="352" spans="3:6" ht="12.2" customHeight="1">
      <c r="C352" s="1393"/>
      <c r="D352" s="1394"/>
      <c r="E352" s="60" t="s">
        <v>1092</v>
      </c>
    </row>
    <row r="353" spans="3:18" ht="12.2" customHeight="1">
      <c r="C353" s="1393"/>
      <c r="D353" s="1394"/>
      <c r="E353" s="60" t="s">
        <v>1093</v>
      </c>
    </row>
    <row r="354" spans="3:18" ht="12.2" customHeight="1">
      <c r="C354" s="1393"/>
      <c r="D354" s="1394"/>
      <c r="E354" s="60" t="s">
        <v>1197</v>
      </c>
    </row>
    <row r="355" spans="3:18" ht="12.2" customHeight="1">
      <c r="C355" s="1393"/>
      <c r="D355" s="1394"/>
      <c r="E355" s="60" t="s">
        <v>1108</v>
      </c>
    </row>
    <row r="356" spans="3:18" ht="12.2" customHeight="1">
      <c r="C356" s="1393"/>
      <c r="D356" s="1394"/>
      <c r="E356" s="60" t="s">
        <v>1109</v>
      </c>
    </row>
    <row r="357" spans="3:18" ht="12.2" customHeight="1">
      <c r="C357" s="1393"/>
      <c r="D357" s="1394"/>
      <c r="E357" s="60" t="s">
        <v>1110</v>
      </c>
    </row>
    <row r="358" spans="3:18" ht="12.2" customHeight="1">
      <c r="C358" s="1393"/>
      <c r="D358" s="1394"/>
      <c r="E358" s="60"/>
      <c r="F358" s="1363" t="s">
        <v>1114</v>
      </c>
    </row>
    <row r="359" spans="3:18" ht="6.4" customHeight="1">
      <c r="C359" s="1393"/>
      <c r="D359" s="1394"/>
      <c r="E359" s="60"/>
    </row>
    <row r="360" spans="3:18" ht="12.2" customHeight="1">
      <c r="C360" s="1393"/>
      <c r="D360" s="1394"/>
      <c r="E360" s="1155" t="s">
        <v>1510</v>
      </c>
    </row>
    <row r="361" spans="3:18" ht="12.2" customHeight="1">
      <c r="C361" s="1393"/>
      <c r="D361" s="1394"/>
      <c r="E361" s="60" t="s">
        <v>1199</v>
      </c>
    </row>
    <row r="362" spans="3:18" ht="12.2" customHeight="1">
      <c r="C362" s="1393"/>
      <c r="D362" s="1394"/>
      <c r="E362" s="60" t="s">
        <v>1200</v>
      </c>
    </row>
    <row r="363" spans="3:18" ht="12.2" customHeight="1">
      <c r="C363" s="1393"/>
      <c r="D363" s="1394"/>
      <c r="E363" s="1155" t="s">
        <v>1511</v>
      </c>
    </row>
    <row r="364" spans="3:18" ht="12.2" customHeight="1">
      <c r="C364" s="1393"/>
      <c r="D364" s="1394"/>
      <c r="E364" s="60" t="s">
        <v>1201</v>
      </c>
    </row>
    <row r="365" spans="3:18" ht="6.4" customHeight="1">
      <c r="C365" s="1393"/>
      <c r="D365" s="1394"/>
      <c r="E365" s="60"/>
    </row>
    <row r="366" spans="3:18" ht="12.2" customHeight="1">
      <c r="C366" s="1393"/>
      <c r="D366" s="1394"/>
      <c r="E366" s="1369" t="s">
        <v>1512</v>
      </c>
      <c r="F366" s="1368"/>
      <c r="G366" s="892"/>
      <c r="H366" s="892"/>
      <c r="I366" s="1155" t="s">
        <v>1376</v>
      </c>
      <c r="J366" s="892"/>
      <c r="K366" s="892"/>
      <c r="L366" s="892"/>
      <c r="M366" s="892"/>
      <c r="N366" s="892"/>
      <c r="O366" s="892"/>
      <c r="P366" s="892"/>
      <c r="Q366" s="892"/>
      <c r="R366" s="892"/>
    </row>
    <row r="367" spans="3:18" ht="12.2" customHeight="1">
      <c r="C367" s="1393"/>
      <c r="D367" s="1394"/>
      <c r="E367" s="1155" t="s">
        <v>1513</v>
      </c>
      <c r="F367" s="892"/>
      <c r="G367" s="892"/>
      <c r="H367" s="892"/>
      <c r="I367" s="892"/>
      <c r="J367" s="892"/>
      <c r="K367" s="892"/>
      <c r="L367" s="892"/>
      <c r="M367" s="892"/>
      <c r="N367" s="892"/>
      <c r="O367" s="892"/>
      <c r="P367" s="892"/>
      <c r="Q367" s="892"/>
      <c r="R367" s="892"/>
    </row>
    <row r="368" spans="3:18" ht="12.2" customHeight="1">
      <c r="C368" s="1393"/>
      <c r="D368" s="1394"/>
      <c r="E368" s="1155" t="s">
        <v>1516</v>
      </c>
      <c r="F368" s="892"/>
      <c r="G368" s="892"/>
      <c r="H368" s="892"/>
      <c r="I368" s="892"/>
      <c r="J368" s="892"/>
      <c r="K368" s="892"/>
      <c r="L368" s="892"/>
      <c r="M368" s="892"/>
      <c r="N368" s="892"/>
      <c r="O368" s="892"/>
      <c r="P368" s="892"/>
      <c r="Q368" s="892"/>
      <c r="R368" s="892"/>
    </row>
    <row r="369" spans="3:38" ht="6.4" customHeight="1">
      <c r="C369" s="1393"/>
      <c r="D369" s="1394"/>
      <c r="E369" s="60"/>
    </row>
    <row r="370" spans="3:38" ht="12.2" customHeight="1">
      <c r="C370" s="1393"/>
      <c r="D370" s="1394"/>
      <c r="E370" s="1369" t="s">
        <v>1514</v>
      </c>
      <c r="K370" s="892" t="s">
        <v>1376</v>
      </c>
    </row>
    <row r="371" spans="3:38" ht="12.2" customHeight="1">
      <c r="C371" s="1393"/>
      <c r="D371" s="1394"/>
      <c r="E371" s="892" t="s">
        <v>1515</v>
      </c>
    </row>
    <row r="372" spans="3:38" ht="12.2" customHeight="1">
      <c r="C372" s="1393"/>
      <c r="D372" s="1394"/>
      <c r="E372" s="892" t="s">
        <v>1517</v>
      </c>
    </row>
    <row r="373" spans="3:38" ht="6.4" customHeight="1">
      <c r="C373" s="1393"/>
      <c r="D373" s="1394"/>
      <c r="E373" s="60"/>
    </row>
    <row r="374" spans="3:38" ht="12.2" customHeight="1">
      <c r="C374" s="1393"/>
      <c r="D374" s="1394"/>
      <c r="E374" s="1155" t="s">
        <v>1518</v>
      </c>
      <c r="AJ374" s="1387"/>
      <c r="AK374" s="1387"/>
      <c r="AL374" s="1387"/>
    </row>
    <row r="375" spans="3:38" ht="12.2" customHeight="1">
      <c r="C375" s="1393"/>
      <c r="D375" s="1394"/>
      <c r="E375" s="1155" t="s">
        <v>1519</v>
      </c>
      <c r="AJ375" s="1362"/>
      <c r="AK375" s="1362"/>
      <c r="AL375" s="1362"/>
    </row>
    <row r="376" spans="3:38" ht="12.2" customHeight="1">
      <c r="C376" s="1393"/>
      <c r="D376" s="1394"/>
      <c r="E376" s="607" t="s">
        <v>1520</v>
      </c>
    </row>
    <row r="377" spans="3:38" ht="12.2" customHeight="1">
      <c r="C377" s="1393"/>
      <c r="D377" s="1394"/>
      <c r="E377" s="1155" t="s">
        <v>1521</v>
      </c>
    </row>
    <row r="378" spans="3:38" ht="12.2" customHeight="1">
      <c r="C378" s="1393"/>
      <c r="D378" s="1394"/>
      <c r="E378" s="1155" t="s">
        <v>1522</v>
      </c>
    </row>
    <row r="379" spans="3:38" ht="12.2" customHeight="1">
      <c r="C379" s="1393"/>
      <c r="D379" s="1394"/>
      <c r="E379" s="607" t="s">
        <v>1536</v>
      </c>
    </row>
    <row r="380" spans="3:38" ht="12.2" customHeight="1">
      <c r="C380" s="1393"/>
      <c r="D380" s="1394"/>
      <c r="E380" s="1146" t="s">
        <v>1523</v>
      </c>
      <c r="F380" s="892"/>
      <c r="G380" s="892"/>
      <c r="H380" s="892"/>
      <c r="I380" s="892"/>
      <c r="J380" s="892"/>
      <c r="K380" s="892"/>
      <c r="L380" s="892"/>
      <c r="M380" s="892"/>
      <c r="N380" s="892"/>
      <c r="O380" s="892"/>
      <c r="P380" s="892"/>
      <c r="Q380" s="892"/>
      <c r="R380" s="892"/>
      <c r="S380" s="892"/>
      <c r="T380" s="892"/>
      <c r="U380" s="892"/>
      <c r="V380" s="892"/>
      <c r="W380" s="892"/>
      <c r="X380" s="892"/>
      <c r="Y380" s="892"/>
      <c r="Z380" s="892"/>
      <c r="AA380" s="892"/>
      <c r="AB380" s="892"/>
    </row>
    <row r="381" spans="3:38" ht="12.2" customHeight="1">
      <c r="C381" s="1393"/>
      <c r="D381" s="1394"/>
      <c r="E381" s="892" t="s">
        <v>1524</v>
      </c>
      <c r="F381" s="892"/>
      <c r="G381" s="892"/>
      <c r="H381" s="892"/>
      <c r="I381" s="892"/>
      <c r="J381" s="892"/>
      <c r="K381" s="892"/>
      <c r="L381" s="892"/>
      <c r="M381" s="892"/>
      <c r="N381" s="892"/>
      <c r="O381" s="892"/>
      <c r="P381" s="892"/>
      <c r="Q381" s="892"/>
      <c r="R381" s="892"/>
      <c r="S381" s="892"/>
      <c r="T381" s="892"/>
      <c r="U381" s="892"/>
      <c r="V381" s="892"/>
      <c r="W381" s="892"/>
      <c r="X381" s="892"/>
      <c r="Y381" s="892"/>
      <c r="Z381" s="892"/>
      <c r="AA381" s="892"/>
      <c r="AB381" s="892"/>
    </row>
    <row r="382" spans="3:38" ht="12.2" customHeight="1">
      <c r="C382" s="1393"/>
      <c r="D382" s="1394"/>
      <c r="E382" s="892" t="s">
        <v>1390</v>
      </c>
      <c r="F382" s="892"/>
      <c r="G382" s="892"/>
      <c r="H382" s="892"/>
      <c r="I382" s="892"/>
      <c r="J382" s="892"/>
      <c r="K382" s="892"/>
      <c r="L382" s="892"/>
      <c r="M382" s="892"/>
      <c r="N382" s="892"/>
      <c r="O382" s="892"/>
      <c r="P382" s="892"/>
      <c r="Q382" s="892"/>
      <c r="R382" s="892"/>
      <c r="S382" s="892"/>
      <c r="T382" s="892"/>
      <c r="U382" s="892"/>
      <c r="V382" s="892"/>
      <c r="W382" s="892"/>
      <c r="X382" s="892"/>
      <c r="Y382" s="892"/>
      <c r="Z382" s="892"/>
      <c r="AA382" s="892"/>
      <c r="AB382" s="892"/>
    </row>
    <row r="383" spans="3:38" ht="12.2" customHeight="1">
      <c r="C383" s="1393"/>
      <c r="D383" s="1394"/>
      <c r="E383" s="892" t="s">
        <v>1391</v>
      </c>
      <c r="F383" s="892"/>
      <c r="G383" s="892"/>
      <c r="H383" s="892"/>
      <c r="I383" s="892"/>
      <c r="J383" s="892"/>
      <c r="K383" s="892"/>
      <c r="L383" s="892"/>
      <c r="M383" s="892"/>
      <c r="N383" s="892"/>
      <c r="O383" s="892"/>
      <c r="P383" s="892"/>
      <c r="Q383" s="892"/>
      <c r="R383" s="892"/>
      <c r="S383" s="892"/>
      <c r="T383" s="892"/>
      <c r="U383" s="892"/>
      <c r="V383" s="892"/>
      <c r="W383" s="892"/>
      <c r="X383" s="892"/>
      <c r="Y383" s="892"/>
      <c r="Z383" s="892"/>
      <c r="AA383" s="892"/>
      <c r="AB383" s="892"/>
    </row>
    <row r="384" spans="3:38" ht="12.2" customHeight="1">
      <c r="C384" s="1393"/>
      <c r="D384" s="1394"/>
      <c r="E384" s="892" t="s">
        <v>1377</v>
      </c>
      <c r="F384" s="892"/>
      <c r="G384" s="892"/>
      <c r="H384" s="892"/>
      <c r="I384" s="892"/>
      <c r="J384" s="892"/>
      <c r="K384" s="892"/>
      <c r="L384" s="892"/>
      <c r="M384" s="892"/>
      <c r="N384" s="892"/>
      <c r="O384" s="892"/>
      <c r="P384" s="892"/>
      <c r="Q384" s="892"/>
      <c r="R384" s="892"/>
      <c r="S384" s="892"/>
      <c r="T384" s="892"/>
      <c r="U384" s="892"/>
      <c r="V384" s="892"/>
      <c r="W384" s="892"/>
      <c r="X384" s="892"/>
      <c r="Y384" s="892"/>
      <c r="Z384" s="892"/>
      <c r="AA384" s="892"/>
      <c r="AB384" s="892"/>
    </row>
    <row r="385" spans="2:11" ht="12.2" customHeight="1">
      <c r="C385" s="1393"/>
      <c r="D385" s="1394"/>
      <c r="E385" s="60" t="s">
        <v>1202</v>
      </c>
    </row>
    <row r="386" spans="2:11" ht="12.2" customHeight="1">
      <c r="C386" s="1393"/>
      <c r="D386" s="1394"/>
      <c r="E386" s="892" t="s">
        <v>1378</v>
      </c>
    </row>
    <row r="387" spans="2:11" ht="12.2" customHeight="1">
      <c r="C387" s="1393"/>
      <c r="D387" s="1394"/>
      <c r="E387" s="892" t="s">
        <v>1337</v>
      </c>
    </row>
    <row r="388" spans="2:11" ht="12.2" customHeight="1">
      <c r="C388" s="1393"/>
      <c r="D388" s="1394"/>
      <c r="E388" s="1155" t="s">
        <v>600</v>
      </c>
      <c r="F388" s="1363" t="s">
        <v>1111</v>
      </c>
      <c r="G388" s="846"/>
      <c r="H388" s="846"/>
      <c r="I388" s="846"/>
      <c r="J388" s="1363" t="s">
        <v>1480</v>
      </c>
      <c r="K388" s="846"/>
    </row>
    <row r="389" spans="2:11" ht="12.2" customHeight="1">
      <c r="C389" s="1393"/>
      <c r="D389" s="1394"/>
      <c r="E389" s="1155"/>
      <c r="F389" s="1363"/>
      <c r="G389" s="846"/>
      <c r="H389" s="846"/>
      <c r="I389" s="846"/>
      <c r="J389" s="1363" t="s">
        <v>1526</v>
      </c>
      <c r="K389" s="846"/>
    </row>
    <row r="390" spans="2:11" ht="12.2" customHeight="1">
      <c r="C390" s="1395"/>
      <c r="D390" s="1396"/>
      <c r="F390" s="1363"/>
      <c r="G390" s="846"/>
      <c r="H390" s="846"/>
      <c r="I390" s="846"/>
      <c r="J390" s="1363" t="s">
        <v>1525</v>
      </c>
      <c r="K390" s="846"/>
    </row>
    <row r="391" spans="2:11" ht="12.2" customHeight="1">
      <c r="C391" s="1246"/>
      <c r="D391" s="1246"/>
      <c r="F391" s="1363"/>
      <c r="G391" s="846"/>
      <c r="H391" s="846"/>
      <c r="I391" s="846"/>
      <c r="J391" s="1363" t="s">
        <v>1392</v>
      </c>
      <c r="K391" s="846"/>
    </row>
    <row r="392" spans="2:11" ht="12.2" customHeight="1">
      <c r="C392" s="1246"/>
      <c r="D392" s="1246"/>
      <c r="F392" s="1363"/>
      <c r="G392" s="846"/>
      <c r="H392" s="846"/>
      <c r="I392" s="846"/>
      <c r="J392" s="1363" t="s">
        <v>1393</v>
      </c>
      <c r="K392" s="846"/>
    </row>
    <row r="393" spans="2:11" ht="6" customHeight="1">
      <c r="C393" s="891"/>
      <c r="D393" s="891"/>
    </row>
    <row r="394" spans="2:11" ht="12.2" customHeight="1">
      <c r="B394" s="1378" t="s">
        <v>494</v>
      </c>
      <c r="C394" s="891"/>
      <c r="D394" s="1367"/>
      <c r="E394" s="1155" t="s">
        <v>771</v>
      </c>
    </row>
    <row r="395" spans="2:11" ht="12.2" customHeight="1">
      <c r="B395" s="1379"/>
      <c r="C395" s="891"/>
      <c r="D395" s="891"/>
      <c r="E395" s="60" t="s">
        <v>773</v>
      </c>
      <c r="F395" s="60"/>
    </row>
    <row r="396" spans="2:11" ht="12.2" customHeight="1">
      <c r="B396" s="1380"/>
      <c r="C396" s="891"/>
      <c r="D396" s="891"/>
      <c r="E396" s="60" t="s">
        <v>774</v>
      </c>
      <c r="F396" s="60"/>
    </row>
    <row r="397" spans="2:11" ht="12.2" customHeight="1">
      <c r="C397" s="891"/>
      <c r="D397" s="891"/>
      <c r="E397" s="60" t="s">
        <v>775</v>
      </c>
      <c r="F397" s="60"/>
    </row>
    <row r="398" spans="2:11" ht="12.2" customHeight="1">
      <c r="C398" s="891"/>
      <c r="D398" s="891"/>
      <c r="E398" s="60" t="s">
        <v>1113</v>
      </c>
      <c r="F398" s="60"/>
    </row>
    <row r="399" spans="2:11" ht="12.2" customHeight="1">
      <c r="C399" s="891"/>
      <c r="D399" s="891"/>
      <c r="E399" s="60" t="s">
        <v>1112</v>
      </c>
      <c r="F399" s="60"/>
    </row>
    <row r="400" spans="2:11" ht="12.2" customHeight="1">
      <c r="C400" s="891"/>
      <c r="D400" s="891"/>
      <c r="E400" s="60"/>
      <c r="F400" s="1363" t="s">
        <v>1527</v>
      </c>
    </row>
    <row r="401" spans="2:29" ht="12.2" customHeight="1">
      <c r="C401" s="891"/>
      <c r="D401" s="891"/>
      <c r="F401" s="1363" t="s">
        <v>1528</v>
      </c>
    </row>
    <row r="402" spans="2:29" ht="6.4" customHeight="1">
      <c r="C402" s="891"/>
      <c r="D402" s="891"/>
    </row>
    <row r="403" spans="2:29" ht="12.2" customHeight="1">
      <c r="C403" s="891"/>
      <c r="D403" s="1367"/>
      <c r="E403" s="60" t="s">
        <v>7</v>
      </c>
      <c r="F403" s="209"/>
      <c r="G403" s="209"/>
      <c r="H403" s="209"/>
      <c r="I403" s="209"/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U403" s="543"/>
      <c r="W403" s="209"/>
      <c r="X403" s="209"/>
      <c r="Y403" s="209"/>
      <c r="Z403" s="209"/>
      <c r="AA403" s="209"/>
      <c r="AC403" s="209"/>
    </row>
    <row r="404" spans="2:29" ht="12.2" customHeight="1">
      <c r="C404" s="891"/>
      <c r="D404" s="891"/>
      <c r="E404" s="60" t="s">
        <v>634</v>
      </c>
      <c r="F404" s="209"/>
      <c r="G404" s="209"/>
      <c r="H404" s="209"/>
      <c r="I404" s="209"/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  <c r="AA404" s="209"/>
      <c r="AB404" s="209"/>
      <c r="AC404" s="209"/>
    </row>
    <row r="405" spans="2:29" ht="12.2" customHeight="1">
      <c r="C405" s="891"/>
      <c r="D405" s="891"/>
      <c r="E405" s="60" t="s">
        <v>776</v>
      </c>
      <c r="F405" s="209"/>
      <c r="G405" s="209"/>
      <c r="H405" s="209"/>
      <c r="I405" s="209"/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  <c r="AA405" s="209"/>
      <c r="AB405" s="209"/>
      <c r="AC405" s="209"/>
    </row>
    <row r="406" spans="2:29" ht="6.4" customHeight="1">
      <c r="C406" s="891"/>
      <c r="D406" s="891"/>
      <c r="E406" s="60"/>
      <c r="F406" s="209"/>
      <c r="G406" s="209"/>
      <c r="H406" s="209"/>
      <c r="I406" s="209"/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  <c r="AA406" s="209"/>
      <c r="AB406" s="209"/>
      <c r="AC406" s="209"/>
    </row>
    <row r="407" spans="2:29" ht="12.2" customHeight="1">
      <c r="C407" s="891"/>
      <c r="D407" s="891"/>
      <c r="E407" s="60" t="s">
        <v>636</v>
      </c>
      <c r="F407" s="209"/>
      <c r="G407" s="209"/>
      <c r="H407" s="209"/>
      <c r="I407" s="209"/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  <c r="AA407" s="209"/>
      <c r="AB407" s="209"/>
      <c r="AC407" s="209"/>
    </row>
    <row r="408" spans="2:29" ht="12.2" customHeight="1">
      <c r="C408" s="891"/>
      <c r="D408" s="891"/>
      <c r="E408" s="60" t="s">
        <v>635</v>
      </c>
      <c r="F408" s="209"/>
      <c r="G408" s="209"/>
      <c r="H408" s="209"/>
      <c r="I408" s="209"/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  <c r="AA408" s="209"/>
      <c r="AB408" s="209"/>
      <c r="AC408" s="209"/>
    </row>
    <row r="409" spans="2:29" ht="6.4" customHeight="1">
      <c r="C409" s="891"/>
      <c r="D409" s="891"/>
    </row>
    <row r="410" spans="2:29" ht="12.2" customHeight="1">
      <c r="C410" s="891"/>
      <c r="D410" s="891"/>
      <c r="E410" s="60" t="s">
        <v>777</v>
      </c>
      <c r="F410" s="58"/>
    </row>
    <row r="411" spans="2:29" ht="12.2" customHeight="1">
      <c r="C411" s="891"/>
      <c r="D411" s="891"/>
      <c r="E411" s="60" t="s">
        <v>732</v>
      </c>
      <c r="F411" s="58"/>
    </row>
    <row r="412" spans="2:29" ht="12.2" customHeight="1">
      <c r="C412" s="891"/>
      <c r="D412" s="891"/>
      <c r="E412" s="60" t="s">
        <v>733</v>
      </c>
      <c r="F412" s="606"/>
    </row>
    <row r="413" spans="2:29" ht="12.2" customHeight="1">
      <c r="C413" s="891"/>
      <c r="D413" s="891"/>
    </row>
    <row r="414" spans="2:29" ht="12.2" customHeight="1">
      <c r="C414" s="891"/>
      <c r="D414" s="891"/>
      <c r="E414" s="60" t="s">
        <v>702</v>
      </c>
    </row>
    <row r="415" spans="2:29" ht="12.2" customHeight="1">
      <c r="C415" s="891"/>
      <c r="D415" s="891"/>
      <c r="E415" s="60" t="s">
        <v>587</v>
      </c>
    </row>
    <row r="416" spans="2:29" ht="12.2" customHeight="1">
      <c r="B416" s="1375" t="s">
        <v>494</v>
      </c>
      <c r="C416" s="891"/>
      <c r="D416" s="891"/>
      <c r="E416" s="60" t="s">
        <v>697</v>
      </c>
      <c r="F416" s="632" t="s">
        <v>699</v>
      </c>
    </row>
    <row r="417" spans="2:27" ht="12.2" customHeight="1">
      <c r="B417" s="1376"/>
      <c r="C417" s="891"/>
      <c r="D417" s="891"/>
      <c r="E417" s="1155" t="s">
        <v>1529</v>
      </c>
      <c r="F417" s="632"/>
    </row>
    <row r="418" spans="2:27" ht="12.2" customHeight="1">
      <c r="B418" s="1377"/>
      <c r="C418" s="891"/>
      <c r="D418" s="891"/>
      <c r="E418" s="60" t="s">
        <v>742</v>
      </c>
      <c r="F418" s="632"/>
    </row>
    <row r="419" spans="2:27" ht="12.2" customHeight="1">
      <c r="C419" s="891"/>
      <c r="D419" s="891"/>
      <c r="E419" s="60" t="s">
        <v>741</v>
      </c>
      <c r="F419" s="632"/>
    </row>
    <row r="420" spans="2:27" ht="12.2" customHeight="1">
      <c r="C420" s="1397" t="s">
        <v>1338</v>
      </c>
      <c r="D420" s="1398"/>
      <c r="E420" s="60" t="s">
        <v>698</v>
      </c>
      <c r="F420" s="632" t="s">
        <v>1582</v>
      </c>
      <c r="G420" s="1155"/>
      <c r="H420" s="1155"/>
      <c r="I420" s="1155"/>
      <c r="J420" s="1155"/>
      <c r="K420" s="1155"/>
      <c r="L420" s="1155"/>
      <c r="M420" s="1155"/>
      <c r="N420" s="1155"/>
      <c r="O420" s="1155"/>
      <c r="P420" s="1155"/>
      <c r="Q420" s="1155"/>
      <c r="R420" s="1155"/>
      <c r="S420" s="1155"/>
      <c r="T420" s="1155"/>
      <c r="U420" s="1155"/>
      <c r="V420" s="1155"/>
      <c r="W420" s="1155"/>
      <c r="X420" s="1155"/>
      <c r="Y420" s="1155"/>
      <c r="Z420" s="1155"/>
      <c r="AA420" s="1155"/>
    </row>
    <row r="421" spans="2:27" ht="12.2" customHeight="1">
      <c r="C421" s="1399"/>
      <c r="D421" s="1400"/>
      <c r="E421" s="1152"/>
      <c r="F421" s="58" t="s">
        <v>589</v>
      </c>
      <c r="G421" s="1155"/>
      <c r="H421" s="1155"/>
      <c r="I421" s="1155"/>
      <c r="J421" s="1155"/>
      <c r="K421" s="1155"/>
      <c r="L421" s="1155"/>
      <c r="M421" s="1155"/>
      <c r="N421" s="1155"/>
      <c r="O421" s="1155"/>
      <c r="P421" s="1155"/>
      <c r="Q421" s="1155"/>
      <c r="R421" s="1155"/>
      <c r="S421" s="1155"/>
      <c r="T421" s="1155"/>
      <c r="U421" s="1155"/>
      <c r="V421" s="1155"/>
      <c r="W421" s="1155"/>
      <c r="X421" s="1155"/>
      <c r="Y421" s="1155"/>
      <c r="Z421" s="1155"/>
      <c r="AA421" s="1155"/>
    </row>
    <row r="422" spans="2:27" ht="12.2" customHeight="1">
      <c r="B422" s="1375" t="s">
        <v>494</v>
      </c>
      <c r="C422" s="1399"/>
      <c r="D422" s="1400"/>
      <c r="E422" s="1153"/>
      <c r="F422" s="58" t="s">
        <v>588</v>
      </c>
      <c r="G422" s="1155"/>
      <c r="H422" s="1155"/>
      <c r="I422" s="1155"/>
      <c r="J422" s="1155"/>
      <c r="K422" s="1155"/>
      <c r="L422" s="1155"/>
      <c r="M422" s="1155"/>
      <c r="N422" s="1155"/>
      <c r="O422" s="1155"/>
      <c r="P422" s="1155"/>
      <c r="Q422" s="1155"/>
      <c r="R422" s="1155"/>
      <c r="S422" s="1155"/>
      <c r="T422" s="1155"/>
      <c r="U422" s="1155"/>
      <c r="V422" s="1155"/>
      <c r="W422" s="1155"/>
      <c r="X422" s="1155"/>
      <c r="Y422" s="1155"/>
      <c r="Z422" s="1155"/>
      <c r="AA422" s="1155"/>
    </row>
    <row r="423" spans="2:27" ht="12.2" customHeight="1">
      <c r="B423" s="1376"/>
      <c r="C423" s="1399"/>
      <c r="D423" s="1400"/>
      <c r="E423" s="1153"/>
      <c r="F423" s="1155" t="s">
        <v>1218</v>
      </c>
      <c r="G423" s="1155"/>
      <c r="H423" s="1155"/>
      <c r="I423" s="1155"/>
      <c r="J423" s="1155"/>
      <c r="K423" s="1155"/>
      <c r="L423" s="1155"/>
      <c r="M423" s="1155"/>
      <c r="N423" s="1155"/>
      <c r="O423" s="1155"/>
      <c r="P423" s="1155"/>
      <c r="Q423" s="1155"/>
      <c r="R423" s="1155"/>
      <c r="S423" s="1155"/>
      <c r="T423" s="1155"/>
      <c r="U423" s="1155"/>
      <c r="V423" s="1155"/>
      <c r="W423" s="1155"/>
      <c r="X423" s="1155"/>
      <c r="Y423" s="1155"/>
      <c r="Z423" s="1155"/>
      <c r="AA423" s="1155"/>
    </row>
    <row r="424" spans="2:27" ht="12.2" customHeight="1">
      <c r="B424" s="1377"/>
      <c r="C424" s="1399"/>
      <c r="D424" s="1400"/>
      <c r="E424" s="1153"/>
      <c r="F424" s="1155" t="s">
        <v>1583</v>
      </c>
      <c r="G424" s="1155"/>
      <c r="H424" s="1155"/>
      <c r="I424" s="1155"/>
      <c r="J424" s="1155"/>
      <c r="K424" s="1155"/>
      <c r="L424" s="1155"/>
      <c r="M424" s="1155"/>
      <c r="N424" s="1155"/>
      <c r="O424" s="1155"/>
      <c r="P424" s="1155"/>
      <c r="Q424" s="1155"/>
      <c r="R424" s="1155"/>
      <c r="S424" s="1155"/>
      <c r="T424" s="1155"/>
      <c r="U424" s="1155"/>
      <c r="V424" s="1155"/>
      <c r="W424" s="1155"/>
      <c r="X424" s="1155"/>
      <c r="Y424" s="1155"/>
      <c r="Z424" s="1155"/>
      <c r="AA424" s="1155"/>
    </row>
    <row r="425" spans="2:27" ht="12.2" customHeight="1">
      <c r="C425" s="1399"/>
      <c r="D425" s="1400"/>
      <c r="E425" s="1153"/>
      <c r="F425" s="1155" t="s">
        <v>1584</v>
      </c>
      <c r="G425" s="1155"/>
      <c r="H425" s="1155"/>
      <c r="I425" s="1155"/>
      <c r="J425" s="1155"/>
      <c r="K425" s="1155"/>
      <c r="L425" s="1155"/>
      <c r="M425" s="1155"/>
      <c r="N425" s="1155"/>
      <c r="O425" s="1155"/>
      <c r="P425" s="1155"/>
      <c r="Q425" s="1155"/>
      <c r="R425" s="1155"/>
      <c r="S425" s="1155"/>
      <c r="T425" s="1155"/>
      <c r="U425" s="1155"/>
      <c r="V425" s="1155"/>
      <c r="W425" s="1155"/>
      <c r="X425" s="1155"/>
      <c r="Y425" s="1155"/>
      <c r="Z425" s="1155"/>
      <c r="AA425" s="1155"/>
    </row>
    <row r="426" spans="2:27" ht="12.2" customHeight="1">
      <c r="C426" s="1399"/>
      <c r="D426" s="1400"/>
      <c r="E426" s="1153"/>
      <c r="F426" s="1155" t="s">
        <v>1133</v>
      </c>
      <c r="G426" s="1155"/>
      <c r="H426" s="1155"/>
      <c r="I426" s="1155"/>
      <c r="J426" s="1155"/>
      <c r="K426" s="1155"/>
      <c r="L426" s="1155"/>
      <c r="M426" s="1155"/>
      <c r="N426" s="1155"/>
      <c r="O426" s="1155"/>
      <c r="P426" s="1155"/>
      <c r="Q426" s="1155"/>
      <c r="R426" s="1155"/>
      <c r="S426" s="1155"/>
      <c r="T426" s="1155"/>
      <c r="U426" s="1155"/>
      <c r="V426" s="1155"/>
      <c r="W426" s="1155"/>
      <c r="X426" s="1155"/>
      <c r="Y426" s="1155"/>
      <c r="Z426" s="1155"/>
      <c r="AA426" s="1155"/>
    </row>
    <row r="427" spans="2:27" ht="12.2" customHeight="1">
      <c r="C427" s="1399"/>
      <c r="D427" s="1400"/>
      <c r="E427" s="1153"/>
      <c r="F427" s="1155"/>
      <c r="G427" s="1155" t="s">
        <v>987</v>
      </c>
      <c r="H427" s="1155"/>
      <c r="I427" s="1155"/>
      <c r="J427" s="1155"/>
      <c r="K427" s="1155"/>
      <c r="L427" s="1155"/>
      <c r="M427" s="1155"/>
      <c r="N427" s="1155"/>
      <c r="O427" s="1155"/>
      <c r="P427" s="1155"/>
      <c r="Q427" s="1155"/>
      <c r="R427" s="1155"/>
      <c r="S427" s="1155"/>
      <c r="T427" s="1155"/>
      <c r="U427" s="1155"/>
      <c r="V427" s="1155"/>
      <c r="W427" s="1155"/>
      <c r="X427" s="1155"/>
      <c r="Y427" s="1155"/>
      <c r="Z427" s="1155"/>
      <c r="AA427" s="1155"/>
    </row>
    <row r="428" spans="2:27" ht="12.2" customHeight="1">
      <c r="C428" s="1399"/>
      <c r="D428" s="1400"/>
      <c r="E428" s="1153"/>
      <c r="F428" s="1155"/>
      <c r="G428" s="1155" t="s">
        <v>988</v>
      </c>
      <c r="H428" s="1155"/>
      <c r="I428" s="1155"/>
      <c r="J428" s="1155"/>
      <c r="K428" s="1155"/>
      <c r="L428" s="1155"/>
      <c r="M428" s="1155"/>
      <c r="N428" s="1155"/>
      <c r="O428" s="1155"/>
      <c r="P428" s="1155"/>
      <c r="Q428" s="1155"/>
      <c r="R428" s="1155"/>
      <c r="S428" s="1155"/>
      <c r="T428" s="1155"/>
      <c r="U428" s="1155"/>
      <c r="V428" s="1155"/>
      <c r="W428" s="1155"/>
      <c r="X428" s="1155"/>
      <c r="Y428" s="1155"/>
      <c r="Z428" s="1155"/>
      <c r="AA428" s="1155"/>
    </row>
    <row r="429" spans="2:27" ht="12.2" customHeight="1">
      <c r="C429" s="1399"/>
      <c r="D429" s="1400"/>
      <c r="E429" s="1153"/>
      <c r="F429" s="1155"/>
      <c r="G429" s="607" t="s">
        <v>989</v>
      </c>
      <c r="H429" s="1155"/>
      <c r="I429" s="1155"/>
      <c r="J429" s="1155"/>
      <c r="K429" s="1155"/>
      <c r="L429" s="1155"/>
      <c r="M429" s="1155"/>
      <c r="N429" s="1155"/>
      <c r="O429" s="1155"/>
      <c r="P429" s="1155"/>
      <c r="Q429" s="1155"/>
      <c r="R429" s="1155"/>
      <c r="S429" s="1155"/>
      <c r="T429" s="1155"/>
      <c r="U429" s="1155"/>
      <c r="V429" s="1155"/>
      <c r="W429" s="1155"/>
      <c r="X429" s="1155"/>
      <c r="Y429" s="1155"/>
      <c r="Z429" s="1155"/>
      <c r="AA429" s="1155"/>
    </row>
    <row r="430" spans="2:27" ht="12.2" customHeight="1">
      <c r="C430" s="1399"/>
      <c r="D430" s="1400"/>
      <c r="E430" s="1153"/>
      <c r="F430" s="1155" t="s">
        <v>1000</v>
      </c>
      <c r="G430" s="1155"/>
      <c r="H430" s="1155"/>
      <c r="I430" s="1155"/>
      <c r="J430" s="1155"/>
      <c r="K430" s="1155"/>
      <c r="L430" s="1155"/>
      <c r="M430" s="1155"/>
      <c r="N430" s="1155"/>
      <c r="O430" s="1155"/>
      <c r="P430" s="1155"/>
      <c r="Q430" s="1155"/>
      <c r="R430" s="1155"/>
      <c r="S430" s="1155"/>
      <c r="T430" s="1155"/>
      <c r="U430" s="1155"/>
      <c r="V430" s="1155"/>
      <c r="W430" s="1155"/>
      <c r="X430" s="1155"/>
      <c r="Y430" s="1155"/>
      <c r="Z430" s="1155"/>
      <c r="AA430" s="1155"/>
    </row>
    <row r="431" spans="2:27" ht="12.2" customHeight="1">
      <c r="C431" s="1399"/>
      <c r="D431" s="1400"/>
      <c r="E431" s="1153"/>
      <c r="F431" s="1155" t="s">
        <v>1001</v>
      </c>
      <c r="G431" s="1155"/>
      <c r="H431" s="1155"/>
      <c r="I431" s="1155"/>
      <c r="J431" s="1155"/>
      <c r="K431" s="1155"/>
      <c r="L431" s="1155"/>
      <c r="M431" s="1155"/>
      <c r="N431" s="1155"/>
      <c r="O431" s="1155"/>
      <c r="P431" s="1155"/>
      <c r="Q431" s="1155"/>
      <c r="R431" s="1155"/>
      <c r="S431" s="1155"/>
      <c r="T431" s="1155"/>
      <c r="U431" s="1155"/>
      <c r="V431" s="1155"/>
      <c r="W431" s="1155"/>
      <c r="X431" s="1155"/>
      <c r="Y431" s="1155"/>
      <c r="Z431" s="1155"/>
      <c r="AA431" s="1155"/>
    </row>
    <row r="432" spans="2:27" ht="12.2" customHeight="1">
      <c r="C432" s="1399"/>
      <c r="D432" s="1400"/>
      <c r="E432" s="1153"/>
      <c r="F432" s="607" t="s">
        <v>1383</v>
      </c>
      <c r="G432" s="1155"/>
      <c r="H432" s="1155"/>
      <c r="I432" s="1155"/>
      <c r="J432" s="1155"/>
      <c r="K432" s="1155"/>
      <c r="L432" s="1155"/>
      <c r="M432" s="1155"/>
      <c r="N432" s="1155"/>
      <c r="O432" s="1155"/>
      <c r="P432" s="1155"/>
      <c r="Q432" s="1155"/>
      <c r="R432" s="1155"/>
      <c r="S432" s="1155"/>
      <c r="T432" s="1155"/>
      <c r="U432" s="1155"/>
      <c r="V432" s="1155"/>
      <c r="W432" s="1155"/>
      <c r="X432" s="1155"/>
      <c r="Y432" s="1155"/>
      <c r="Z432" s="1155"/>
      <c r="AA432" s="1155"/>
    </row>
    <row r="433" spans="3:30" ht="12.2" customHeight="1">
      <c r="C433" s="1399"/>
      <c r="D433" s="1400"/>
      <c r="E433" s="1153"/>
      <c r="F433" s="1374" t="s">
        <v>991</v>
      </c>
      <c r="G433" s="1155"/>
      <c r="H433" s="1155"/>
      <c r="I433" s="1155"/>
      <c r="J433" s="1155"/>
      <c r="K433" s="1155"/>
      <c r="L433" s="1155"/>
      <c r="M433" s="1155"/>
      <c r="N433" s="1155"/>
      <c r="O433" s="1155"/>
      <c r="P433" s="1155"/>
      <c r="Q433" s="1155"/>
      <c r="R433" s="1155"/>
      <c r="S433" s="1155"/>
      <c r="T433" s="1155"/>
      <c r="U433" s="1155"/>
      <c r="V433" s="1155"/>
      <c r="W433" s="1155"/>
      <c r="X433" s="1155"/>
      <c r="Y433" s="1155"/>
      <c r="Z433" s="1155"/>
      <c r="AA433" s="1155"/>
      <c r="AB433" s="892"/>
      <c r="AC433" s="892"/>
      <c r="AD433" s="892"/>
    </row>
    <row r="434" spans="3:30" ht="12.2" customHeight="1">
      <c r="C434" s="1399"/>
      <c r="D434" s="1400"/>
      <c r="E434" s="1153"/>
      <c r="F434" s="1155" t="s">
        <v>990</v>
      </c>
      <c r="G434" s="1155"/>
      <c r="H434" s="1155"/>
      <c r="I434" s="1155"/>
      <c r="J434" s="1155"/>
      <c r="K434" s="1155"/>
      <c r="L434" s="1155"/>
      <c r="M434" s="1155"/>
      <c r="N434" s="1155"/>
      <c r="O434" s="1155"/>
      <c r="P434" s="1155"/>
      <c r="Q434" s="1155"/>
      <c r="R434" s="1155"/>
      <c r="S434" s="1155"/>
      <c r="T434" s="1155"/>
      <c r="U434" s="1155"/>
      <c r="V434" s="1155"/>
      <c r="W434" s="1155"/>
      <c r="X434" s="1155"/>
      <c r="Y434" s="1155"/>
      <c r="Z434" s="1155"/>
      <c r="AA434" s="1155"/>
      <c r="AB434" s="892"/>
      <c r="AC434" s="892"/>
      <c r="AD434" s="892"/>
    </row>
    <row r="435" spans="3:30" ht="12.2" customHeight="1">
      <c r="C435" s="1399"/>
      <c r="D435" s="1400"/>
      <c r="E435" s="1153"/>
      <c r="F435" s="1155" t="s">
        <v>1585</v>
      </c>
      <c r="G435" s="1155"/>
      <c r="H435" s="1155"/>
      <c r="I435" s="1155"/>
      <c r="J435" s="1155"/>
      <c r="K435" s="1155"/>
      <c r="L435" s="1155"/>
      <c r="M435" s="1155"/>
      <c r="N435" s="1155"/>
      <c r="O435" s="1155"/>
      <c r="P435" s="1155"/>
      <c r="Q435" s="1155"/>
      <c r="R435" s="1155"/>
      <c r="S435" s="1155"/>
      <c r="T435" s="1155"/>
      <c r="U435" s="1155"/>
      <c r="V435" s="1155"/>
      <c r="W435" s="1155"/>
      <c r="X435" s="1155"/>
      <c r="Y435" s="1155"/>
      <c r="Z435" s="1155"/>
      <c r="AA435" s="1155"/>
      <c r="AB435" s="892"/>
      <c r="AC435" s="892"/>
      <c r="AD435" s="892"/>
    </row>
    <row r="436" spans="3:30" ht="12.2" customHeight="1">
      <c r="C436" s="1399"/>
      <c r="D436" s="1400"/>
      <c r="E436" s="1153"/>
      <c r="F436" s="1155" t="s">
        <v>1586</v>
      </c>
      <c r="G436" s="1155"/>
      <c r="H436" s="1155"/>
      <c r="I436" s="1155"/>
      <c r="J436" s="1155"/>
      <c r="K436" s="1155"/>
      <c r="L436" s="1155"/>
      <c r="M436" s="1155"/>
      <c r="N436" s="1155"/>
      <c r="O436" s="1155"/>
      <c r="P436" s="1155"/>
      <c r="Q436" s="1155"/>
      <c r="R436" s="1155"/>
      <c r="S436" s="1155"/>
      <c r="T436" s="1155"/>
      <c r="U436" s="1155"/>
      <c r="V436" s="1155"/>
      <c r="W436" s="1155"/>
      <c r="X436" s="1155"/>
      <c r="Y436" s="1155"/>
      <c r="Z436" s="1155"/>
      <c r="AA436" s="1155"/>
    </row>
    <row r="437" spans="3:30" ht="12.2" customHeight="1">
      <c r="C437" s="1399"/>
      <c r="D437" s="1400"/>
      <c r="E437" s="1153"/>
      <c r="F437" s="1155" t="s">
        <v>1002</v>
      </c>
      <c r="G437" s="1155"/>
      <c r="H437" s="1155"/>
      <c r="I437" s="1155"/>
      <c r="J437" s="1155"/>
      <c r="K437" s="1155"/>
      <c r="L437" s="1155"/>
      <c r="M437" s="1155"/>
      <c r="N437" s="1155"/>
      <c r="O437" s="1155"/>
      <c r="P437" s="1155"/>
      <c r="Q437" s="1155"/>
      <c r="R437" s="1155"/>
      <c r="S437" s="1155"/>
      <c r="T437" s="1155"/>
      <c r="U437" s="1155"/>
      <c r="V437" s="1155"/>
      <c r="W437" s="1155"/>
      <c r="X437" s="1155"/>
      <c r="Y437" s="1155"/>
      <c r="Z437" s="1155"/>
      <c r="AA437" s="1155"/>
    </row>
    <row r="438" spans="3:30" ht="12.2" customHeight="1">
      <c r="C438" s="1399"/>
      <c r="D438" s="1400"/>
      <c r="E438" s="1153"/>
      <c r="F438" s="1155" t="s">
        <v>1003</v>
      </c>
      <c r="G438" s="1155"/>
      <c r="H438" s="1155"/>
      <c r="I438" s="1155"/>
      <c r="J438" s="1155"/>
      <c r="K438" s="1155"/>
      <c r="L438" s="1155"/>
      <c r="M438" s="1155"/>
      <c r="N438" s="1155"/>
      <c r="O438" s="1155"/>
      <c r="P438" s="1155"/>
      <c r="Q438" s="1155"/>
      <c r="R438" s="1155"/>
      <c r="S438" s="1155"/>
      <c r="T438" s="1155"/>
      <c r="U438" s="1155"/>
      <c r="V438" s="1155"/>
      <c r="W438" s="1155"/>
      <c r="X438" s="1155"/>
      <c r="Y438" s="1155"/>
      <c r="Z438" s="1155"/>
      <c r="AA438" s="1155"/>
    </row>
    <row r="439" spans="3:30" ht="12.2" customHeight="1">
      <c r="C439" s="1399"/>
      <c r="D439" s="1400"/>
      <c r="E439" s="1153"/>
      <c r="F439" s="1155" t="s">
        <v>1004</v>
      </c>
      <c r="G439" s="1155"/>
      <c r="H439" s="1155"/>
      <c r="I439" s="1155"/>
      <c r="J439" s="1155"/>
      <c r="K439" s="1155"/>
      <c r="L439" s="1155"/>
      <c r="M439" s="1155"/>
      <c r="N439" s="1155"/>
      <c r="O439" s="1155"/>
      <c r="P439" s="1155"/>
      <c r="Q439" s="1155"/>
      <c r="R439" s="1155"/>
      <c r="S439" s="1155"/>
      <c r="T439" s="1155"/>
      <c r="U439" s="1155"/>
      <c r="V439" s="1155"/>
      <c r="W439" s="1155"/>
      <c r="X439" s="1155"/>
      <c r="Y439" s="1155"/>
      <c r="Z439" s="1155"/>
      <c r="AA439" s="1155"/>
    </row>
    <row r="440" spans="3:30" ht="12.2" customHeight="1">
      <c r="C440" s="1399"/>
      <c r="D440" s="1400"/>
      <c r="E440" s="1153"/>
      <c r="F440" s="1155" t="s">
        <v>1005</v>
      </c>
      <c r="G440" s="1155"/>
      <c r="H440" s="1155"/>
      <c r="I440" s="1155"/>
      <c r="J440" s="1155"/>
      <c r="K440" s="1155"/>
      <c r="L440" s="1155"/>
      <c r="M440" s="1155"/>
      <c r="N440" s="1155"/>
      <c r="O440" s="1155"/>
      <c r="P440" s="1155"/>
      <c r="Q440" s="1155"/>
      <c r="R440" s="1155"/>
      <c r="S440" s="1155"/>
      <c r="T440" s="1155"/>
      <c r="U440" s="1155"/>
      <c r="V440" s="1155"/>
      <c r="W440" s="1155"/>
      <c r="X440" s="1155"/>
      <c r="Y440" s="1155"/>
      <c r="Z440" s="1155"/>
      <c r="AA440" s="1155"/>
    </row>
    <row r="441" spans="3:30" ht="12.2" customHeight="1">
      <c r="C441" s="1399"/>
      <c r="D441" s="1400"/>
      <c r="E441" s="1153"/>
      <c r="F441" s="607" t="s">
        <v>1339</v>
      </c>
    </row>
    <row r="442" spans="3:30" ht="12.2" customHeight="1">
      <c r="C442" s="1399"/>
      <c r="D442" s="1400"/>
      <c r="E442" s="1153"/>
      <c r="F442" s="607"/>
      <c r="I442" s="25" t="s">
        <v>1347</v>
      </c>
    </row>
    <row r="443" spans="3:30" ht="12.2" customHeight="1">
      <c r="C443" s="1399"/>
      <c r="D443" s="1400"/>
      <c r="E443" s="1153"/>
      <c r="F443" s="893"/>
      <c r="I443" s="25" t="s">
        <v>1348</v>
      </c>
      <c r="L443" s="25" t="s">
        <v>1349</v>
      </c>
    </row>
    <row r="444" spans="3:30" ht="12.2" customHeight="1">
      <c r="C444" s="1399"/>
      <c r="D444" s="1400"/>
      <c r="E444" s="1153"/>
      <c r="F444" s="893"/>
      <c r="I444" s="25" t="s">
        <v>1350</v>
      </c>
      <c r="L444" s="25" t="s">
        <v>1581</v>
      </c>
      <c r="R444" s="25" t="s">
        <v>1351</v>
      </c>
    </row>
    <row r="445" spans="3:30" ht="12.2" customHeight="1">
      <c r="C445" s="1399"/>
      <c r="D445" s="1400"/>
      <c r="E445" s="1153"/>
      <c r="F445" s="1146" t="s">
        <v>1587</v>
      </c>
      <c r="G445" s="892"/>
      <c r="H445" s="892"/>
      <c r="I445" s="892"/>
      <c r="J445" s="892"/>
      <c r="K445" s="892"/>
      <c r="L445" s="892"/>
      <c r="M445" s="892"/>
      <c r="N445" s="892"/>
      <c r="O445" s="892"/>
      <c r="P445" s="892"/>
      <c r="Q445" s="892"/>
      <c r="R445" s="892"/>
      <c r="S445" s="892"/>
      <c r="T445" s="892"/>
      <c r="U445" s="892"/>
      <c r="V445" s="892"/>
      <c r="W445" s="892"/>
      <c r="X445" s="892"/>
      <c r="Y445" s="892"/>
      <c r="Z445" s="892"/>
      <c r="AA445" s="892"/>
      <c r="AB445" s="892"/>
      <c r="AC445" s="892"/>
    </row>
    <row r="446" spans="3:30" ht="12.2" customHeight="1">
      <c r="C446" s="1399"/>
      <c r="D446" s="1400"/>
      <c r="E446" s="1153"/>
      <c r="F446" s="1363" t="s">
        <v>1219</v>
      </c>
    </row>
    <row r="447" spans="3:30" ht="12.2" customHeight="1">
      <c r="C447" s="1401"/>
      <c r="D447" s="1402"/>
      <c r="E447" s="1153"/>
      <c r="F447" s="1363" t="s">
        <v>1530</v>
      </c>
    </row>
    <row r="448" spans="3:30" ht="12.2" customHeight="1">
      <c r="C448" s="968"/>
      <c r="D448" s="968"/>
      <c r="F448" s="58"/>
    </row>
    <row r="449" spans="2:5" ht="15.4" customHeight="1">
      <c r="B449" s="1375" t="s">
        <v>494</v>
      </c>
      <c r="C449" s="63" t="s">
        <v>563</v>
      </c>
      <c r="E449" s="57" t="s">
        <v>531</v>
      </c>
    </row>
    <row r="450" spans="2:5" ht="6.4" customHeight="1">
      <c r="B450" s="1376"/>
    </row>
    <row r="451" spans="2:5" ht="12.2" customHeight="1">
      <c r="B451" s="1377"/>
      <c r="D451" s="1367"/>
      <c r="E451" s="25" t="s">
        <v>532</v>
      </c>
    </row>
    <row r="452" spans="2:5" ht="12.2" customHeight="1">
      <c r="E452" s="1155" t="s">
        <v>1257</v>
      </c>
    </row>
    <row r="453" spans="2:5" ht="12.2" customHeight="1">
      <c r="E453" s="1155" t="s">
        <v>800</v>
      </c>
    </row>
    <row r="454" spans="2:5" ht="12.2" customHeight="1">
      <c r="E454" s="1155" t="s">
        <v>1258</v>
      </c>
    </row>
    <row r="455" spans="2:5" ht="12.2" customHeight="1">
      <c r="E455" s="1155" t="s">
        <v>1259</v>
      </c>
    </row>
    <row r="456" spans="2:5" ht="12.2" customHeight="1">
      <c r="E456" s="25" t="s">
        <v>637</v>
      </c>
    </row>
    <row r="457" spans="2:5" ht="6.4" customHeight="1"/>
    <row r="458" spans="2:5" ht="12.2" customHeight="1">
      <c r="D458" s="1367"/>
      <c r="E458" s="25" t="s">
        <v>552</v>
      </c>
    </row>
    <row r="459" spans="2:5" ht="12.2" customHeight="1">
      <c r="E459" s="60" t="s">
        <v>1006</v>
      </c>
    </row>
    <row r="460" spans="2:5" ht="12.2" customHeight="1">
      <c r="E460" s="25" t="s">
        <v>638</v>
      </c>
    </row>
    <row r="461" spans="2:5" ht="12.2" customHeight="1">
      <c r="E461" s="60" t="s">
        <v>1007</v>
      </c>
    </row>
    <row r="462" spans="2:5" ht="12.2" customHeight="1">
      <c r="E462" s="25" t="s">
        <v>639</v>
      </c>
    </row>
    <row r="463" spans="2:5" ht="12.2" customHeight="1">
      <c r="E463" s="25" t="s">
        <v>640</v>
      </c>
    </row>
    <row r="464" spans="2:5" ht="12.2" customHeight="1">
      <c r="E464" s="60" t="s">
        <v>1008</v>
      </c>
    </row>
    <row r="465" spans="4:7" ht="12.2" customHeight="1">
      <c r="E465" s="60" t="s">
        <v>1009</v>
      </c>
    </row>
    <row r="466" spans="4:7" ht="12.2" customHeight="1">
      <c r="E466" s="25" t="s">
        <v>539</v>
      </c>
    </row>
    <row r="467" spans="4:7" ht="6.4" customHeight="1"/>
    <row r="468" spans="4:7" ht="12.2" customHeight="1">
      <c r="D468" s="1367"/>
      <c r="E468" s="25" t="s">
        <v>533</v>
      </c>
    </row>
    <row r="469" spans="4:7" ht="12.2" customHeight="1">
      <c r="F469" s="25" t="s">
        <v>534</v>
      </c>
    </row>
    <row r="470" spans="4:7" ht="12.2" customHeight="1">
      <c r="G470" s="25" t="s">
        <v>535</v>
      </c>
    </row>
    <row r="471" spans="4:7" ht="12.2" customHeight="1">
      <c r="G471" s="25" t="s">
        <v>536</v>
      </c>
    </row>
    <row r="472" spans="4:7" ht="12.2" customHeight="1">
      <c r="G472" s="25" t="s">
        <v>537</v>
      </c>
    </row>
    <row r="473" spans="4:7" ht="12.2" customHeight="1">
      <c r="G473" s="25" t="s">
        <v>641</v>
      </c>
    </row>
    <row r="474" spans="4:7" ht="12.2" customHeight="1">
      <c r="G474" s="25" t="s">
        <v>538</v>
      </c>
    </row>
    <row r="475" spans="4:7" ht="12.2" customHeight="1">
      <c r="F475" s="549" t="s">
        <v>642</v>
      </c>
    </row>
    <row r="476" spans="4:7" ht="6.4" customHeight="1"/>
    <row r="477" spans="4:7" ht="12.2" customHeight="1">
      <c r="E477" s="25" t="s">
        <v>540</v>
      </c>
    </row>
    <row r="478" spans="4:7" ht="12.2" customHeight="1">
      <c r="E478" s="25" t="s">
        <v>541</v>
      </c>
    </row>
    <row r="479" spans="4:7" ht="12.2" customHeight="1">
      <c r="E479" s="25" t="s">
        <v>542</v>
      </c>
    </row>
    <row r="480" spans="4:7" ht="12.2" customHeight="1">
      <c r="E480" s="60" t="s">
        <v>778</v>
      </c>
    </row>
    <row r="481" spans="2:6" ht="6.4" customHeight="1"/>
    <row r="482" spans="2:6" ht="12.2" customHeight="1">
      <c r="D482" s="1367"/>
      <c r="E482" s="25" t="s">
        <v>543</v>
      </c>
    </row>
    <row r="483" spans="2:6" ht="12.2" customHeight="1">
      <c r="E483" s="25" t="s">
        <v>31</v>
      </c>
    </row>
    <row r="484" spans="2:6" ht="12.2" customHeight="1">
      <c r="F484" s="1363" t="s">
        <v>72</v>
      </c>
    </row>
    <row r="485" spans="2:6" ht="6.4" customHeight="1"/>
    <row r="486" spans="2:6" ht="12.2" customHeight="1">
      <c r="E486" s="25" t="s">
        <v>544</v>
      </c>
    </row>
    <row r="487" spans="2:6" ht="12.2" customHeight="1">
      <c r="E487" s="25" t="s">
        <v>545</v>
      </c>
    </row>
    <row r="488" spans="2:6" ht="12.2" customHeight="1">
      <c r="E488" s="25" t="s">
        <v>546</v>
      </c>
    </row>
    <row r="489" spans="2:6" ht="12.2" customHeight="1">
      <c r="E489" s="60" t="s">
        <v>1010</v>
      </c>
    </row>
    <row r="491" spans="2:6" ht="15.4" customHeight="1">
      <c r="B491" s="1375" t="s">
        <v>494</v>
      </c>
      <c r="C491" s="63" t="s">
        <v>564</v>
      </c>
      <c r="E491" s="57" t="s">
        <v>349</v>
      </c>
    </row>
    <row r="492" spans="2:6" ht="6.4" customHeight="1">
      <c r="B492" s="1376"/>
    </row>
    <row r="493" spans="2:6" ht="12.2" customHeight="1">
      <c r="B493" s="1377"/>
      <c r="E493" s="25" t="s">
        <v>643</v>
      </c>
    </row>
    <row r="494" spans="2:6" ht="12.2" customHeight="1">
      <c r="E494" s="25" t="s">
        <v>547</v>
      </c>
    </row>
    <row r="495" spans="2:6" ht="12.2" customHeight="1">
      <c r="E495" s="25" t="s">
        <v>57</v>
      </c>
    </row>
    <row r="496" spans="2:6" ht="12.2" customHeight="1">
      <c r="E496" s="60" t="s">
        <v>8</v>
      </c>
    </row>
    <row r="497" spans="1:32" ht="12.2" customHeight="1">
      <c r="E497" s="60" t="s">
        <v>9</v>
      </c>
    </row>
    <row r="498" spans="1:32" ht="12.2" customHeight="1">
      <c r="A498" s="60"/>
    </row>
    <row r="499" spans="1:32" ht="18" customHeight="1">
      <c r="C499" s="64" t="s">
        <v>527</v>
      </c>
      <c r="D499" s="65" t="s">
        <v>565</v>
      </c>
    </row>
    <row r="500" spans="1:32" ht="6.4" customHeight="1"/>
    <row r="501" spans="1:32" ht="12.2" customHeight="1">
      <c r="B501" s="1375" t="s">
        <v>494</v>
      </c>
      <c r="C501" s="63"/>
      <c r="E501" s="25" t="s">
        <v>644</v>
      </c>
    </row>
    <row r="502" spans="1:32" ht="12.2" customHeight="1">
      <c r="B502" s="1376"/>
      <c r="E502" s="25" t="s">
        <v>350</v>
      </c>
      <c r="AF502" s="608"/>
    </row>
    <row r="503" spans="1:32" ht="12.2" customHeight="1">
      <c r="B503" s="1377"/>
      <c r="E503" s="25" t="s">
        <v>351</v>
      </c>
      <c r="AF503" s="608"/>
    </row>
    <row r="504" spans="1:32" ht="12.2" customHeight="1">
      <c r="B504" s="66"/>
      <c r="E504" s="25" t="s">
        <v>352</v>
      </c>
      <c r="AF504" s="608"/>
    </row>
    <row r="505" spans="1:32" ht="12.2" customHeight="1">
      <c r="B505" s="66"/>
      <c r="E505" s="60" t="s">
        <v>779</v>
      </c>
    </row>
    <row r="506" spans="1:32" ht="12.2" customHeight="1">
      <c r="B506" s="66"/>
      <c r="E506" s="25" t="s">
        <v>353</v>
      </c>
    </row>
    <row r="507" spans="1:32" ht="12.2" customHeight="1">
      <c r="B507" s="66"/>
      <c r="E507" s="60" t="s">
        <v>780</v>
      </c>
    </row>
    <row r="508" spans="1:32" ht="12.2" customHeight="1">
      <c r="B508" s="66"/>
      <c r="E508" s="25" t="s">
        <v>354</v>
      </c>
    </row>
    <row r="509" spans="1:32" ht="12.2" customHeight="1">
      <c r="B509" s="66"/>
      <c r="E509" s="25" t="s">
        <v>355</v>
      </c>
    </row>
    <row r="510" spans="1:32" ht="12.2" customHeight="1">
      <c r="B510" s="66"/>
      <c r="E510" s="25" t="s">
        <v>356</v>
      </c>
    </row>
    <row r="511" spans="1:32" ht="12.2" customHeight="1">
      <c r="E511" s="25" t="s">
        <v>357</v>
      </c>
    </row>
    <row r="512" spans="1:32" ht="12.2" customHeight="1">
      <c r="E512" s="25" t="s">
        <v>358</v>
      </c>
    </row>
    <row r="513" spans="2:6" ht="12.2" customHeight="1">
      <c r="E513" s="60" t="s">
        <v>781</v>
      </c>
    </row>
    <row r="514" spans="2:6" ht="12.2" customHeight="1">
      <c r="E514" s="60" t="s">
        <v>10</v>
      </c>
    </row>
    <row r="515" spans="2:6" ht="12.2" customHeight="1">
      <c r="E515" s="53" t="s">
        <v>1011</v>
      </c>
    </row>
    <row r="516" spans="2:6" ht="12.2" customHeight="1">
      <c r="E516" s="53" t="s">
        <v>1012</v>
      </c>
    </row>
    <row r="517" spans="2:6" ht="18" customHeight="1">
      <c r="C517" s="64" t="s">
        <v>566</v>
      </c>
      <c r="D517" s="65" t="s">
        <v>567</v>
      </c>
    </row>
    <row r="518" spans="2:6" ht="6.4" customHeight="1"/>
    <row r="519" spans="2:6" ht="12.95" customHeight="1">
      <c r="B519" s="1375" t="s">
        <v>494</v>
      </c>
      <c r="C519" s="63"/>
      <c r="E519" s="60" t="s">
        <v>651</v>
      </c>
    </row>
    <row r="520" spans="2:6" ht="12.2" customHeight="1">
      <c r="B520" s="1376"/>
      <c r="E520" s="25" t="s">
        <v>568</v>
      </c>
    </row>
    <row r="521" spans="2:6" ht="12.2" customHeight="1">
      <c r="B521" s="1377"/>
      <c r="E521" s="25" t="s">
        <v>645</v>
      </c>
    </row>
    <row r="522" spans="2:6" ht="12.2" customHeight="1">
      <c r="E522" s="25" t="s">
        <v>569</v>
      </c>
    </row>
    <row r="523" spans="2:6" ht="12.2" customHeight="1">
      <c r="E523" s="25" t="s">
        <v>647</v>
      </c>
    </row>
    <row r="524" spans="2:6" ht="12.2" customHeight="1">
      <c r="E524" s="60" t="s">
        <v>782</v>
      </c>
    </row>
    <row r="525" spans="2:6" ht="12.2" customHeight="1">
      <c r="E525" s="25" t="s">
        <v>652</v>
      </c>
    </row>
    <row r="526" spans="2:6" ht="12.2" customHeight="1">
      <c r="E526" s="25" t="s">
        <v>648</v>
      </c>
    </row>
    <row r="527" spans="2:6" ht="12.2" customHeight="1">
      <c r="E527" s="25" t="s">
        <v>649</v>
      </c>
    </row>
    <row r="528" spans="2:6" ht="12.2" customHeight="1">
      <c r="F528" s="58" t="s">
        <v>783</v>
      </c>
    </row>
    <row r="529" spans="1:7" ht="12.2" customHeight="1">
      <c r="E529" s="53" t="s">
        <v>42</v>
      </c>
      <c r="F529" s="58"/>
      <c r="G529" s="53" t="s">
        <v>43</v>
      </c>
    </row>
    <row r="530" spans="1:7" ht="12.2" customHeight="1">
      <c r="F530" s="58"/>
      <c r="G530" s="53" t="s">
        <v>44</v>
      </c>
    </row>
    <row r="531" spans="1:7" ht="12.2" customHeight="1">
      <c r="F531" s="58"/>
      <c r="G531" s="53" t="s">
        <v>45</v>
      </c>
    </row>
    <row r="532" spans="1:7" ht="12.2" customHeight="1">
      <c r="F532" s="58"/>
      <c r="G532" s="53" t="s">
        <v>58</v>
      </c>
    </row>
    <row r="533" spans="1:7" ht="6.4" customHeight="1"/>
    <row r="534" spans="1:7" ht="12.2" customHeight="1">
      <c r="E534" s="25" t="s">
        <v>650</v>
      </c>
    </row>
    <row r="535" spans="1:7" ht="12.2" customHeight="1">
      <c r="E535" s="25" t="s">
        <v>47</v>
      </c>
    </row>
    <row r="537" spans="1:7" ht="18" customHeight="1">
      <c r="A537" s="67"/>
      <c r="C537" s="64" t="s">
        <v>570</v>
      </c>
      <c r="D537" s="65" t="s">
        <v>725</v>
      </c>
    </row>
    <row r="538" spans="1:7" ht="6.4" customHeight="1">
      <c r="A538" s="67"/>
    </row>
    <row r="539" spans="1:7" ht="12.2" customHeight="1">
      <c r="A539" s="67"/>
      <c r="B539" s="1375" t="s">
        <v>494</v>
      </c>
      <c r="C539" s="63"/>
      <c r="E539" s="60" t="s">
        <v>1013</v>
      </c>
    </row>
    <row r="540" spans="1:7" ht="12.2" customHeight="1">
      <c r="B540" s="1376"/>
      <c r="E540" s="60" t="s">
        <v>728</v>
      </c>
    </row>
    <row r="541" spans="1:7" ht="12.2" customHeight="1">
      <c r="B541" s="1377"/>
      <c r="E541" s="60" t="s">
        <v>729</v>
      </c>
    </row>
    <row r="542" spans="1:7" ht="12.2" customHeight="1">
      <c r="E542" s="60" t="s">
        <v>798</v>
      </c>
    </row>
    <row r="543" spans="1:7" ht="12.2" customHeight="1">
      <c r="E543" s="60" t="s">
        <v>730</v>
      </c>
    </row>
    <row r="544" spans="1:7" ht="12.2" customHeight="1">
      <c r="E544" s="60" t="s">
        <v>726</v>
      </c>
    </row>
    <row r="545" spans="1:5" ht="12.2" customHeight="1">
      <c r="E545" s="60" t="s">
        <v>784</v>
      </c>
    </row>
    <row r="546" spans="1:5" ht="12.2" customHeight="1">
      <c r="E546" s="60" t="s">
        <v>731</v>
      </c>
    </row>
    <row r="547" spans="1:5" ht="12.2" customHeight="1">
      <c r="E547" s="60" t="s">
        <v>1014</v>
      </c>
    </row>
    <row r="548" spans="1:5" ht="12.2" customHeight="1">
      <c r="E548" s="60" t="s">
        <v>799</v>
      </c>
    </row>
    <row r="549" spans="1:5" ht="12.2" customHeight="1">
      <c r="E549" s="60" t="s">
        <v>1015</v>
      </c>
    </row>
    <row r="550" spans="1:5" ht="12.2" customHeight="1">
      <c r="E550" s="60" t="s">
        <v>796</v>
      </c>
    </row>
    <row r="551" spans="1:5" ht="12.2" customHeight="1">
      <c r="E551" s="60" t="s">
        <v>797</v>
      </c>
    </row>
    <row r="552" spans="1:5" ht="12.2" customHeight="1">
      <c r="E552" s="60"/>
    </row>
    <row r="553" spans="1:5" ht="18" customHeight="1">
      <c r="A553" s="67"/>
      <c r="C553" s="64" t="s">
        <v>723</v>
      </c>
      <c r="D553" s="65" t="s">
        <v>724</v>
      </c>
    </row>
    <row r="554" spans="1:5" ht="6.4" customHeight="1">
      <c r="A554" s="67"/>
    </row>
    <row r="555" spans="1:5" ht="14.25" customHeight="1">
      <c r="A555" s="67"/>
      <c r="B555" s="1375" t="s">
        <v>494</v>
      </c>
      <c r="C555" s="63"/>
      <c r="E555" s="25" t="s">
        <v>571</v>
      </c>
    </row>
    <row r="556" spans="1:5" ht="12.2" customHeight="1">
      <c r="A556" s="67"/>
      <c r="B556" s="1376"/>
      <c r="E556" s="25" t="s">
        <v>572</v>
      </c>
    </row>
    <row r="557" spans="1:5" ht="12.2" customHeight="1">
      <c r="A557" s="67"/>
      <c r="B557" s="1377"/>
      <c r="E557" s="25" t="s">
        <v>573</v>
      </c>
    </row>
    <row r="558" spans="1:5" ht="12.2" customHeight="1">
      <c r="A558" s="67"/>
      <c r="E558" s="25" t="s">
        <v>73</v>
      </c>
    </row>
    <row r="559" spans="1:5" ht="12.2" customHeight="1">
      <c r="A559" s="67"/>
      <c r="E559" s="60" t="s">
        <v>785</v>
      </c>
    </row>
    <row r="560" spans="1:5" ht="12.2" customHeight="1">
      <c r="A560" s="67"/>
      <c r="E560" s="25" t="s">
        <v>574</v>
      </c>
    </row>
    <row r="561" spans="1:8" ht="12.2" customHeight="1">
      <c r="A561" s="67"/>
      <c r="E561" s="25" t="s">
        <v>653</v>
      </c>
    </row>
    <row r="562" spans="1:8" ht="12.2" customHeight="1">
      <c r="A562" s="67"/>
      <c r="E562" s="25" t="s">
        <v>654</v>
      </c>
    </row>
    <row r="563" spans="1:8" ht="12.2" customHeight="1">
      <c r="A563" s="67"/>
    </row>
    <row r="564" spans="1:8" ht="5.0999999999999996" customHeight="1">
      <c r="A564" s="67"/>
    </row>
    <row r="565" spans="1:8" ht="14.1" customHeight="1">
      <c r="A565" s="67"/>
      <c r="D565" s="68" t="s">
        <v>553</v>
      </c>
    </row>
    <row r="566" spans="1:8" ht="14.1" customHeight="1">
      <c r="A566" s="67"/>
      <c r="D566" s="69" t="s">
        <v>554</v>
      </c>
    </row>
    <row r="567" spans="1:8" ht="14.1" customHeight="1">
      <c r="A567" s="67"/>
      <c r="D567" s="69" t="s">
        <v>555</v>
      </c>
      <c r="H567" s="69"/>
    </row>
    <row r="568" spans="1:8" ht="14.1" customHeight="1">
      <c r="A568" s="67"/>
      <c r="D568" s="69" t="s">
        <v>556</v>
      </c>
    </row>
    <row r="569" spans="1:8" ht="11.1" customHeight="1">
      <c r="A569" s="67"/>
      <c r="D569" s="68" t="s">
        <v>655</v>
      </c>
    </row>
    <row r="570" spans="1:8" ht="6.4" customHeight="1"/>
    <row r="571" spans="1:8" ht="14.1" customHeight="1">
      <c r="A571" s="67"/>
      <c r="D571" s="69" t="s">
        <v>557</v>
      </c>
    </row>
    <row r="572" spans="1:8" ht="6.4" customHeight="1"/>
    <row r="573" spans="1:8" ht="14.1" customHeight="1">
      <c r="A573" s="67"/>
      <c r="D573" s="69" t="s">
        <v>1531</v>
      </c>
    </row>
    <row r="574" spans="1:8" ht="14.1" customHeight="1">
      <c r="A574" s="67"/>
      <c r="D574" s="69" t="s">
        <v>1340</v>
      </c>
    </row>
    <row r="575" spans="1:8" ht="14.1" customHeight="1">
      <c r="A575" s="67"/>
      <c r="D575" s="69" t="s">
        <v>1341</v>
      </c>
    </row>
    <row r="576" spans="1:8" ht="14.1" customHeight="1">
      <c r="A576" s="67"/>
      <c r="D576" s="69" t="s">
        <v>1342</v>
      </c>
    </row>
    <row r="577" spans="1:27" ht="14.1" customHeight="1">
      <c r="A577" s="67"/>
      <c r="D577" s="69" t="s">
        <v>1343</v>
      </c>
    </row>
    <row r="578" spans="1:27" ht="14.1" customHeight="1">
      <c r="A578" s="67"/>
      <c r="D578" s="69" t="s">
        <v>820</v>
      </c>
    </row>
    <row r="579" spans="1:27" ht="14.1" customHeight="1">
      <c r="A579" s="67"/>
      <c r="D579" s="69" t="s">
        <v>140</v>
      </c>
    </row>
    <row r="580" spans="1:27" ht="14.1" customHeight="1">
      <c r="A580" s="67"/>
      <c r="D580" s="69" t="s">
        <v>141</v>
      </c>
    </row>
    <row r="581" spans="1:27" ht="6.4" customHeight="1"/>
    <row r="582" spans="1:27" ht="14.1" customHeight="1">
      <c r="A582" s="67"/>
      <c r="D582" s="69" t="s">
        <v>811</v>
      </c>
    </row>
    <row r="583" spans="1:27" ht="14.1" customHeight="1">
      <c r="A583" s="67"/>
      <c r="D583" s="68" t="s">
        <v>558</v>
      </c>
    </row>
    <row r="584" spans="1:27" ht="14.1" customHeight="1">
      <c r="A584" s="67"/>
      <c r="D584" s="679" t="s">
        <v>656</v>
      </c>
      <c r="AA584" s="70"/>
    </row>
  </sheetData>
  <sheetProtection algorithmName="SHA-512" hashValue="6dT0kgzpozoStmm34xTnJ/cGRYlWVi5m5HCnCWv11cJjE9Bc+/bq+XVIH6HM2FLhRUnVGmZ4VFyw6doe01saEg==" saltValue="PiK1ujfa9haF2dfOURSSig==" spinCount="100000" sheet="1" objects="1" scenarios="1"/>
  <mergeCells count="31">
    <mergeCell ref="AH3:BM5"/>
    <mergeCell ref="B234:B236"/>
    <mergeCell ref="B108:B110"/>
    <mergeCell ref="M3:S6"/>
    <mergeCell ref="D19:J19"/>
    <mergeCell ref="J201:L201"/>
    <mergeCell ref="B186:B188"/>
    <mergeCell ref="S73:AA73"/>
    <mergeCell ref="B53:B55"/>
    <mergeCell ref="C67:C78"/>
    <mergeCell ref="C53:C65"/>
    <mergeCell ref="B201:B203"/>
    <mergeCell ref="C37:C51"/>
    <mergeCell ref="C21:C35"/>
    <mergeCell ref="AJ374:AL374"/>
    <mergeCell ref="V297:Z297"/>
    <mergeCell ref="B264:B266"/>
    <mergeCell ref="C322:D390"/>
    <mergeCell ref="C420:D447"/>
    <mergeCell ref="B422:B424"/>
    <mergeCell ref="E287:E289"/>
    <mergeCell ref="B416:B418"/>
    <mergeCell ref="B394:B396"/>
    <mergeCell ref="B555:B557"/>
    <mergeCell ref="B294:B296"/>
    <mergeCell ref="B449:B451"/>
    <mergeCell ref="C299:D313"/>
    <mergeCell ref="B539:B541"/>
    <mergeCell ref="B501:B503"/>
    <mergeCell ref="B519:B521"/>
    <mergeCell ref="B491:B493"/>
  </mergeCells>
  <phoneticPr fontId="0" type="noConversion"/>
  <hyperlinks>
    <hyperlink ref="B186:B188" location="Kalkulation!A23:A83" display="Zurück"/>
    <hyperlink ref="B201:B203" location="Kalkulation!A54:A114" display="Zurück"/>
    <hyperlink ref="B234:B236" location="Kalkulation!A74:A134" display="Zurück"/>
    <hyperlink ref="B294:B296" location="Kalkulation!A110:A210" display="Zurück"/>
    <hyperlink ref="B449:B451" location="Kalkulation!A180:A250" display="Zurück"/>
    <hyperlink ref="B519:B521" location="Kalkulation!A220:A300" display="Zurück"/>
    <hyperlink ref="B555:B557" location="Kalkulation!A314:A380" display="Zurück"/>
    <hyperlink ref="J201:L201" location="Ertragsabschätzung!A1:A61" display="Info"/>
    <hyperlink ref="M3:S6" location="Kalkulation!A1:A25" display="Photovoltaik"/>
    <hyperlink ref="D19" r:id="rId1"/>
    <hyperlink ref="B264:B266" location="'Endfälliges Darlehen'!A1" display="Zurück"/>
    <hyperlink ref="V297:Z297" location="Vergütungen!A1" display="Vergütungen"/>
    <hyperlink ref="B491:B493" location="Kalkulation!A177:A250" display="Zurück"/>
    <hyperlink ref="B501:B503" location="Kalkulation!A208:A280" display="Zurück"/>
    <hyperlink ref="B539:B541" location="Kalkulation!A283:A350" display="Zurück"/>
    <hyperlink ref="B394:B396" location="Kalkulation!A128:A200" display="Zurück"/>
    <hyperlink ref="B416:B418" location="Kalkulation!A128:A200" display="Zurück"/>
    <hyperlink ref="B53:B55" location="Kalkulation!A12:A23" display="Zurück"/>
    <hyperlink ref="B108:B110" location="Kalkulation!A12:A52" display="Zurück"/>
    <hyperlink ref="B422:B424" location="Kalkulation!A155:A255" display="Zurück"/>
    <hyperlink ref="S73:AA73" location="Aktueller_Stand_EEG_2017!A1" display="hier klicken um mehr zu erfahren ..."/>
    <hyperlink ref="AH3:BM5" location="Artikel_Energiewende!A1" display="NEU: Der Datei liegt ein Artikel zum Thema &quot;Photovoltaikstrom und Energiewende - Quo vadis ?&quot; bei."/>
  </hyperlinks>
  <printOptions horizontalCentered="1"/>
  <pageMargins left="0.59055118110236227" right="0.19685039370078741" top="0.78740157480314965" bottom="0.98425196850393704" header="0.31496062992125984" footer="0.11811023622047245"/>
  <pageSetup paperSize="9" scale="81" orientation="portrait" r:id="rId2"/>
  <headerFooter alignWithMargins="0">
    <oddHeader>&amp;RSeite &amp;P</oddHeader>
    <oddFooter>&amp;L&amp;8LEL Schwäbisch Gmünd; Abt. IV; LLM (WS)&amp;C&amp;8&amp;F&amp;R&amp;8Stand: August 2014</oddFooter>
  </headerFooter>
  <rowBreaks count="9" manualBreakCount="9">
    <brk id="65" min="2" max="27" man="1"/>
    <brk id="104" min="2" max="27" man="1"/>
    <brk id="173" min="2" max="27" man="1"/>
    <brk id="232" min="2" max="27" man="1"/>
    <brk id="290" min="2" max="27" man="1"/>
    <brk id="358" min="2" max="27" man="1"/>
    <brk id="412" min="2" max="27" man="1"/>
    <brk id="447" min="2" max="27" man="1"/>
    <brk id="516" min="2" max="27" man="1"/>
  </row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CD217"/>
  <sheetViews>
    <sheetView showGridLines="0" showZeros="0" zoomScale="75" workbookViewId="0"/>
  </sheetViews>
  <sheetFormatPr baseColWidth="10" defaultColWidth="3.7109375" defaultRowHeight="12.75"/>
  <cols>
    <col min="1" max="2" width="1.7109375" style="20" customWidth="1"/>
    <col min="3" max="10" width="3.7109375" style="20" customWidth="1"/>
    <col min="11" max="11" width="1.5703125" style="20" customWidth="1"/>
    <col min="12" max="21" width="3.7109375" style="20" customWidth="1"/>
    <col min="22" max="22" width="1.5703125" style="20" customWidth="1"/>
    <col min="23" max="23" width="14.7109375" style="20" customWidth="1"/>
    <col min="24" max="24" width="1.5703125" style="20" customWidth="1"/>
    <col min="25" max="29" width="3.7109375" style="20" customWidth="1"/>
    <col min="30" max="31" width="1.7109375" style="20" customWidth="1"/>
    <col min="32" max="32" width="3.42578125" style="20" customWidth="1"/>
    <col min="33" max="33" width="3.140625" style="20" customWidth="1"/>
    <col min="34" max="34" width="6.7109375" style="20" customWidth="1"/>
    <col min="35" max="38" width="3.140625" style="20" customWidth="1"/>
    <col min="39" max="39" width="1.5703125" style="20" customWidth="1"/>
    <col min="40" max="40" width="6.7109375" style="20" customWidth="1"/>
    <col min="41" max="41" width="1.5703125" style="20" customWidth="1"/>
    <col min="42" max="48" width="3.140625" style="20" customWidth="1"/>
    <col min="49" max="49" width="6.7109375" style="20" customWidth="1"/>
    <col min="50" max="50" width="3.140625" style="20" customWidth="1"/>
    <col min="51" max="51" width="1.7109375" style="20" customWidth="1"/>
    <col min="52" max="52" width="1.5703125" style="20" customWidth="1"/>
    <col min="53" max="79" width="3.7109375" style="20" customWidth="1"/>
    <col min="80" max="83" width="12.5703125" style="20" customWidth="1"/>
    <col min="84" max="16384" width="3.7109375" style="20"/>
  </cols>
  <sheetData>
    <row r="1" spans="1:68" ht="5.0999999999999996" customHeight="1" thickBot="1">
      <c r="A1" s="138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</row>
    <row r="2" spans="1:68" ht="5.0999999999999996" customHeight="1" thickTop="1" thickBot="1">
      <c r="A2" s="72"/>
      <c r="B2" s="117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9"/>
      <c r="AE2" s="182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18"/>
      <c r="AQ2" s="183"/>
      <c r="AR2" s="183"/>
      <c r="AS2" s="183"/>
      <c r="AT2" s="183"/>
      <c r="AU2" s="183"/>
      <c r="AV2" s="183"/>
      <c r="AW2" s="183"/>
      <c r="AX2" s="183"/>
      <c r="AY2" s="184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</row>
    <row r="3" spans="1:68" ht="21" thickBot="1">
      <c r="A3" s="72"/>
      <c r="B3" s="114"/>
      <c r="C3" s="123" t="s">
        <v>81</v>
      </c>
      <c r="D3" s="76"/>
      <c r="E3" s="84"/>
      <c r="F3" s="84"/>
      <c r="G3" s="84"/>
      <c r="H3" s="84"/>
      <c r="I3" s="84"/>
      <c r="J3" s="84"/>
      <c r="K3" s="84"/>
      <c r="L3" s="123" t="s">
        <v>80</v>
      </c>
      <c r="M3" s="123"/>
      <c r="N3" s="76"/>
      <c r="O3" s="84"/>
      <c r="P3" s="84"/>
      <c r="Q3" s="84"/>
      <c r="R3" s="84"/>
      <c r="S3" s="84"/>
      <c r="T3" s="76"/>
      <c r="U3" s="84"/>
      <c r="V3" s="84"/>
      <c r="W3" s="84"/>
      <c r="X3" s="84"/>
      <c r="Y3" s="84"/>
      <c r="Z3" s="84"/>
      <c r="AA3" s="84"/>
      <c r="AB3" s="84"/>
      <c r="AC3" s="84"/>
      <c r="AD3" s="115"/>
      <c r="AE3" s="185"/>
      <c r="AF3" s="73"/>
      <c r="AG3" s="2096" t="s">
        <v>78</v>
      </c>
      <c r="AH3" s="2097"/>
      <c r="AI3" s="2097"/>
      <c r="AJ3" s="2097"/>
      <c r="AK3" s="2097"/>
      <c r="AL3" s="2098"/>
      <c r="AM3" s="186"/>
      <c r="AN3" s="186"/>
      <c r="AO3" s="186"/>
      <c r="AP3" s="2087" t="s">
        <v>91</v>
      </c>
      <c r="AQ3" s="2088"/>
      <c r="AR3" s="2088"/>
      <c r="AS3" s="2088"/>
      <c r="AT3" s="2088"/>
      <c r="AU3" s="2088"/>
      <c r="AV3" s="2088"/>
      <c r="AW3" s="2088"/>
      <c r="AX3" s="2089"/>
      <c r="AY3" s="115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</row>
    <row r="4" spans="1:68" ht="5.0999999999999996" customHeight="1">
      <c r="A4" s="72"/>
      <c r="B4" s="114"/>
      <c r="C4" s="73"/>
      <c r="D4" s="73"/>
      <c r="E4" s="77"/>
      <c r="F4" s="77"/>
      <c r="G4" s="77"/>
      <c r="H4" s="77"/>
      <c r="I4" s="77"/>
      <c r="J4" s="77"/>
      <c r="K4" s="77"/>
      <c r="L4" s="77"/>
      <c r="M4" s="77"/>
      <c r="N4" s="73"/>
      <c r="O4" s="77"/>
      <c r="P4" s="77"/>
      <c r="Q4" s="77"/>
      <c r="R4" s="77"/>
      <c r="S4" s="77"/>
      <c r="T4" s="77"/>
      <c r="U4" s="78"/>
      <c r="V4" s="79"/>
      <c r="W4" s="79"/>
      <c r="X4" s="79"/>
      <c r="Y4" s="79"/>
      <c r="Z4" s="79"/>
      <c r="AA4" s="79"/>
      <c r="AB4" s="79"/>
      <c r="AC4" s="79"/>
      <c r="AD4" s="115"/>
      <c r="AE4" s="185"/>
      <c r="AF4" s="172"/>
      <c r="AG4" s="127"/>
      <c r="AH4" s="127"/>
      <c r="AI4" s="127"/>
      <c r="AJ4" s="127"/>
      <c r="AK4" s="127"/>
      <c r="AL4" s="127"/>
      <c r="AM4" s="73"/>
      <c r="AN4" s="73"/>
      <c r="AO4" s="73"/>
      <c r="AP4" s="127"/>
      <c r="AQ4" s="127"/>
      <c r="AR4" s="127"/>
      <c r="AS4" s="127"/>
      <c r="AT4" s="127"/>
      <c r="AU4" s="127"/>
      <c r="AV4" s="127"/>
      <c r="AW4" s="127"/>
      <c r="AX4" s="127"/>
      <c r="AY4" s="115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</row>
    <row r="5" spans="1:68" ht="6.4" customHeight="1">
      <c r="A5" s="72"/>
      <c r="B5" s="114"/>
      <c r="C5" s="80"/>
      <c r="D5" s="80"/>
      <c r="E5" s="81"/>
      <c r="F5" s="81"/>
      <c r="G5" s="81"/>
      <c r="H5" s="81"/>
      <c r="I5" s="81"/>
      <c r="J5" s="81"/>
      <c r="K5" s="81"/>
      <c r="L5" s="81"/>
      <c r="M5" s="81"/>
      <c r="N5" s="80"/>
      <c r="O5" s="81"/>
      <c r="P5" s="81"/>
      <c r="Q5" s="81"/>
      <c r="R5" s="81"/>
      <c r="S5" s="81"/>
      <c r="T5" s="81"/>
      <c r="U5" s="82"/>
      <c r="V5" s="83"/>
      <c r="W5" s="83"/>
      <c r="X5" s="83"/>
      <c r="Y5" s="96"/>
      <c r="Z5" s="83"/>
      <c r="AA5" s="83"/>
      <c r="AB5" s="83"/>
      <c r="AC5" s="97"/>
      <c r="AD5" s="115"/>
      <c r="AE5" s="185"/>
      <c r="AF5" s="172"/>
      <c r="AG5" s="2090" t="s">
        <v>90</v>
      </c>
      <c r="AH5" s="2091"/>
      <c r="AI5" s="2092"/>
      <c r="AJ5" s="2090" t="s">
        <v>94</v>
      </c>
      <c r="AK5" s="2091"/>
      <c r="AL5" s="2092"/>
      <c r="AM5" s="73"/>
      <c r="AN5" s="73"/>
      <c r="AO5" s="73"/>
      <c r="AP5" s="2090" t="s">
        <v>92</v>
      </c>
      <c r="AQ5" s="2091"/>
      <c r="AR5" s="2092"/>
      <c r="AS5" s="2090" t="s">
        <v>89</v>
      </c>
      <c r="AT5" s="2091"/>
      <c r="AU5" s="2092"/>
      <c r="AV5" s="2090" t="s">
        <v>93</v>
      </c>
      <c r="AW5" s="2091"/>
      <c r="AX5" s="2092"/>
      <c r="AY5" s="115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</row>
    <row r="6" spans="1:68" ht="15.75">
      <c r="A6" s="72"/>
      <c r="B6" s="114"/>
      <c r="C6" s="172" t="s">
        <v>397</v>
      </c>
      <c r="D6" s="73"/>
      <c r="E6" s="77"/>
      <c r="F6" s="77"/>
      <c r="G6" s="77"/>
      <c r="H6" s="77"/>
      <c r="I6" s="77"/>
      <c r="J6" s="77"/>
      <c r="K6" s="77"/>
      <c r="L6" s="77"/>
      <c r="M6" s="77"/>
      <c r="N6" s="73"/>
      <c r="O6" s="77"/>
      <c r="P6" s="77"/>
      <c r="Q6" s="77"/>
      <c r="R6" s="2099">
        <f>Kalkulation!T33</f>
        <v>0</v>
      </c>
      <c r="S6" s="2099"/>
      <c r="T6" s="2099"/>
      <c r="U6" s="2099"/>
      <c r="V6" s="2099"/>
      <c r="W6" s="173" t="s">
        <v>380</v>
      </c>
      <c r="X6" s="79"/>
      <c r="Y6" s="98"/>
      <c r="Z6" s="79"/>
      <c r="AA6" s="95" t="s">
        <v>395</v>
      </c>
      <c r="AB6" s="79"/>
      <c r="AC6" s="99"/>
      <c r="AD6" s="115"/>
      <c r="AE6" s="185"/>
      <c r="AF6" s="172"/>
      <c r="AG6" s="2093"/>
      <c r="AH6" s="2094"/>
      <c r="AI6" s="2095"/>
      <c r="AJ6" s="2093"/>
      <c r="AK6" s="2094"/>
      <c r="AL6" s="2095"/>
      <c r="AM6" s="73"/>
      <c r="AN6" s="73"/>
      <c r="AO6" s="73"/>
      <c r="AP6" s="2093"/>
      <c r="AQ6" s="2094"/>
      <c r="AR6" s="2095"/>
      <c r="AS6" s="2093"/>
      <c r="AT6" s="2094"/>
      <c r="AU6" s="2095"/>
      <c r="AV6" s="2093"/>
      <c r="AW6" s="2094"/>
      <c r="AX6" s="2095"/>
      <c r="AY6" s="115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</row>
    <row r="7" spans="1:68" ht="6.4" customHeight="1">
      <c r="A7" s="72"/>
      <c r="B7" s="114"/>
      <c r="C7" s="102"/>
      <c r="D7" s="102"/>
      <c r="E7" s="103"/>
      <c r="F7" s="103"/>
      <c r="G7" s="103"/>
      <c r="H7" s="103"/>
      <c r="I7" s="103"/>
      <c r="J7" s="103"/>
      <c r="K7" s="103"/>
      <c r="L7" s="103"/>
      <c r="M7" s="103"/>
      <c r="N7" s="102"/>
      <c r="O7" s="103"/>
      <c r="P7" s="103"/>
      <c r="Q7" s="103"/>
      <c r="R7" s="103"/>
      <c r="S7" s="103"/>
      <c r="T7" s="103"/>
      <c r="U7" s="104"/>
      <c r="V7" s="105"/>
      <c r="W7" s="105"/>
      <c r="X7" s="105"/>
      <c r="Y7" s="106"/>
      <c r="Z7" s="105"/>
      <c r="AA7" s="105"/>
      <c r="AB7" s="105"/>
      <c r="AC7" s="107"/>
      <c r="AD7" s="115"/>
      <c r="AE7" s="114"/>
      <c r="AF7" s="73"/>
      <c r="AG7" s="2093"/>
      <c r="AH7" s="2094"/>
      <c r="AI7" s="2095"/>
      <c r="AJ7" s="2093"/>
      <c r="AK7" s="2094"/>
      <c r="AL7" s="2095"/>
      <c r="AM7" s="116"/>
      <c r="AN7" s="73"/>
      <c r="AO7" s="116"/>
      <c r="AP7" s="2093"/>
      <c r="AQ7" s="2094"/>
      <c r="AR7" s="2095"/>
      <c r="AS7" s="2093"/>
      <c r="AT7" s="2094"/>
      <c r="AU7" s="2095"/>
      <c r="AV7" s="2093"/>
      <c r="AW7" s="2094"/>
      <c r="AX7" s="2095"/>
      <c r="AY7" s="115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</row>
    <row r="8" spans="1:68" ht="6.4" customHeight="1">
      <c r="A8" s="72"/>
      <c r="B8" s="114"/>
      <c r="C8" s="108"/>
      <c r="D8" s="108"/>
      <c r="E8" s="109"/>
      <c r="F8" s="109"/>
      <c r="G8" s="109"/>
      <c r="H8" s="109"/>
      <c r="I8" s="109"/>
      <c r="J8" s="109"/>
      <c r="K8" s="109"/>
      <c r="L8" s="109"/>
      <c r="M8" s="109"/>
      <c r="N8" s="108"/>
      <c r="O8" s="109"/>
      <c r="P8" s="109"/>
      <c r="Q8" s="109"/>
      <c r="R8" s="109"/>
      <c r="S8" s="109"/>
      <c r="T8" s="109"/>
      <c r="U8" s="110"/>
      <c r="V8" s="111"/>
      <c r="W8" s="111"/>
      <c r="X8" s="111"/>
      <c r="Y8" s="112"/>
      <c r="Z8" s="111"/>
      <c r="AA8" s="111"/>
      <c r="AB8" s="111"/>
      <c r="AC8" s="113"/>
      <c r="AD8" s="115"/>
      <c r="AE8" s="185"/>
      <c r="AF8" s="172"/>
      <c r="AG8" s="2093"/>
      <c r="AH8" s="2094"/>
      <c r="AI8" s="2095"/>
      <c r="AJ8" s="2093"/>
      <c r="AK8" s="2094"/>
      <c r="AL8" s="2095"/>
      <c r="AM8" s="73"/>
      <c r="AN8" s="73"/>
      <c r="AO8" s="73"/>
      <c r="AP8" s="2093"/>
      <c r="AQ8" s="2094"/>
      <c r="AR8" s="2095"/>
      <c r="AS8" s="2093"/>
      <c r="AT8" s="2094"/>
      <c r="AU8" s="2095"/>
      <c r="AV8" s="2093"/>
      <c r="AW8" s="2094"/>
      <c r="AX8" s="2095"/>
      <c r="AY8" s="115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</row>
    <row r="9" spans="1:68" ht="15.75">
      <c r="A9" s="72"/>
      <c r="B9" s="114"/>
      <c r="C9" s="172" t="str">
        <f>IF(Y9&lt;0,"Achtung !! Überfinanzierung der Investition","Eigenmittel:")</f>
        <v>Eigenmittel:</v>
      </c>
      <c r="D9" s="73"/>
      <c r="E9" s="77"/>
      <c r="F9" s="77"/>
      <c r="G9" s="77"/>
      <c r="H9" s="77"/>
      <c r="I9" s="77"/>
      <c r="J9" s="77"/>
      <c r="K9" s="77"/>
      <c r="L9" s="77"/>
      <c r="M9" s="77"/>
      <c r="N9" s="73"/>
      <c r="O9" s="77"/>
      <c r="P9" s="77"/>
      <c r="Q9" s="77"/>
      <c r="R9" s="77"/>
      <c r="S9" s="77"/>
      <c r="T9" s="77"/>
      <c r="U9" s="78"/>
      <c r="V9" s="79"/>
      <c r="W9" s="79"/>
      <c r="X9" s="79"/>
      <c r="Y9" s="2100">
        <f>Kalkulation!AA84</f>
        <v>0</v>
      </c>
      <c r="Z9" s="2099"/>
      <c r="AA9" s="2099"/>
      <c r="AB9" s="2099"/>
      <c r="AC9" s="100" t="str">
        <f>IF(Y9&gt;0,"€","")</f>
        <v/>
      </c>
      <c r="AD9" s="115"/>
      <c r="AE9" s="114"/>
      <c r="AF9" s="196" t="s">
        <v>391</v>
      </c>
      <c r="AG9" s="124"/>
      <c r="AH9" s="125"/>
      <c r="AI9" s="126"/>
      <c r="AJ9" s="2104">
        <f>T17/100</f>
        <v>0</v>
      </c>
      <c r="AK9" s="2105"/>
      <c r="AL9" s="2106"/>
      <c r="AM9" s="73"/>
      <c r="AN9" s="73"/>
      <c r="AO9" s="73"/>
      <c r="AP9" s="124"/>
      <c r="AQ9" s="125"/>
      <c r="AR9" s="126"/>
      <c r="AS9" s="2104">
        <f>T25/100</f>
        <v>0</v>
      </c>
      <c r="AT9" s="2105"/>
      <c r="AU9" s="2106"/>
      <c r="AV9" s="124"/>
      <c r="AW9" s="125"/>
      <c r="AX9" s="126"/>
      <c r="AY9" s="115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</row>
    <row r="10" spans="1:68" ht="3.2" customHeight="1">
      <c r="A10" s="72"/>
      <c r="B10" s="114"/>
      <c r="C10" s="73"/>
      <c r="D10" s="73"/>
      <c r="E10" s="77"/>
      <c r="F10" s="77"/>
      <c r="G10" s="77"/>
      <c r="H10" s="77"/>
      <c r="I10" s="77"/>
      <c r="J10" s="77"/>
      <c r="K10" s="77"/>
      <c r="L10" s="77"/>
      <c r="M10" s="77"/>
      <c r="N10" s="73"/>
      <c r="O10" s="77"/>
      <c r="P10" s="77"/>
      <c r="Q10" s="77"/>
      <c r="R10" s="77"/>
      <c r="S10" s="77"/>
      <c r="T10" s="77"/>
      <c r="U10" s="78"/>
      <c r="V10" s="79"/>
      <c r="W10" s="79"/>
      <c r="X10" s="79"/>
      <c r="Y10" s="98"/>
      <c r="Z10" s="79"/>
      <c r="AA10" s="79"/>
      <c r="AB10" s="79"/>
      <c r="AC10" s="99"/>
      <c r="AD10" s="115"/>
      <c r="AE10" s="114"/>
      <c r="AF10" s="73"/>
      <c r="AG10" s="74"/>
      <c r="AH10" s="24"/>
      <c r="AI10" s="75"/>
      <c r="AJ10" s="74"/>
      <c r="AK10" s="24"/>
      <c r="AL10" s="75"/>
      <c r="AM10" s="73"/>
      <c r="AN10" s="73"/>
      <c r="AO10" s="73"/>
      <c r="AP10" s="74"/>
      <c r="AQ10" s="24"/>
      <c r="AR10" s="75"/>
      <c r="AS10" s="74"/>
      <c r="AT10" s="24"/>
      <c r="AU10" s="75"/>
      <c r="AV10" s="74"/>
      <c r="AW10" s="24"/>
      <c r="AX10" s="75"/>
      <c r="AY10" s="115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</row>
    <row r="11" spans="1:68" ht="14.1" customHeight="1">
      <c r="A11" s="72"/>
      <c r="B11" s="114"/>
      <c r="C11" s="172" t="s">
        <v>82</v>
      </c>
      <c r="D11" s="73"/>
      <c r="E11" s="77"/>
      <c r="F11" s="77"/>
      <c r="G11" s="77"/>
      <c r="H11" s="77"/>
      <c r="I11" s="77"/>
      <c r="J11" s="77"/>
      <c r="K11" s="77"/>
      <c r="L11" s="77"/>
      <c r="M11" s="77"/>
      <c r="N11" s="73"/>
      <c r="O11" s="77"/>
      <c r="P11" s="77"/>
      <c r="Q11" s="77"/>
      <c r="R11" s="77"/>
      <c r="S11" s="77"/>
      <c r="T11" s="77"/>
      <c r="U11" s="78"/>
      <c r="V11" s="79"/>
      <c r="W11" s="79"/>
      <c r="X11" s="79"/>
      <c r="Y11" s="2100">
        <f>Kalkulation!AY92+Kalkulation!AY94+Kalkulation!AY96</f>
        <v>0</v>
      </c>
      <c r="Z11" s="2099"/>
      <c r="AA11" s="2099"/>
      <c r="AB11" s="2099"/>
      <c r="AC11" s="100" t="str">
        <f>IF(Y11&gt;0,"€","")</f>
        <v/>
      </c>
      <c r="AD11" s="115"/>
      <c r="AE11" s="114"/>
      <c r="AF11" s="128" t="str">
        <f>IF(AG11&gt;0,"Hj.","")</f>
        <v/>
      </c>
      <c r="AG11" s="2079">
        <f>Kalkulation!DD338</f>
        <v>0</v>
      </c>
      <c r="AH11" s="2080"/>
      <c r="AI11" s="2081"/>
      <c r="AJ11" s="2079">
        <f>SUM(Kalkulation!DH338:DH349)</f>
        <v>0</v>
      </c>
      <c r="AK11" s="2080"/>
      <c r="AL11" s="2081"/>
      <c r="AM11" s="199"/>
      <c r="AN11" s="199" t="str">
        <f>IF(AV11&gt;(AG11),"Ablösung","")</f>
        <v/>
      </c>
      <c r="AO11" s="199"/>
      <c r="AP11" s="2079">
        <f>SUM(Kalkulation!DU338:DU349)</f>
        <v>0</v>
      </c>
      <c r="AQ11" s="2080"/>
      <c r="AR11" s="2081"/>
      <c r="AS11" s="2079">
        <f>SUM(Kalkulation!DX338:DX349)</f>
        <v>0</v>
      </c>
      <c r="AT11" s="2080"/>
      <c r="AU11" s="2081"/>
      <c r="AV11" s="2079">
        <f>IF(AND(AP11&gt;0,AP13=0),AP11+AS11,Kalkulation!EA349)</f>
        <v>0</v>
      </c>
      <c r="AW11" s="2080"/>
      <c r="AX11" s="2081"/>
      <c r="AY11" s="115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</row>
    <row r="12" spans="1:68" ht="3.2" customHeight="1">
      <c r="A12" s="72"/>
      <c r="B12" s="114"/>
      <c r="C12" s="73"/>
      <c r="D12" s="73"/>
      <c r="E12" s="77"/>
      <c r="F12" s="77"/>
      <c r="G12" s="77"/>
      <c r="H12" s="77"/>
      <c r="I12" s="77"/>
      <c r="J12" s="77"/>
      <c r="K12" s="77"/>
      <c r="L12" s="77"/>
      <c r="M12" s="77"/>
      <c r="N12" s="73"/>
      <c r="O12" s="77"/>
      <c r="P12" s="77"/>
      <c r="Q12" s="77"/>
      <c r="R12" s="77"/>
      <c r="S12" s="77"/>
      <c r="T12" s="77"/>
      <c r="U12" s="78"/>
      <c r="V12" s="79"/>
      <c r="W12" s="79"/>
      <c r="X12" s="79"/>
      <c r="Y12" s="98"/>
      <c r="Z12" s="79"/>
      <c r="AA12" s="79"/>
      <c r="AB12" s="79"/>
      <c r="AC12" s="99"/>
      <c r="AD12" s="115"/>
      <c r="AE12" s="114"/>
      <c r="AF12" s="73"/>
      <c r="AG12" s="200"/>
      <c r="AH12" s="201"/>
      <c r="AI12" s="202"/>
      <c r="AJ12" s="200"/>
      <c r="AK12" s="201"/>
      <c r="AL12" s="202"/>
      <c r="AM12" s="203"/>
      <c r="AN12" s="203"/>
      <c r="AO12" s="203"/>
      <c r="AP12" s="200"/>
      <c r="AQ12" s="201"/>
      <c r="AR12" s="202"/>
      <c r="AS12" s="200"/>
      <c r="AT12" s="201"/>
      <c r="AU12" s="202"/>
      <c r="AV12" s="200"/>
      <c r="AW12" s="201"/>
      <c r="AX12" s="202"/>
      <c r="AY12" s="115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</row>
    <row r="13" spans="1:68" ht="14.1" customHeight="1">
      <c r="A13" s="72"/>
      <c r="B13" s="114"/>
      <c r="C13" s="93" t="s">
        <v>78</v>
      </c>
      <c r="D13" s="76"/>
      <c r="E13" s="84"/>
      <c r="F13" s="84"/>
      <c r="G13" s="84"/>
      <c r="H13" s="84"/>
      <c r="I13" s="84"/>
      <c r="J13" s="88" t="s">
        <v>74</v>
      </c>
      <c r="K13" s="84"/>
      <c r="L13" s="84" t="s">
        <v>84</v>
      </c>
      <c r="M13" s="84"/>
      <c r="N13" s="84"/>
      <c r="O13" s="84"/>
      <c r="P13" s="84"/>
      <c r="Q13" s="84"/>
      <c r="R13" s="2117"/>
      <c r="S13" s="2118"/>
      <c r="T13" s="2118"/>
      <c r="U13" s="2119"/>
      <c r="V13" s="94"/>
      <c r="W13" s="94"/>
      <c r="X13" s="94"/>
      <c r="Y13" s="2101">
        <f>Kalkulation!AA102</f>
        <v>0</v>
      </c>
      <c r="Z13" s="2102"/>
      <c r="AA13" s="2102"/>
      <c r="AB13" s="2102"/>
      <c r="AC13" s="101" t="s">
        <v>380</v>
      </c>
      <c r="AD13" s="115"/>
      <c r="AE13" s="114"/>
      <c r="AF13" s="128" t="str">
        <f>IF(AG13&gt;0,Kalkulation!BD350,"")</f>
        <v/>
      </c>
      <c r="AG13" s="2079">
        <f>Kalkulation!DD350</f>
        <v>0</v>
      </c>
      <c r="AH13" s="2080"/>
      <c r="AI13" s="2081"/>
      <c r="AJ13" s="2079">
        <f>SUM(Kalkulation!DH350:DH361)</f>
        <v>0</v>
      </c>
      <c r="AK13" s="2080"/>
      <c r="AL13" s="2081"/>
      <c r="AM13" s="199"/>
      <c r="AN13" s="199" t="str">
        <f>IF(AV13&gt;(AG13),"Ablösung","")</f>
        <v/>
      </c>
      <c r="AO13" s="199"/>
      <c r="AP13" s="2079">
        <f>SUM(Kalkulation!DU350:DU361)</f>
        <v>0</v>
      </c>
      <c r="AQ13" s="2080"/>
      <c r="AR13" s="2081"/>
      <c r="AS13" s="2079">
        <f>SUM(Kalkulation!DX350:DX361)</f>
        <v>0</v>
      </c>
      <c r="AT13" s="2080"/>
      <c r="AU13" s="2081"/>
      <c r="AV13" s="2079">
        <f>IF(AND(AP13&gt;0,AP15=0),AV11+AP13+AS13,Kalkulation!EA361)</f>
        <v>0</v>
      </c>
      <c r="AW13" s="2080"/>
      <c r="AX13" s="2081"/>
      <c r="AY13" s="115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</row>
    <row r="14" spans="1:68" ht="3.2" customHeight="1">
      <c r="A14" s="72"/>
      <c r="B14" s="114"/>
      <c r="C14" s="73"/>
      <c r="D14" s="73"/>
      <c r="E14" s="77"/>
      <c r="F14" s="77"/>
      <c r="G14" s="77"/>
      <c r="H14" s="77"/>
      <c r="I14" s="77"/>
      <c r="J14" s="77"/>
      <c r="K14" s="77"/>
      <c r="L14" s="77"/>
      <c r="M14" s="77"/>
      <c r="N14" s="73"/>
      <c r="O14" s="77"/>
      <c r="P14" s="77"/>
      <c r="Q14" s="77"/>
      <c r="R14" s="77"/>
      <c r="S14" s="77"/>
      <c r="T14" s="77"/>
      <c r="U14" s="78"/>
      <c r="V14" s="79"/>
      <c r="W14" s="79"/>
      <c r="X14" s="79"/>
      <c r="Y14" s="79"/>
      <c r="Z14" s="79"/>
      <c r="AA14" s="79"/>
      <c r="AB14" s="79"/>
      <c r="AC14" s="79"/>
      <c r="AD14" s="115"/>
      <c r="AE14" s="114"/>
      <c r="AF14" s="73"/>
      <c r="AG14" s="200"/>
      <c r="AH14" s="201"/>
      <c r="AI14" s="202"/>
      <c r="AJ14" s="200"/>
      <c r="AK14" s="201"/>
      <c r="AL14" s="202"/>
      <c r="AM14" s="203"/>
      <c r="AN14" s="203"/>
      <c r="AO14" s="203"/>
      <c r="AP14" s="200"/>
      <c r="AQ14" s="201"/>
      <c r="AR14" s="202"/>
      <c r="AS14" s="200"/>
      <c r="AT14" s="201"/>
      <c r="AU14" s="202"/>
      <c r="AV14" s="200"/>
      <c r="AW14" s="201"/>
      <c r="AX14" s="202"/>
      <c r="AY14" s="115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</row>
    <row r="15" spans="1:68" ht="14.1" customHeight="1">
      <c r="A15" s="72"/>
      <c r="B15" s="114"/>
      <c r="C15" s="73"/>
      <c r="D15" s="2082" t="s">
        <v>78</v>
      </c>
      <c r="E15" s="2083"/>
      <c r="F15" s="2083"/>
      <c r="G15" s="2083"/>
      <c r="H15" s="2083"/>
      <c r="I15" s="2083"/>
      <c r="J15" s="2084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9"/>
      <c r="W15" s="91" t="s">
        <v>86</v>
      </c>
      <c r="X15" s="79"/>
      <c r="Y15" s="79"/>
      <c r="Z15" s="79"/>
      <c r="AA15" s="79"/>
      <c r="AB15" s="79"/>
      <c r="AC15" s="79"/>
      <c r="AD15" s="115"/>
      <c r="AE15" s="114"/>
      <c r="AF15" s="128" t="str">
        <f>IF(AG15&gt;0,Kalkulation!BD362,"")</f>
        <v/>
      </c>
      <c r="AG15" s="2079">
        <f>Kalkulation!DD362</f>
        <v>0</v>
      </c>
      <c r="AH15" s="2080"/>
      <c r="AI15" s="2081"/>
      <c r="AJ15" s="2079">
        <f>SUM(Kalkulation!DH362:DH373)</f>
        <v>0</v>
      </c>
      <c r="AK15" s="2080"/>
      <c r="AL15" s="2081"/>
      <c r="AM15" s="199"/>
      <c r="AN15" s="199" t="str">
        <f>IF(AV15&gt;(AG15),"Ablösung","")</f>
        <v/>
      </c>
      <c r="AO15" s="199"/>
      <c r="AP15" s="2079">
        <f>SUM(Kalkulation!DU362:DU373)</f>
        <v>0</v>
      </c>
      <c r="AQ15" s="2080"/>
      <c r="AR15" s="2081"/>
      <c r="AS15" s="2079">
        <f>SUM(Kalkulation!DX362:DX373)</f>
        <v>0</v>
      </c>
      <c r="AT15" s="2080"/>
      <c r="AU15" s="2081"/>
      <c r="AV15" s="2079">
        <f>IF(AND(AP15&gt;0,AP17=0),AV13+AP15+AS15,Kalkulation!EA373)</f>
        <v>0</v>
      </c>
      <c r="AW15" s="2080"/>
      <c r="AX15" s="2081"/>
      <c r="AY15" s="115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</row>
    <row r="16" spans="1:68" ht="3.2" customHeight="1">
      <c r="A16" s="72"/>
      <c r="B16" s="114"/>
      <c r="C16" s="73"/>
      <c r="D16" s="73"/>
      <c r="E16" s="77"/>
      <c r="F16" s="77"/>
      <c r="G16" s="77"/>
      <c r="H16" s="77"/>
      <c r="I16" s="77"/>
      <c r="J16" s="77"/>
      <c r="K16" s="77"/>
      <c r="L16" s="77"/>
      <c r="M16" s="77"/>
      <c r="N16" s="73"/>
      <c r="O16" s="77"/>
      <c r="P16" s="77"/>
      <c r="Q16" s="77"/>
      <c r="R16" s="77"/>
      <c r="S16" s="77"/>
      <c r="T16" s="77"/>
      <c r="U16" s="78"/>
      <c r="V16" s="79"/>
      <c r="W16" s="79"/>
      <c r="X16" s="79"/>
      <c r="Y16" s="79"/>
      <c r="Z16" s="79"/>
      <c r="AA16" s="79"/>
      <c r="AB16" s="79"/>
      <c r="AC16" s="79"/>
      <c r="AD16" s="115"/>
      <c r="AE16" s="114"/>
      <c r="AF16" s="73"/>
      <c r="AG16" s="200"/>
      <c r="AH16" s="201"/>
      <c r="AI16" s="202"/>
      <c r="AJ16" s="200"/>
      <c r="AK16" s="201"/>
      <c r="AL16" s="202"/>
      <c r="AM16" s="203"/>
      <c r="AN16" s="203"/>
      <c r="AO16" s="203"/>
      <c r="AP16" s="200"/>
      <c r="AQ16" s="201"/>
      <c r="AR16" s="202"/>
      <c r="AS16" s="200"/>
      <c r="AT16" s="201"/>
      <c r="AU16" s="202"/>
      <c r="AV16" s="200"/>
      <c r="AW16" s="201"/>
      <c r="AX16" s="202"/>
      <c r="AY16" s="115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</row>
    <row r="17" spans="1:68" ht="14.1" customHeight="1">
      <c r="A17" s="72"/>
      <c r="B17" s="114"/>
      <c r="C17" s="73"/>
      <c r="D17" s="2082" t="s">
        <v>75</v>
      </c>
      <c r="E17" s="2083"/>
      <c r="F17" s="2083"/>
      <c r="G17" s="2083"/>
      <c r="H17" s="2083"/>
      <c r="I17" s="2083"/>
      <c r="J17" s="2084"/>
      <c r="K17" s="77"/>
      <c r="L17" s="77" t="s">
        <v>83</v>
      </c>
      <c r="M17" s="77"/>
      <c r="N17" s="73"/>
      <c r="O17" s="77"/>
      <c r="P17" s="77"/>
      <c r="Q17" s="77"/>
      <c r="R17" s="77"/>
      <c r="S17" s="78" t="s">
        <v>413</v>
      </c>
      <c r="T17" s="2085"/>
      <c r="U17" s="2086"/>
      <c r="V17" s="90"/>
      <c r="W17" s="197">
        <f>R13*T17/100</f>
        <v>0</v>
      </c>
      <c r="X17" s="79"/>
      <c r="Y17" s="2078" t="str">
        <f>IF(N110&gt;R6,"Summe der Fremdmittel übersteigt Herstellungs-kosten",IF(AND(R13=0),"Bitte Darlehensbetrag erfassen",IF(AND(R13&gt;0,W17=0,W21=0),"Bitte Darlehens-zinssatz und Ansparbetrag erfassen!",IF(AND(R13&gt;0,W17&gt;0,W21=0),"Bitte Ansparbetrag erfassen!",IF(AND(R13&gt;0,W17=0,W21&gt;0),"Bitte Darlehens-zinssatz erfassen!",IF(T25=0,"Verzinsung der Gegen-finanzierung erfassen !!!",IF(Kalkulation!EA589&lt;Kalkulation!DK589,"ACHTUNG !! Gegenfinanzierung läuft länger als 20 Jahre","")))))))</f>
        <v>Bitte Darlehensbetrag erfassen</v>
      </c>
      <c r="Z17" s="2078"/>
      <c r="AA17" s="2078"/>
      <c r="AB17" s="2078"/>
      <c r="AC17" s="2078"/>
      <c r="AD17" s="115"/>
      <c r="AE17" s="114"/>
      <c r="AF17" s="128" t="str">
        <f>IF(AG17&gt;0,Kalkulation!BD374,"")</f>
        <v/>
      </c>
      <c r="AG17" s="2079">
        <f>Kalkulation!DD374</f>
        <v>0</v>
      </c>
      <c r="AH17" s="2080"/>
      <c r="AI17" s="2081"/>
      <c r="AJ17" s="2079">
        <f>SUM(Kalkulation!DH374:DH385)</f>
        <v>0</v>
      </c>
      <c r="AK17" s="2080"/>
      <c r="AL17" s="2081"/>
      <c r="AM17" s="199"/>
      <c r="AN17" s="199" t="str">
        <f>IF(AV17&gt;(AG17),"Ablösung","")</f>
        <v/>
      </c>
      <c r="AO17" s="199"/>
      <c r="AP17" s="2079">
        <f>SUM(Kalkulation!DU374:DU385)</f>
        <v>0</v>
      </c>
      <c r="AQ17" s="2080"/>
      <c r="AR17" s="2081"/>
      <c r="AS17" s="2079">
        <f>SUM(Kalkulation!DX374:DX385)</f>
        <v>0</v>
      </c>
      <c r="AT17" s="2080"/>
      <c r="AU17" s="2081"/>
      <c r="AV17" s="2079">
        <f>IF(AND(AP17&gt;0,AP19=0),AV15+AP17+AS17,Kalkulation!EA385)</f>
        <v>0</v>
      </c>
      <c r="AW17" s="2080"/>
      <c r="AX17" s="2081"/>
      <c r="AY17" s="115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</row>
    <row r="18" spans="1:68" ht="3.2" customHeight="1">
      <c r="A18" s="72"/>
      <c r="B18" s="114"/>
      <c r="C18" s="73"/>
      <c r="D18" s="73"/>
      <c r="E18" s="77"/>
      <c r="F18" s="77"/>
      <c r="G18" s="77"/>
      <c r="H18" s="77"/>
      <c r="I18" s="77"/>
      <c r="J18" s="77"/>
      <c r="K18" s="77"/>
      <c r="L18" s="77"/>
      <c r="M18" s="77"/>
      <c r="N18" s="73"/>
      <c r="O18" s="77"/>
      <c r="P18" s="77"/>
      <c r="Q18" s="77"/>
      <c r="R18" s="77"/>
      <c r="S18" s="77"/>
      <c r="T18" s="77"/>
      <c r="U18" s="78"/>
      <c r="V18" s="79"/>
      <c r="W18" s="79"/>
      <c r="X18" s="79"/>
      <c r="Y18" s="2078"/>
      <c r="Z18" s="2078"/>
      <c r="AA18" s="2078"/>
      <c r="AB18" s="2078"/>
      <c r="AC18" s="2078"/>
      <c r="AD18" s="115"/>
      <c r="AE18" s="114"/>
      <c r="AF18" s="73"/>
      <c r="AG18" s="200"/>
      <c r="AH18" s="201"/>
      <c r="AI18" s="202"/>
      <c r="AJ18" s="200"/>
      <c r="AK18" s="201"/>
      <c r="AL18" s="202"/>
      <c r="AM18" s="203"/>
      <c r="AN18" s="203"/>
      <c r="AO18" s="203"/>
      <c r="AP18" s="200"/>
      <c r="AQ18" s="201"/>
      <c r="AR18" s="202"/>
      <c r="AS18" s="200"/>
      <c r="AT18" s="201"/>
      <c r="AU18" s="202"/>
      <c r="AV18" s="200"/>
      <c r="AW18" s="201"/>
      <c r="AX18" s="202"/>
      <c r="AY18" s="115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</row>
    <row r="19" spans="1:68" ht="14.1" customHeight="1">
      <c r="A19" s="72"/>
      <c r="B19" s="114"/>
      <c r="C19" s="93" t="s">
        <v>87</v>
      </c>
      <c r="D19" s="76"/>
      <c r="E19" s="84"/>
      <c r="F19" s="84"/>
      <c r="G19" s="84"/>
      <c r="H19" s="84"/>
      <c r="I19" s="84"/>
      <c r="J19" s="92" t="s">
        <v>88</v>
      </c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2078"/>
      <c r="Z19" s="2078"/>
      <c r="AA19" s="2078"/>
      <c r="AB19" s="2078"/>
      <c r="AC19" s="2078"/>
      <c r="AD19" s="115"/>
      <c r="AE19" s="114"/>
      <c r="AF19" s="128" t="str">
        <f>IF(AG19&gt;0,Kalkulation!BD386,"")</f>
        <v/>
      </c>
      <c r="AG19" s="2079">
        <f>Kalkulation!DD386</f>
        <v>0</v>
      </c>
      <c r="AH19" s="2080">
        <f>Kalkulation!BH388</f>
        <v>0</v>
      </c>
      <c r="AI19" s="2081"/>
      <c r="AJ19" s="2079">
        <f>SUM(Kalkulation!DH386:DH397)</f>
        <v>0</v>
      </c>
      <c r="AK19" s="2080"/>
      <c r="AL19" s="2081"/>
      <c r="AM19" s="199"/>
      <c r="AN19" s="199" t="str">
        <f>IF(AV19&gt;(AG19),"Ablösung","")</f>
        <v/>
      </c>
      <c r="AO19" s="199"/>
      <c r="AP19" s="2079">
        <f>SUM(Kalkulation!DU386:DU397)</f>
        <v>0</v>
      </c>
      <c r="AQ19" s="2080"/>
      <c r="AR19" s="2081"/>
      <c r="AS19" s="2079">
        <f>SUM(Kalkulation!DX386:DX397)</f>
        <v>0</v>
      </c>
      <c r="AT19" s="2080"/>
      <c r="AU19" s="2081"/>
      <c r="AV19" s="2079">
        <f>IF(AND(AP19&gt;0,AP21=0),AV17+AP19+AS19,Kalkulation!EA397)</f>
        <v>0</v>
      </c>
      <c r="AW19" s="2080"/>
      <c r="AX19" s="2081"/>
      <c r="AY19" s="115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</row>
    <row r="20" spans="1:68" ht="3.2" customHeight="1">
      <c r="A20" s="72"/>
      <c r="B20" s="114"/>
      <c r="C20" s="73"/>
      <c r="D20" s="73"/>
      <c r="E20" s="77"/>
      <c r="F20" s="77"/>
      <c r="G20" s="77"/>
      <c r="H20" s="77"/>
      <c r="I20" s="77"/>
      <c r="J20" s="77"/>
      <c r="K20" s="77"/>
      <c r="L20" s="77"/>
      <c r="M20" s="77"/>
      <c r="N20" s="73"/>
      <c r="O20" s="77"/>
      <c r="P20" s="77"/>
      <c r="Q20" s="77"/>
      <c r="R20" s="77"/>
      <c r="S20" s="77"/>
      <c r="T20" s="77"/>
      <c r="U20" s="78"/>
      <c r="V20" s="79"/>
      <c r="W20" s="79"/>
      <c r="X20" s="79"/>
      <c r="Y20" s="2078"/>
      <c r="Z20" s="2078"/>
      <c r="AA20" s="2078"/>
      <c r="AB20" s="2078"/>
      <c r="AC20" s="2078"/>
      <c r="AD20" s="115"/>
      <c r="AE20" s="114"/>
      <c r="AF20" s="73"/>
      <c r="AG20" s="200"/>
      <c r="AH20" s="201"/>
      <c r="AI20" s="202"/>
      <c r="AJ20" s="200"/>
      <c r="AK20" s="201"/>
      <c r="AL20" s="202"/>
      <c r="AM20" s="203"/>
      <c r="AN20" s="203"/>
      <c r="AO20" s="203"/>
      <c r="AP20" s="200"/>
      <c r="AQ20" s="201"/>
      <c r="AR20" s="202"/>
      <c r="AS20" s="200"/>
      <c r="AT20" s="201"/>
      <c r="AU20" s="202"/>
      <c r="AV20" s="200"/>
      <c r="AW20" s="201"/>
      <c r="AX20" s="202"/>
      <c r="AY20" s="115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</row>
    <row r="21" spans="1:68" ht="14.1" customHeight="1">
      <c r="A21" s="72"/>
      <c r="B21" s="114"/>
      <c r="C21" s="73"/>
      <c r="D21" s="2082" t="s">
        <v>127</v>
      </c>
      <c r="E21" s="2083"/>
      <c r="F21" s="2083"/>
      <c r="G21" s="2083"/>
      <c r="H21" s="2083"/>
      <c r="I21" s="2083"/>
      <c r="J21" s="2084"/>
      <c r="K21" s="77"/>
      <c r="L21" s="77" t="s">
        <v>149</v>
      </c>
      <c r="M21" s="77"/>
      <c r="N21" s="73"/>
      <c r="O21" s="77"/>
      <c r="P21" s="77"/>
      <c r="Q21" s="77"/>
      <c r="R21" s="77"/>
      <c r="S21" s="187" t="s">
        <v>150</v>
      </c>
      <c r="T21" s="2085"/>
      <c r="U21" s="2086"/>
      <c r="V21" s="90"/>
      <c r="W21" s="197">
        <f>IF(T21&gt;0,R13*T21/100,S23)</f>
        <v>0</v>
      </c>
      <c r="X21" s="79"/>
      <c r="Y21" s="2078"/>
      <c r="Z21" s="2078"/>
      <c r="AA21" s="2078"/>
      <c r="AB21" s="2078"/>
      <c r="AC21" s="2078"/>
      <c r="AD21" s="115"/>
      <c r="AE21" s="114"/>
      <c r="AF21" s="128" t="str">
        <f>IF(AG21&gt;0,Kalkulation!BD398,"")</f>
        <v/>
      </c>
      <c r="AG21" s="2079">
        <f>Kalkulation!DD398</f>
        <v>0</v>
      </c>
      <c r="AH21" s="2080"/>
      <c r="AI21" s="2081"/>
      <c r="AJ21" s="2079">
        <f>SUM(Kalkulation!DH398:DH409)</f>
        <v>0</v>
      </c>
      <c r="AK21" s="2080"/>
      <c r="AL21" s="2081"/>
      <c r="AM21" s="199"/>
      <c r="AN21" s="199" t="str">
        <f>IF(AV21&gt;(AG21),"Ablösung","")</f>
        <v/>
      </c>
      <c r="AO21" s="199"/>
      <c r="AP21" s="2079">
        <f>SUM(Kalkulation!DU398:DU409)</f>
        <v>0</v>
      </c>
      <c r="AQ21" s="2080"/>
      <c r="AR21" s="2081"/>
      <c r="AS21" s="2079">
        <f>SUM(Kalkulation!DX398:DX409)</f>
        <v>0</v>
      </c>
      <c r="AT21" s="2080"/>
      <c r="AU21" s="2081"/>
      <c r="AV21" s="2079">
        <f>IF(AND(AP21&gt;0,AP23=0),AV19+AP21+AS21,Kalkulation!EA409)</f>
        <v>0</v>
      </c>
      <c r="AW21" s="2080"/>
      <c r="AX21" s="2081"/>
      <c r="AY21" s="115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</row>
    <row r="22" spans="1:68" ht="3.2" customHeight="1">
      <c r="A22" s="72"/>
      <c r="B22" s="114"/>
      <c r="C22" s="73"/>
      <c r="D22" s="73"/>
      <c r="E22" s="77"/>
      <c r="F22" s="77"/>
      <c r="G22" s="77"/>
      <c r="H22" s="77"/>
      <c r="I22" s="77"/>
      <c r="J22" s="77"/>
      <c r="K22" s="77"/>
      <c r="L22" s="77"/>
      <c r="M22" s="77"/>
      <c r="N22" s="73"/>
      <c r="O22" s="77"/>
      <c r="P22" s="77"/>
      <c r="Q22" s="77"/>
      <c r="R22" s="77"/>
      <c r="S22" s="77"/>
      <c r="T22" s="77"/>
      <c r="U22" s="78"/>
      <c r="V22" s="79"/>
      <c r="W22" s="79"/>
      <c r="X22" s="79"/>
      <c r="Y22" s="2078"/>
      <c r="Z22" s="2078"/>
      <c r="AA22" s="2078"/>
      <c r="AB22" s="2078"/>
      <c r="AC22" s="2078"/>
      <c r="AD22" s="115"/>
      <c r="AE22" s="114"/>
      <c r="AF22" s="73"/>
      <c r="AG22" s="200"/>
      <c r="AH22" s="201"/>
      <c r="AI22" s="202"/>
      <c r="AJ22" s="200"/>
      <c r="AK22" s="201"/>
      <c r="AL22" s="202"/>
      <c r="AM22" s="203"/>
      <c r="AN22" s="203"/>
      <c r="AO22" s="203"/>
      <c r="AP22" s="200"/>
      <c r="AQ22" s="201"/>
      <c r="AR22" s="202"/>
      <c r="AS22" s="200"/>
      <c r="AT22" s="201"/>
      <c r="AU22" s="202"/>
      <c r="AV22" s="200"/>
      <c r="AW22" s="201"/>
      <c r="AX22" s="202"/>
      <c r="AY22" s="115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</row>
    <row r="23" spans="1:68" ht="14.1" customHeight="1">
      <c r="A23" s="72"/>
      <c r="B23" s="114"/>
      <c r="C23" s="73"/>
      <c r="D23" s="2082" t="s">
        <v>75</v>
      </c>
      <c r="E23" s="2083"/>
      <c r="F23" s="2083"/>
      <c r="G23" s="2083"/>
      <c r="H23" s="2083"/>
      <c r="I23" s="2083"/>
      <c r="J23" s="2084"/>
      <c r="K23" s="77"/>
      <c r="L23" s="77"/>
      <c r="M23" s="77"/>
      <c r="N23" s="77"/>
      <c r="O23" s="77"/>
      <c r="P23" s="77"/>
      <c r="Q23" s="77"/>
      <c r="R23" s="187" t="s">
        <v>151</v>
      </c>
      <c r="S23" s="2110"/>
      <c r="T23" s="2111"/>
      <c r="U23" s="2112"/>
      <c r="V23" s="79"/>
      <c r="W23" s="79"/>
      <c r="X23" s="79"/>
      <c r="Y23" s="2078"/>
      <c r="Z23" s="2078"/>
      <c r="AA23" s="2078"/>
      <c r="AB23" s="2078"/>
      <c r="AC23" s="2078"/>
      <c r="AD23" s="115"/>
      <c r="AE23" s="114"/>
      <c r="AF23" s="128" t="str">
        <f>IF(AG23&gt;0,Kalkulation!BD410,"")</f>
        <v/>
      </c>
      <c r="AG23" s="2079">
        <f>Kalkulation!DD410</f>
        <v>0</v>
      </c>
      <c r="AH23" s="2080"/>
      <c r="AI23" s="2081"/>
      <c r="AJ23" s="2079">
        <f>SUM(Kalkulation!DH410:DH421)</f>
        <v>0</v>
      </c>
      <c r="AK23" s="2080"/>
      <c r="AL23" s="2081"/>
      <c r="AM23" s="199"/>
      <c r="AN23" s="199" t="str">
        <f>IF(AV23&gt;(AG23),"Ablösung","")</f>
        <v/>
      </c>
      <c r="AO23" s="199"/>
      <c r="AP23" s="2079">
        <f>SUM(Kalkulation!DU410:DU421)</f>
        <v>0</v>
      </c>
      <c r="AQ23" s="2080"/>
      <c r="AR23" s="2081"/>
      <c r="AS23" s="2079">
        <f>SUM(Kalkulation!DX410:DX421)</f>
        <v>0</v>
      </c>
      <c r="AT23" s="2080"/>
      <c r="AU23" s="2081"/>
      <c r="AV23" s="2079">
        <f>IF(AND(AP23&gt;0,AP25=0),AV21+AP23+AS23,Kalkulation!EA421)</f>
        <v>0</v>
      </c>
      <c r="AW23" s="2080"/>
      <c r="AX23" s="2081"/>
      <c r="AY23" s="115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</row>
    <row r="24" spans="1:68" ht="3.2" customHeight="1">
      <c r="A24" s="72"/>
      <c r="B24" s="114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9"/>
      <c r="Y24" s="2078"/>
      <c r="Z24" s="2078"/>
      <c r="AA24" s="2078"/>
      <c r="AB24" s="2078"/>
      <c r="AC24" s="2078"/>
      <c r="AD24" s="115"/>
      <c r="AE24" s="114"/>
      <c r="AF24" s="73"/>
      <c r="AG24" s="200"/>
      <c r="AH24" s="201"/>
      <c r="AI24" s="202"/>
      <c r="AJ24" s="200"/>
      <c r="AK24" s="201"/>
      <c r="AL24" s="202"/>
      <c r="AM24" s="203"/>
      <c r="AN24" s="203"/>
      <c r="AO24" s="203"/>
      <c r="AP24" s="200"/>
      <c r="AQ24" s="201"/>
      <c r="AR24" s="202"/>
      <c r="AS24" s="200"/>
      <c r="AT24" s="201"/>
      <c r="AU24" s="202"/>
      <c r="AV24" s="200"/>
      <c r="AW24" s="201"/>
      <c r="AX24" s="202"/>
      <c r="AY24" s="115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</row>
    <row r="25" spans="1:68" ht="14.1" customHeight="1">
      <c r="A25" s="72"/>
      <c r="B25" s="114"/>
      <c r="C25" s="77"/>
      <c r="D25" s="77"/>
      <c r="E25" s="77"/>
      <c r="F25" s="77"/>
      <c r="G25" s="77"/>
      <c r="H25" s="77"/>
      <c r="I25" s="77"/>
      <c r="J25" s="77"/>
      <c r="K25" s="77"/>
      <c r="L25" s="77" t="s">
        <v>102</v>
      </c>
      <c r="M25" s="77"/>
      <c r="N25" s="73"/>
      <c r="O25" s="77"/>
      <c r="P25" s="77"/>
      <c r="Q25" s="77"/>
      <c r="R25" s="77"/>
      <c r="S25" s="78" t="s">
        <v>101</v>
      </c>
      <c r="T25" s="2085"/>
      <c r="U25" s="2086"/>
      <c r="V25" s="79"/>
      <c r="W25" s="79"/>
      <c r="X25" s="73"/>
      <c r="Y25" s="2078"/>
      <c r="Z25" s="2078"/>
      <c r="AA25" s="2078"/>
      <c r="AB25" s="2078"/>
      <c r="AC25" s="2078"/>
      <c r="AD25" s="115"/>
      <c r="AE25" s="114"/>
      <c r="AF25" s="128" t="str">
        <f>IF(AG25&gt;0,Kalkulation!BD422,"")</f>
        <v/>
      </c>
      <c r="AG25" s="2079">
        <f>Kalkulation!DD422</f>
        <v>0</v>
      </c>
      <c r="AH25" s="2080"/>
      <c r="AI25" s="2081"/>
      <c r="AJ25" s="2079">
        <f>SUM(Kalkulation!DH422:DH433)</f>
        <v>0</v>
      </c>
      <c r="AK25" s="2080"/>
      <c r="AL25" s="2081"/>
      <c r="AM25" s="199"/>
      <c r="AN25" s="199" t="str">
        <f>IF(AV25&gt;(AG25),"Ablösung","")</f>
        <v/>
      </c>
      <c r="AO25" s="199"/>
      <c r="AP25" s="2079">
        <f>SUM(Kalkulation!DU422:DU433)</f>
        <v>0</v>
      </c>
      <c r="AQ25" s="2080"/>
      <c r="AR25" s="2081"/>
      <c r="AS25" s="2079">
        <f>SUM(Kalkulation!DX422:DX433)</f>
        <v>0</v>
      </c>
      <c r="AT25" s="2080"/>
      <c r="AU25" s="2081"/>
      <c r="AV25" s="2079">
        <f>IF(AND(AP25&gt;0,AP27=0),AV23+AP25+AS25,Kalkulation!EA433)</f>
        <v>0</v>
      </c>
      <c r="AW25" s="2080"/>
      <c r="AX25" s="2081"/>
      <c r="AY25" s="115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</row>
    <row r="26" spans="1:68" ht="2.25" customHeight="1">
      <c r="A26" s="72"/>
      <c r="B26" s="114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115"/>
      <c r="AE26" s="114"/>
      <c r="AF26" s="73"/>
      <c r="AG26" s="200"/>
      <c r="AH26" s="201"/>
      <c r="AI26" s="202"/>
      <c r="AJ26" s="200"/>
      <c r="AK26" s="201"/>
      <c r="AL26" s="202"/>
      <c r="AM26" s="203"/>
      <c r="AN26" s="203"/>
      <c r="AO26" s="203"/>
      <c r="AP26" s="200"/>
      <c r="AQ26" s="201"/>
      <c r="AR26" s="202"/>
      <c r="AS26" s="200"/>
      <c r="AT26" s="201"/>
      <c r="AU26" s="202"/>
      <c r="AV26" s="200"/>
      <c r="AW26" s="201"/>
      <c r="AX26" s="202"/>
      <c r="AY26" s="115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</row>
    <row r="27" spans="1:68" ht="14.1" customHeight="1">
      <c r="A27" s="72"/>
      <c r="B27" s="114"/>
      <c r="C27" s="85" t="s">
        <v>85</v>
      </c>
      <c r="D27" s="86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9" t="s">
        <v>413</v>
      </c>
      <c r="T27" s="2115">
        <f>IF(R13=0,0,(W27/R13)*100)</f>
        <v>0</v>
      </c>
      <c r="U27" s="2116"/>
      <c r="V27" s="90"/>
      <c r="W27" s="198">
        <f>W17+W21</f>
        <v>0</v>
      </c>
      <c r="X27" s="73"/>
      <c r="Y27" s="73"/>
      <c r="Z27" s="73"/>
      <c r="AA27" s="73"/>
      <c r="AB27" s="73"/>
      <c r="AC27" s="73"/>
      <c r="AD27" s="115"/>
      <c r="AE27" s="114"/>
      <c r="AF27" s="128" t="str">
        <f>IF(AG27&gt;0,Kalkulation!BD434,"")</f>
        <v/>
      </c>
      <c r="AG27" s="2079">
        <f>Kalkulation!DD434</f>
        <v>0</v>
      </c>
      <c r="AH27" s="2080"/>
      <c r="AI27" s="2081"/>
      <c r="AJ27" s="2079">
        <f>SUM(Kalkulation!DH434:DH445)</f>
        <v>0</v>
      </c>
      <c r="AK27" s="2080"/>
      <c r="AL27" s="2081"/>
      <c r="AM27" s="199"/>
      <c r="AN27" s="199" t="str">
        <f>IF(AV27&gt;(AG27),"Ablösung","")</f>
        <v/>
      </c>
      <c r="AO27" s="199"/>
      <c r="AP27" s="2079">
        <f>SUM(Kalkulation!DU434:DU445)</f>
        <v>0</v>
      </c>
      <c r="AQ27" s="2080"/>
      <c r="AR27" s="2081"/>
      <c r="AS27" s="2079">
        <f>SUM(Kalkulation!DX434:DX445)</f>
        <v>0</v>
      </c>
      <c r="AT27" s="2080"/>
      <c r="AU27" s="2081"/>
      <c r="AV27" s="2079">
        <f>IF(AND(AP27&gt;0,AP29=0),AV25+AP27+AS27,Kalkulation!EA445)</f>
        <v>0</v>
      </c>
      <c r="AW27" s="2080"/>
      <c r="AX27" s="2081"/>
      <c r="AY27" s="115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</row>
    <row r="28" spans="1:68" ht="2.1" customHeight="1">
      <c r="A28" s="72"/>
      <c r="B28" s="114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115"/>
      <c r="AE28" s="114"/>
      <c r="AF28" s="73"/>
      <c r="AG28" s="200"/>
      <c r="AH28" s="201"/>
      <c r="AI28" s="202"/>
      <c r="AJ28" s="200"/>
      <c r="AK28" s="201"/>
      <c r="AL28" s="202"/>
      <c r="AM28" s="203"/>
      <c r="AN28" s="203"/>
      <c r="AO28" s="203"/>
      <c r="AP28" s="200"/>
      <c r="AQ28" s="201"/>
      <c r="AR28" s="202"/>
      <c r="AS28" s="200"/>
      <c r="AT28" s="201"/>
      <c r="AU28" s="202"/>
      <c r="AV28" s="200"/>
      <c r="AW28" s="201"/>
      <c r="AX28" s="202"/>
      <c r="AY28" s="115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</row>
    <row r="29" spans="1:68" ht="14.1" customHeight="1" thickBot="1">
      <c r="A29" s="72"/>
      <c r="B29" s="114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115"/>
      <c r="AE29" s="114"/>
      <c r="AF29" s="128" t="str">
        <f>IF(AG29&gt;0,Kalkulation!BD446,"")</f>
        <v/>
      </c>
      <c r="AG29" s="2079">
        <f>Kalkulation!DD446</f>
        <v>0</v>
      </c>
      <c r="AH29" s="2080"/>
      <c r="AI29" s="2081"/>
      <c r="AJ29" s="2079">
        <f>SUM(Kalkulation!DH446:DH457)</f>
        <v>0</v>
      </c>
      <c r="AK29" s="2080"/>
      <c r="AL29" s="2081"/>
      <c r="AM29" s="199"/>
      <c r="AN29" s="199" t="str">
        <f>IF(AV29&gt;(AG29),"Ablösung","")</f>
        <v/>
      </c>
      <c r="AO29" s="199"/>
      <c r="AP29" s="2079">
        <f>SUM(Kalkulation!DU446:DU457)</f>
        <v>0</v>
      </c>
      <c r="AQ29" s="2080"/>
      <c r="AR29" s="2081"/>
      <c r="AS29" s="2079">
        <f>SUM(Kalkulation!DX446:DX457)</f>
        <v>0</v>
      </c>
      <c r="AT29" s="2080"/>
      <c r="AU29" s="2081"/>
      <c r="AV29" s="2079">
        <f>IF(AND(AP29&gt;0,AP31=0),AV27+AP29+AS29,Kalkulation!EA457)</f>
        <v>0</v>
      </c>
      <c r="AW29" s="2080"/>
      <c r="AX29" s="2081"/>
      <c r="AY29" s="115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</row>
    <row r="30" spans="1:68" ht="2.1" customHeight="1" thickTop="1">
      <c r="A30" s="72"/>
      <c r="B30" s="117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18"/>
      <c r="Y30" s="195"/>
      <c r="Z30" s="195"/>
      <c r="AA30" s="195"/>
      <c r="AB30" s="195"/>
      <c r="AC30" s="195"/>
      <c r="AD30" s="119"/>
      <c r="AE30" s="114"/>
      <c r="AF30" s="73"/>
      <c r="AG30" s="200"/>
      <c r="AH30" s="201"/>
      <c r="AI30" s="202"/>
      <c r="AJ30" s="200"/>
      <c r="AK30" s="201"/>
      <c r="AL30" s="202"/>
      <c r="AM30" s="203"/>
      <c r="AN30" s="203"/>
      <c r="AO30" s="203"/>
      <c r="AP30" s="200"/>
      <c r="AQ30" s="201"/>
      <c r="AR30" s="202"/>
      <c r="AS30" s="200"/>
      <c r="AT30" s="201"/>
      <c r="AU30" s="202"/>
      <c r="AV30" s="200"/>
      <c r="AW30" s="201"/>
      <c r="AX30" s="202"/>
      <c r="AY30" s="115"/>
      <c r="AZ30" s="73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</row>
    <row r="31" spans="1:68" ht="14.1" customHeight="1">
      <c r="A31" s="72"/>
      <c r="B31" s="114"/>
      <c r="C31" s="93" t="s">
        <v>100</v>
      </c>
      <c r="D31" s="33"/>
      <c r="E31" s="33"/>
      <c r="F31" s="33"/>
      <c r="G31" s="33"/>
      <c r="H31" s="33"/>
      <c r="I31" s="93" t="str">
        <f>"Anlagengröße:  "&amp;CC91&amp;" kWp"</f>
        <v>Anlagengröße:  0 kWp</v>
      </c>
      <c r="K31" s="33"/>
      <c r="L31" s="33"/>
      <c r="M31" s="33"/>
      <c r="N31" s="33"/>
      <c r="O31" s="33"/>
      <c r="P31" s="33"/>
      <c r="Q31" s="33"/>
      <c r="R31" s="33"/>
      <c r="T31" s="33"/>
      <c r="U31" s="33"/>
      <c r="V31" s="33"/>
      <c r="W31" s="76"/>
      <c r="X31" s="76"/>
      <c r="Y31" s="76"/>
      <c r="Z31" s="76"/>
      <c r="AA31" s="76"/>
      <c r="AB31" s="76"/>
      <c r="AC31" s="76"/>
      <c r="AD31" s="115"/>
      <c r="AE31" s="114"/>
      <c r="AF31" s="128" t="str">
        <f>IF(AG31&gt;0,Kalkulation!BD458,"")</f>
        <v/>
      </c>
      <c r="AG31" s="2079">
        <f>Kalkulation!DD458</f>
        <v>0</v>
      </c>
      <c r="AH31" s="2080"/>
      <c r="AI31" s="2081"/>
      <c r="AJ31" s="2079">
        <f>SUM(Kalkulation!DH458:DH469)</f>
        <v>0</v>
      </c>
      <c r="AK31" s="2080"/>
      <c r="AL31" s="2081"/>
      <c r="AM31" s="199"/>
      <c r="AN31" s="199" t="str">
        <f>IF(AV31&gt;(AG31),"Ablösung","")</f>
        <v/>
      </c>
      <c r="AO31" s="199"/>
      <c r="AP31" s="2079">
        <f>SUM(Kalkulation!DU458:DU469)</f>
        <v>0</v>
      </c>
      <c r="AQ31" s="2080"/>
      <c r="AR31" s="2081"/>
      <c r="AS31" s="2079">
        <f>SUM(Kalkulation!DX458:DX469)</f>
        <v>0</v>
      </c>
      <c r="AT31" s="2080"/>
      <c r="AU31" s="2081"/>
      <c r="AV31" s="2079">
        <f>IF(AND(AP31&gt;0,AP33=0),AV29+AP31+AS31,Kalkulation!EA469)</f>
        <v>0</v>
      </c>
      <c r="AW31" s="2080"/>
      <c r="AX31" s="2081"/>
      <c r="AY31" s="115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</row>
    <row r="32" spans="1:68" ht="2.25" customHeight="1">
      <c r="A32" s="72"/>
      <c r="B32" s="114"/>
      <c r="C32" s="33"/>
      <c r="D32" s="33"/>
      <c r="E32" s="33"/>
      <c r="F32" s="33"/>
      <c r="G32" s="33"/>
      <c r="H32" s="33"/>
      <c r="I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76"/>
      <c r="X32" s="76"/>
      <c r="Y32" s="76"/>
      <c r="Z32" s="76"/>
      <c r="AA32" s="76"/>
      <c r="AB32" s="76"/>
      <c r="AC32" s="76"/>
      <c r="AD32" s="115"/>
      <c r="AE32" s="114"/>
      <c r="AF32" s="73"/>
      <c r="AG32" s="200"/>
      <c r="AH32" s="201"/>
      <c r="AI32" s="202"/>
      <c r="AJ32" s="200"/>
      <c r="AK32" s="201"/>
      <c r="AL32" s="202"/>
      <c r="AM32" s="203"/>
      <c r="AN32" s="203"/>
      <c r="AO32" s="203"/>
      <c r="AP32" s="200"/>
      <c r="AQ32" s="201"/>
      <c r="AR32" s="202"/>
      <c r="AS32" s="200"/>
      <c r="AT32" s="201"/>
      <c r="AU32" s="202"/>
      <c r="AV32" s="200"/>
      <c r="AW32" s="201"/>
      <c r="AX32" s="202"/>
      <c r="AY32" s="115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</row>
    <row r="33" spans="1:68" ht="14.1" customHeight="1">
      <c r="A33" s="72"/>
      <c r="B33" s="114"/>
      <c r="C33" s="33"/>
      <c r="D33" s="33"/>
      <c r="E33" s="33"/>
      <c r="F33" s="33"/>
      <c r="G33" s="33"/>
      <c r="H33" s="33"/>
      <c r="I33" s="93" t="str">
        <f>"Anlagekosten:  "&amp;CC92&amp;" € / kWp"</f>
        <v>Anlagekosten:  0 € / kWp</v>
      </c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76"/>
      <c r="X33" s="76"/>
      <c r="Y33" s="76"/>
      <c r="Z33" s="76"/>
      <c r="AA33" s="76"/>
      <c r="AB33" s="76"/>
      <c r="AC33" s="76"/>
      <c r="AD33" s="115"/>
      <c r="AE33" s="114"/>
      <c r="AF33" s="128" t="str">
        <f>IF(AG33&gt;0,Kalkulation!BD470,"")</f>
        <v/>
      </c>
      <c r="AG33" s="2079">
        <f>Kalkulation!DD470</f>
        <v>0</v>
      </c>
      <c r="AH33" s="2080"/>
      <c r="AI33" s="2081"/>
      <c r="AJ33" s="2079">
        <f>SUM(Kalkulation!DH470:DH481)</f>
        <v>0</v>
      </c>
      <c r="AK33" s="2080"/>
      <c r="AL33" s="2081"/>
      <c r="AM33" s="199"/>
      <c r="AN33" s="199" t="str">
        <f>IF(AV33&gt;(AG33),"Ablösung","")</f>
        <v/>
      </c>
      <c r="AO33" s="199"/>
      <c r="AP33" s="2079">
        <f>SUM(Kalkulation!DU470:DU481)</f>
        <v>0</v>
      </c>
      <c r="AQ33" s="2080"/>
      <c r="AR33" s="2081"/>
      <c r="AS33" s="2079">
        <f>SUM(Kalkulation!DX470:DX481)</f>
        <v>0</v>
      </c>
      <c r="AT33" s="2080"/>
      <c r="AU33" s="2081"/>
      <c r="AV33" s="2079">
        <f>IF(AND(AP33&gt;0,AP35=0),AV31+AP33+AS33,Kalkulation!EA481)</f>
        <v>0</v>
      </c>
      <c r="AW33" s="2080"/>
      <c r="AX33" s="2081"/>
      <c r="AY33" s="115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</row>
    <row r="34" spans="1:68" ht="2.1" customHeight="1">
      <c r="A34" s="72"/>
      <c r="B34" s="114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76"/>
      <c r="X34" s="76"/>
      <c r="Y34" s="76"/>
      <c r="Z34" s="76"/>
      <c r="AA34" s="76"/>
      <c r="AB34" s="76"/>
      <c r="AC34" s="76"/>
      <c r="AD34" s="115"/>
      <c r="AE34" s="114"/>
      <c r="AF34" s="73"/>
      <c r="AG34" s="200"/>
      <c r="AH34" s="201"/>
      <c r="AI34" s="202"/>
      <c r="AJ34" s="200"/>
      <c r="AK34" s="201"/>
      <c r="AL34" s="202"/>
      <c r="AM34" s="203"/>
      <c r="AN34" s="203"/>
      <c r="AO34" s="203"/>
      <c r="AP34" s="200"/>
      <c r="AQ34" s="201"/>
      <c r="AR34" s="202"/>
      <c r="AS34" s="200"/>
      <c r="AT34" s="201"/>
      <c r="AU34" s="202"/>
      <c r="AV34" s="200"/>
      <c r="AW34" s="201"/>
      <c r="AX34" s="202"/>
      <c r="AY34" s="115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</row>
    <row r="35" spans="1:68" ht="14.1" customHeight="1">
      <c r="A35" s="72"/>
      <c r="B35" s="114"/>
      <c r="F35" s="33"/>
      <c r="G35" s="33"/>
      <c r="H35" s="33"/>
      <c r="I35" s="93" t="str">
        <f>"Leistung (Prognose):  "&amp;CC93&amp;" kWh / kWp"</f>
        <v>Leistung (Prognose):  930 kWh / kWp</v>
      </c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76"/>
      <c r="X35" s="76"/>
      <c r="Y35" s="76"/>
      <c r="Z35" s="76"/>
      <c r="AA35" s="76"/>
      <c r="AB35" s="76"/>
      <c r="AC35" s="76"/>
      <c r="AD35" s="115"/>
      <c r="AE35" s="114"/>
      <c r="AF35" s="128" t="str">
        <f>IF(AG35&gt;0,Kalkulation!BD482,"")</f>
        <v/>
      </c>
      <c r="AG35" s="2079">
        <f>Kalkulation!DD482</f>
        <v>0</v>
      </c>
      <c r="AH35" s="2080"/>
      <c r="AI35" s="2081"/>
      <c r="AJ35" s="2079">
        <f>SUM(Kalkulation!DH482:DH493)</f>
        <v>0</v>
      </c>
      <c r="AK35" s="2080"/>
      <c r="AL35" s="2081"/>
      <c r="AM35" s="199"/>
      <c r="AN35" s="199" t="str">
        <f>IF(AV35&gt;(AG35),"Ablösung","")</f>
        <v/>
      </c>
      <c r="AO35" s="199"/>
      <c r="AP35" s="2079">
        <f>SUM(Kalkulation!DU482:DU493)</f>
        <v>0</v>
      </c>
      <c r="AQ35" s="2080"/>
      <c r="AR35" s="2081"/>
      <c r="AS35" s="2079">
        <f>SUM(Kalkulation!DX482:DX493)</f>
        <v>0</v>
      </c>
      <c r="AT35" s="2080"/>
      <c r="AU35" s="2081"/>
      <c r="AV35" s="2079">
        <f>IF(AND(AP35&gt;0,AP37=0),AV33+AP35+AS35,Kalkulation!EA493)</f>
        <v>0</v>
      </c>
      <c r="AW35" s="2080"/>
      <c r="AX35" s="2081"/>
      <c r="AY35" s="115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</row>
    <row r="36" spans="1:68" ht="2.1" customHeight="1">
      <c r="A36" s="72"/>
      <c r="B36" s="114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115"/>
      <c r="AE36" s="114"/>
      <c r="AF36" s="73"/>
      <c r="AG36" s="200"/>
      <c r="AH36" s="201"/>
      <c r="AI36" s="202"/>
      <c r="AJ36" s="200"/>
      <c r="AK36" s="201"/>
      <c r="AL36" s="202"/>
      <c r="AM36" s="203"/>
      <c r="AN36" s="203"/>
      <c r="AO36" s="203"/>
      <c r="AP36" s="200"/>
      <c r="AQ36" s="201"/>
      <c r="AR36" s="202"/>
      <c r="AS36" s="200"/>
      <c r="AT36" s="201"/>
      <c r="AU36" s="202"/>
      <c r="AV36" s="200"/>
      <c r="AW36" s="201"/>
      <c r="AX36" s="202"/>
      <c r="AY36" s="115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</row>
    <row r="37" spans="1:68" ht="14.1" customHeight="1">
      <c r="A37" s="72"/>
      <c r="B37" s="114"/>
      <c r="C37" s="33" t="s">
        <v>145</v>
      </c>
      <c r="D37" s="33"/>
      <c r="E37" s="33" t="s">
        <v>146</v>
      </c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115"/>
      <c r="AE37" s="114"/>
      <c r="AF37" s="128" t="str">
        <f>IF(AG37&gt;0,Kalkulation!BD494,"")</f>
        <v/>
      </c>
      <c r="AG37" s="2079">
        <f>Kalkulation!DD494</f>
        <v>0</v>
      </c>
      <c r="AH37" s="2080"/>
      <c r="AI37" s="2081"/>
      <c r="AJ37" s="2079">
        <f>SUM(Kalkulation!DH494:DH505)</f>
        <v>0</v>
      </c>
      <c r="AK37" s="2080"/>
      <c r="AL37" s="2081"/>
      <c r="AM37" s="199"/>
      <c r="AN37" s="199" t="str">
        <f>IF(AV37&gt;(AG37),"Ablösung","")</f>
        <v/>
      </c>
      <c r="AO37" s="199"/>
      <c r="AP37" s="2079">
        <f>SUM(Kalkulation!DU494:DU505)</f>
        <v>0</v>
      </c>
      <c r="AQ37" s="2080"/>
      <c r="AR37" s="2081"/>
      <c r="AS37" s="2079">
        <f>SUM(Kalkulation!DX494:DX505)</f>
        <v>0</v>
      </c>
      <c r="AT37" s="2080"/>
      <c r="AU37" s="2081"/>
      <c r="AV37" s="2079">
        <f>IF(AND(AP37&gt;0,AP39=0),AV35+AP37+AS37,Kalkulation!EA505)</f>
        <v>0</v>
      </c>
      <c r="AW37" s="2080"/>
      <c r="AX37" s="2081"/>
      <c r="AY37" s="115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</row>
    <row r="38" spans="1:68" ht="1.5" customHeight="1">
      <c r="A38" s="72"/>
      <c r="B38" s="114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115"/>
      <c r="AE38" s="114"/>
      <c r="AF38" s="73"/>
      <c r="AG38" s="200"/>
      <c r="AH38" s="201"/>
      <c r="AI38" s="202"/>
      <c r="AJ38" s="200"/>
      <c r="AK38" s="201"/>
      <c r="AL38" s="202"/>
      <c r="AM38" s="203"/>
      <c r="AN38" s="203"/>
      <c r="AO38" s="203"/>
      <c r="AP38" s="200"/>
      <c r="AQ38" s="201"/>
      <c r="AR38" s="202"/>
      <c r="AS38" s="200"/>
      <c r="AT38" s="201"/>
      <c r="AU38" s="202"/>
      <c r="AV38" s="200"/>
      <c r="AW38" s="201"/>
      <c r="AX38" s="202"/>
      <c r="AY38" s="115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</row>
    <row r="39" spans="1:68" ht="14.1" customHeight="1">
      <c r="A39" s="72"/>
      <c r="B39" s="114"/>
      <c r="C39" s="33"/>
      <c r="D39" s="33"/>
      <c r="E39" s="33" t="s">
        <v>147</v>
      </c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115"/>
      <c r="AE39" s="114"/>
      <c r="AF39" s="128" t="str">
        <f>IF(AG39&gt;0,Kalkulation!BD506,"")</f>
        <v/>
      </c>
      <c r="AG39" s="2079">
        <f>Kalkulation!DD506</f>
        <v>0</v>
      </c>
      <c r="AH39" s="2080"/>
      <c r="AI39" s="2081"/>
      <c r="AJ39" s="2079">
        <f>SUM(Kalkulation!DH506:DH517)</f>
        <v>0</v>
      </c>
      <c r="AK39" s="2080"/>
      <c r="AL39" s="2081"/>
      <c r="AM39" s="199"/>
      <c r="AN39" s="199" t="str">
        <f>IF(AV39&gt;(AG39),"Ablösung","")</f>
        <v/>
      </c>
      <c r="AO39" s="199"/>
      <c r="AP39" s="2079">
        <f>SUM(Kalkulation!DU506:DU517)</f>
        <v>0</v>
      </c>
      <c r="AQ39" s="2080"/>
      <c r="AR39" s="2081"/>
      <c r="AS39" s="2079">
        <f>SUM(Kalkulation!DX506:DX517)</f>
        <v>0</v>
      </c>
      <c r="AT39" s="2080"/>
      <c r="AU39" s="2081"/>
      <c r="AV39" s="2079">
        <f>IF(AND(AP39&gt;0,AP41=0),AV37+AP39+AS39,Kalkulation!EA517)</f>
        <v>0</v>
      </c>
      <c r="AW39" s="2080"/>
      <c r="AX39" s="2081"/>
      <c r="AY39" s="115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</row>
    <row r="40" spans="1:68" ht="2.1" customHeight="1">
      <c r="A40" s="72"/>
      <c r="B40" s="114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115"/>
      <c r="AE40" s="114"/>
      <c r="AF40" s="73"/>
      <c r="AG40" s="200"/>
      <c r="AH40" s="201"/>
      <c r="AI40" s="202"/>
      <c r="AJ40" s="200"/>
      <c r="AK40" s="201"/>
      <c r="AL40" s="202"/>
      <c r="AM40" s="203"/>
      <c r="AN40" s="203"/>
      <c r="AO40" s="203"/>
      <c r="AP40" s="200"/>
      <c r="AQ40" s="201"/>
      <c r="AR40" s="202"/>
      <c r="AS40" s="200"/>
      <c r="AT40" s="201"/>
      <c r="AU40" s="202"/>
      <c r="AV40" s="200"/>
      <c r="AW40" s="201"/>
      <c r="AX40" s="202"/>
      <c r="AY40" s="115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</row>
    <row r="41" spans="1:68" ht="14.1" customHeight="1">
      <c r="A41" s="72"/>
      <c r="B41" s="114"/>
      <c r="C41" s="76" t="s">
        <v>103</v>
      </c>
      <c r="D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115"/>
      <c r="AE41" s="114"/>
      <c r="AF41" s="128" t="str">
        <f>IF(AG41&gt;0,Kalkulation!BD518,"")</f>
        <v/>
      </c>
      <c r="AG41" s="2079">
        <f>Kalkulation!DD518</f>
        <v>0</v>
      </c>
      <c r="AH41" s="2080"/>
      <c r="AI41" s="2081"/>
      <c r="AJ41" s="2079">
        <f>SUM(Kalkulation!DH518:DH529)</f>
        <v>0</v>
      </c>
      <c r="AK41" s="2080"/>
      <c r="AL41" s="2081"/>
      <c r="AM41" s="199"/>
      <c r="AN41" s="199" t="str">
        <f>IF(AV41&gt;(AG41),"Ablösung","")</f>
        <v/>
      </c>
      <c r="AO41" s="199"/>
      <c r="AP41" s="2079">
        <f>SUM(Kalkulation!DU518:DU529)</f>
        <v>0</v>
      </c>
      <c r="AQ41" s="2080"/>
      <c r="AR41" s="2081"/>
      <c r="AS41" s="2079">
        <f>SUM(Kalkulation!DX518:DX529)</f>
        <v>0</v>
      </c>
      <c r="AT41" s="2080"/>
      <c r="AU41" s="2081"/>
      <c r="AV41" s="2079">
        <f>IF(AND(AP41&gt;0,AP43=0),AV39+AP41+AS41,Kalkulation!EA529)</f>
        <v>0</v>
      </c>
      <c r="AW41" s="2080"/>
      <c r="AX41" s="2081"/>
      <c r="AY41" s="115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</row>
    <row r="42" spans="1:68" ht="2.1" customHeight="1">
      <c r="A42" s="72"/>
      <c r="B42" s="114"/>
      <c r="C42" s="33"/>
      <c r="D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115"/>
      <c r="AE42" s="114"/>
      <c r="AF42" s="73"/>
      <c r="AG42" s="200"/>
      <c r="AH42" s="201"/>
      <c r="AI42" s="202"/>
      <c r="AJ42" s="200"/>
      <c r="AK42" s="201"/>
      <c r="AL42" s="202"/>
      <c r="AM42" s="203"/>
      <c r="AN42" s="203"/>
      <c r="AO42" s="203"/>
      <c r="AP42" s="200"/>
      <c r="AQ42" s="201"/>
      <c r="AR42" s="202"/>
      <c r="AS42" s="200"/>
      <c r="AT42" s="201"/>
      <c r="AU42" s="202"/>
      <c r="AV42" s="200"/>
      <c r="AW42" s="201"/>
      <c r="AX42" s="202"/>
      <c r="AY42" s="115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</row>
    <row r="43" spans="1:68" ht="14.1" customHeight="1">
      <c r="A43" s="72"/>
      <c r="B43" s="114"/>
      <c r="C43" s="33"/>
      <c r="D43" s="129" t="s">
        <v>148</v>
      </c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115"/>
      <c r="AE43" s="114"/>
      <c r="AF43" s="128" t="str">
        <f>IF(AG43&gt;0,Kalkulation!BD530,"")</f>
        <v/>
      </c>
      <c r="AG43" s="2079">
        <f>Kalkulation!DD530</f>
        <v>0</v>
      </c>
      <c r="AH43" s="2080"/>
      <c r="AI43" s="2081"/>
      <c r="AJ43" s="2079">
        <f>SUM(Kalkulation!DH530:DH541)</f>
        <v>0</v>
      </c>
      <c r="AK43" s="2080"/>
      <c r="AL43" s="2081"/>
      <c r="AM43" s="199"/>
      <c r="AN43" s="199" t="str">
        <f>IF(AV43&gt;(AG43),"Ablösung","")</f>
        <v/>
      </c>
      <c r="AO43" s="199"/>
      <c r="AP43" s="2079">
        <f>SUM(Kalkulation!DU530:DU541)</f>
        <v>0</v>
      </c>
      <c r="AQ43" s="2080"/>
      <c r="AR43" s="2081"/>
      <c r="AS43" s="2079">
        <f>SUM(Kalkulation!DX530:DX541)</f>
        <v>0</v>
      </c>
      <c r="AT43" s="2080"/>
      <c r="AU43" s="2081"/>
      <c r="AV43" s="2079">
        <f>IF(AND(AP43&gt;0,AP45=0),AV41+AP43+AS43,Kalkulation!EA541)</f>
        <v>0</v>
      </c>
      <c r="AW43" s="2080"/>
      <c r="AX43" s="2081"/>
      <c r="AY43" s="115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</row>
    <row r="44" spans="1:68" ht="2.1" customHeight="1">
      <c r="A44" s="72"/>
      <c r="B44" s="114"/>
      <c r="C44" s="33"/>
      <c r="D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115"/>
      <c r="AE44" s="114"/>
      <c r="AF44" s="73"/>
      <c r="AG44" s="200"/>
      <c r="AH44" s="201"/>
      <c r="AI44" s="202"/>
      <c r="AJ44" s="200"/>
      <c r="AK44" s="201"/>
      <c r="AL44" s="202"/>
      <c r="AM44" s="203"/>
      <c r="AN44" s="203"/>
      <c r="AO44" s="203"/>
      <c r="AP44" s="200"/>
      <c r="AQ44" s="201"/>
      <c r="AR44" s="202"/>
      <c r="AS44" s="200"/>
      <c r="AT44" s="201"/>
      <c r="AU44" s="202"/>
      <c r="AV44" s="200"/>
      <c r="AW44" s="201"/>
      <c r="AX44" s="202"/>
      <c r="AY44" s="115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</row>
    <row r="45" spans="1:68" ht="14.1" customHeight="1">
      <c r="A45" s="72"/>
      <c r="B45" s="114"/>
      <c r="C45" s="76"/>
      <c r="D45" s="129" t="s">
        <v>163</v>
      </c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115"/>
      <c r="AE45" s="114"/>
      <c r="AF45" s="128" t="str">
        <f>IF(AG45&gt;0,Kalkulation!BD542,"")</f>
        <v/>
      </c>
      <c r="AG45" s="2079">
        <f>Kalkulation!DD542</f>
        <v>0</v>
      </c>
      <c r="AH45" s="2080"/>
      <c r="AI45" s="2081"/>
      <c r="AJ45" s="2079">
        <f>SUM(Kalkulation!DH542:DH553)</f>
        <v>0</v>
      </c>
      <c r="AK45" s="2080"/>
      <c r="AL45" s="2081"/>
      <c r="AM45" s="199"/>
      <c r="AN45" s="199" t="str">
        <f>IF(AV45&gt;(AG45),"Ablösung","")</f>
        <v/>
      </c>
      <c r="AO45" s="199"/>
      <c r="AP45" s="2079">
        <f>SUM(Kalkulation!DU542:DU553)</f>
        <v>0</v>
      </c>
      <c r="AQ45" s="2080"/>
      <c r="AR45" s="2081"/>
      <c r="AS45" s="2079">
        <f>SUM(Kalkulation!DX542:DX553)</f>
        <v>0</v>
      </c>
      <c r="AT45" s="2080"/>
      <c r="AU45" s="2081"/>
      <c r="AV45" s="2079">
        <f>IF(AND(AP45&gt;0,AP47=0),AV43+AP45+AS45,Kalkulation!EA553)</f>
        <v>0</v>
      </c>
      <c r="AW45" s="2080"/>
      <c r="AX45" s="2081"/>
      <c r="AY45" s="115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</row>
    <row r="46" spans="1:68" ht="2.1" customHeight="1">
      <c r="A46" s="72"/>
      <c r="B46" s="114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115"/>
      <c r="AE46" s="114"/>
      <c r="AF46" s="73"/>
      <c r="AG46" s="200"/>
      <c r="AH46" s="201"/>
      <c r="AI46" s="202"/>
      <c r="AJ46" s="200"/>
      <c r="AK46" s="201"/>
      <c r="AL46" s="202"/>
      <c r="AM46" s="203"/>
      <c r="AN46" s="203"/>
      <c r="AO46" s="203"/>
      <c r="AP46" s="200"/>
      <c r="AQ46" s="201"/>
      <c r="AR46" s="202"/>
      <c r="AS46" s="200"/>
      <c r="AT46" s="201"/>
      <c r="AU46" s="202"/>
      <c r="AV46" s="200"/>
      <c r="AW46" s="201"/>
      <c r="AX46" s="202"/>
      <c r="AY46" s="115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</row>
    <row r="47" spans="1:68" ht="14.1" customHeight="1">
      <c r="A47" s="72"/>
      <c r="B47" s="114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115"/>
      <c r="AE47" s="114"/>
      <c r="AF47" s="128" t="str">
        <f>IF(AG47&gt;0,Kalkulation!BD554,"")</f>
        <v/>
      </c>
      <c r="AG47" s="2079">
        <f>Kalkulation!DD554</f>
        <v>0</v>
      </c>
      <c r="AH47" s="2080"/>
      <c r="AI47" s="2081"/>
      <c r="AJ47" s="2079">
        <f>SUM(Kalkulation!DH554:DH565)</f>
        <v>0</v>
      </c>
      <c r="AK47" s="2080"/>
      <c r="AL47" s="2081"/>
      <c r="AM47" s="199"/>
      <c r="AN47" s="199" t="str">
        <f>IF(AV47&gt;(AG47),"Ablösung","")</f>
        <v/>
      </c>
      <c r="AO47" s="199"/>
      <c r="AP47" s="2079">
        <f>SUM(Kalkulation!DU554:DU565)</f>
        <v>0</v>
      </c>
      <c r="AQ47" s="2080"/>
      <c r="AR47" s="2081"/>
      <c r="AS47" s="2079">
        <f>SUM(Kalkulation!DX554:DX565)</f>
        <v>0</v>
      </c>
      <c r="AT47" s="2080"/>
      <c r="AU47" s="2081"/>
      <c r="AV47" s="2079">
        <f>IF(AND(AP47&gt;0,AP49=0),AV45+AP47+AS47,Kalkulation!EA565)</f>
        <v>0</v>
      </c>
      <c r="AW47" s="2080"/>
      <c r="AX47" s="2081"/>
      <c r="AY47" s="115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</row>
    <row r="48" spans="1:68" ht="2.1" customHeight="1">
      <c r="A48" s="72"/>
      <c r="B48" s="114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115"/>
      <c r="AE48" s="114"/>
      <c r="AF48" s="73"/>
      <c r="AG48" s="200"/>
      <c r="AH48" s="201"/>
      <c r="AI48" s="202"/>
      <c r="AJ48" s="200"/>
      <c r="AK48" s="201"/>
      <c r="AL48" s="202"/>
      <c r="AM48" s="203"/>
      <c r="AN48" s="203"/>
      <c r="AO48" s="203"/>
      <c r="AP48" s="200"/>
      <c r="AQ48" s="201"/>
      <c r="AR48" s="202"/>
      <c r="AS48" s="200"/>
      <c r="AT48" s="201"/>
      <c r="AU48" s="202"/>
      <c r="AV48" s="200"/>
      <c r="AW48" s="201"/>
      <c r="AX48" s="202"/>
      <c r="AY48" s="115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</row>
    <row r="49" spans="1:68" ht="14.1" customHeight="1">
      <c r="A49" s="72"/>
      <c r="B49" s="114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115"/>
      <c r="AE49" s="114"/>
      <c r="AF49" s="128" t="str">
        <f>IF(AG49&gt;0,Kalkulation!BD566,"")</f>
        <v/>
      </c>
      <c r="AG49" s="2079">
        <f>Kalkulation!DD566</f>
        <v>0</v>
      </c>
      <c r="AH49" s="2080">
        <f>Kalkulation!BH566</f>
        <v>0</v>
      </c>
      <c r="AI49" s="2081"/>
      <c r="AJ49" s="2079">
        <f>SUM(Kalkulation!DH566:DH577)</f>
        <v>0</v>
      </c>
      <c r="AK49" s="2080"/>
      <c r="AL49" s="2081"/>
      <c r="AM49" s="199"/>
      <c r="AN49" s="199" t="str">
        <f>IF(AV49&gt;(AG49),"Ablösung","")</f>
        <v/>
      </c>
      <c r="AO49" s="199"/>
      <c r="AP49" s="2079">
        <f>SUM(Kalkulation!DU566:DU577)</f>
        <v>0</v>
      </c>
      <c r="AQ49" s="2080"/>
      <c r="AR49" s="2081"/>
      <c r="AS49" s="2079">
        <f>SUM(Kalkulation!DX566:DX577)</f>
        <v>0</v>
      </c>
      <c r="AT49" s="2080"/>
      <c r="AU49" s="2081"/>
      <c r="AV49" s="2079">
        <f>IF(AND(AP49&gt;0,AP51=0),AV47+AP49+AS49,Kalkulation!EA577)</f>
        <v>0</v>
      </c>
      <c r="AW49" s="2080"/>
      <c r="AX49" s="2081"/>
      <c r="AY49" s="115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</row>
    <row r="50" spans="1:68" ht="2.1" customHeight="1">
      <c r="A50" s="72"/>
      <c r="B50" s="114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115"/>
      <c r="AE50" s="114"/>
      <c r="AF50" s="73"/>
      <c r="AG50" s="200"/>
      <c r="AH50" s="201"/>
      <c r="AI50" s="202"/>
      <c r="AJ50" s="200"/>
      <c r="AK50" s="201"/>
      <c r="AL50" s="202"/>
      <c r="AM50" s="203"/>
      <c r="AN50" s="203"/>
      <c r="AO50" s="203"/>
      <c r="AP50" s="200"/>
      <c r="AQ50" s="201"/>
      <c r="AR50" s="202"/>
      <c r="AS50" s="200"/>
      <c r="AT50" s="201"/>
      <c r="AU50" s="202"/>
      <c r="AV50" s="200"/>
      <c r="AW50" s="201"/>
      <c r="AX50" s="202"/>
      <c r="AY50" s="115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</row>
    <row r="51" spans="1:68" ht="14.1" customHeight="1">
      <c r="A51" s="72"/>
      <c r="B51" s="114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115"/>
      <c r="AE51" s="114"/>
      <c r="AF51" s="128" t="str">
        <f>IF(AG51&gt;0,Kalkulation!BD578,"")</f>
        <v/>
      </c>
      <c r="AG51" s="2079">
        <f>Kalkulation!DD578</f>
        <v>0</v>
      </c>
      <c r="AH51" s="2080"/>
      <c r="AI51" s="2081"/>
      <c r="AJ51" s="2079">
        <f>SUM(Kalkulation!DH578:DH589)</f>
        <v>0</v>
      </c>
      <c r="AK51" s="2080"/>
      <c r="AL51" s="2081"/>
      <c r="AM51" s="199"/>
      <c r="AN51" s="199" t="str">
        <f>IF(AV51&gt;(AG51),"Ablösung","")</f>
        <v/>
      </c>
      <c r="AO51" s="199"/>
      <c r="AP51" s="2079">
        <f>SUM(Kalkulation!DU578:DU589)</f>
        <v>0</v>
      </c>
      <c r="AQ51" s="2080"/>
      <c r="AR51" s="2081"/>
      <c r="AS51" s="2079">
        <f>SUM(Kalkulation!DX578:DX589)</f>
        <v>0</v>
      </c>
      <c r="AT51" s="2080"/>
      <c r="AU51" s="2081"/>
      <c r="AV51" s="2079">
        <f>IF(AND(AP51&gt;0,AP53=0),AV49+AP51+AS51,Kalkulation!EA589)</f>
        <v>0</v>
      </c>
      <c r="AW51" s="2080"/>
      <c r="AX51" s="2081"/>
      <c r="AY51" s="115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</row>
    <row r="52" spans="1:68" ht="2.1" customHeight="1">
      <c r="A52" s="72"/>
      <c r="B52" s="114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115"/>
      <c r="AE52" s="114"/>
      <c r="AF52" s="73"/>
      <c r="AG52" s="200"/>
      <c r="AH52" s="201"/>
      <c r="AI52" s="202"/>
      <c r="AJ52" s="200"/>
      <c r="AK52" s="201"/>
      <c r="AL52" s="202"/>
      <c r="AM52" s="203"/>
      <c r="AN52" s="203"/>
      <c r="AO52" s="203"/>
      <c r="AP52" s="200"/>
      <c r="AQ52" s="201"/>
      <c r="AR52" s="202"/>
      <c r="AS52" s="200"/>
      <c r="AT52" s="201"/>
      <c r="AU52" s="202"/>
      <c r="AV52" s="200"/>
      <c r="AW52" s="201"/>
      <c r="AX52" s="202"/>
      <c r="AY52" s="115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</row>
    <row r="53" spans="1:68" ht="14.1" customHeight="1">
      <c r="A53" s="72"/>
      <c r="B53" s="114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115"/>
      <c r="AE53" s="114"/>
      <c r="AF53" s="128" t="str">
        <f>IF(AG53&gt;0,Kalkulation!BD590,"")</f>
        <v/>
      </c>
      <c r="AG53" s="2079">
        <f>Kalkulation!DD590</f>
        <v>0</v>
      </c>
      <c r="AH53" s="2080"/>
      <c r="AI53" s="2081"/>
      <c r="AJ53" s="2079">
        <f>SUM(Kalkulation!DH590:DH601)</f>
        <v>0</v>
      </c>
      <c r="AK53" s="2080"/>
      <c r="AL53" s="2081"/>
      <c r="AM53" s="199"/>
      <c r="AN53" s="199" t="str">
        <f>IF(AV53&gt;(AG53),"Ablösung","")</f>
        <v/>
      </c>
      <c r="AO53" s="199"/>
      <c r="AP53" s="2079">
        <f>SUM(Kalkulation!DU590:DU601)</f>
        <v>0</v>
      </c>
      <c r="AQ53" s="2080"/>
      <c r="AR53" s="2081"/>
      <c r="AS53" s="2079">
        <f>SUM(Kalkulation!DX590:DX601)</f>
        <v>0</v>
      </c>
      <c r="AT53" s="2080"/>
      <c r="AU53" s="2081"/>
      <c r="AV53" s="2079">
        <f>IF(AND(AP53&gt;0,AP55=0),AV51+AP53+AS53,Kalkulation!EA601)</f>
        <v>0</v>
      </c>
      <c r="AW53" s="2080"/>
      <c r="AX53" s="2081"/>
      <c r="AY53" s="115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</row>
    <row r="54" spans="1:68" ht="2.1" customHeight="1">
      <c r="A54" s="72"/>
      <c r="B54" s="114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115"/>
      <c r="AE54" s="114"/>
      <c r="AF54" s="73"/>
      <c r="AG54" s="200"/>
      <c r="AH54" s="201"/>
      <c r="AI54" s="202"/>
      <c r="AJ54" s="200"/>
      <c r="AK54" s="201"/>
      <c r="AL54" s="202"/>
      <c r="AM54" s="203"/>
      <c r="AN54" s="203"/>
      <c r="AO54" s="203"/>
      <c r="AP54" s="200"/>
      <c r="AQ54" s="201"/>
      <c r="AR54" s="202"/>
      <c r="AS54" s="200"/>
      <c r="AT54" s="201"/>
      <c r="AU54" s="202"/>
      <c r="AV54" s="200"/>
      <c r="AW54" s="201"/>
      <c r="AX54" s="202"/>
      <c r="AY54" s="115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</row>
    <row r="55" spans="1:68" ht="14.1" customHeight="1">
      <c r="A55" s="72"/>
      <c r="B55" s="114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115"/>
      <c r="AE55" s="114"/>
      <c r="AF55" s="128" t="str">
        <f>IF(AG55&gt;0,Kalkulation!BD602,"")</f>
        <v/>
      </c>
      <c r="AG55" s="2079">
        <f>Kalkulation!DD602</f>
        <v>0</v>
      </c>
      <c r="AH55" s="2080"/>
      <c r="AI55" s="2081"/>
      <c r="AJ55" s="2079">
        <f>SUM(Kalkulation!DH602:DH613)</f>
        <v>0</v>
      </c>
      <c r="AK55" s="2080"/>
      <c r="AL55" s="2081"/>
      <c r="AM55" s="199"/>
      <c r="AN55" s="199" t="str">
        <f>IF(AV55&gt;(AG55),"Ablösung","")</f>
        <v/>
      </c>
      <c r="AO55" s="199"/>
      <c r="AP55" s="2079">
        <f>SUM(Kalkulation!DU602:DU613)</f>
        <v>0</v>
      </c>
      <c r="AQ55" s="2080"/>
      <c r="AR55" s="2081"/>
      <c r="AS55" s="2079">
        <f>SUM(Kalkulation!DX602:DX613)</f>
        <v>0</v>
      </c>
      <c r="AT55" s="2080"/>
      <c r="AU55" s="2081"/>
      <c r="AV55" s="2079">
        <f>IF(AND(AP55&gt;0,AP57=0),AV53+AP55+AS55,Kalkulation!EA613)</f>
        <v>0</v>
      </c>
      <c r="AW55" s="2080"/>
      <c r="AX55" s="2081"/>
      <c r="AY55" s="115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</row>
    <row r="56" spans="1:68" ht="2.1" customHeight="1">
      <c r="A56" s="72"/>
      <c r="B56" s="114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115"/>
      <c r="AE56" s="114"/>
      <c r="AF56" s="73"/>
      <c r="AG56" s="200"/>
      <c r="AH56" s="201"/>
      <c r="AI56" s="202"/>
      <c r="AJ56" s="200"/>
      <c r="AK56" s="201"/>
      <c r="AL56" s="202"/>
      <c r="AM56" s="203"/>
      <c r="AN56" s="203"/>
      <c r="AO56" s="203"/>
      <c r="AP56" s="200"/>
      <c r="AQ56" s="201"/>
      <c r="AR56" s="202"/>
      <c r="AS56" s="200"/>
      <c r="AT56" s="201"/>
      <c r="AU56" s="202"/>
      <c r="AV56" s="200"/>
      <c r="AW56" s="201"/>
      <c r="AX56" s="202"/>
      <c r="AY56" s="115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</row>
    <row r="57" spans="1:68" ht="14.1" customHeight="1">
      <c r="A57" s="72"/>
      <c r="B57" s="114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115"/>
      <c r="AE57" s="114"/>
      <c r="AF57" s="128" t="str">
        <f>IF(AG57&gt;0,Kalkulation!BD614,"")</f>
        <v/>
      </c>
      <c r="AG57" s="2079">
        <f>Kalkulation!DD614</f>
        <v>0</v>
      </c>
      <c r="AH57" s="2080"/>
      <c r="AI57" s="2081"/>
      <c r="AJ57" s="2079">
        <f>SUM(Kalkulation!DH614:DH625)</f>
        <v>0</v>
      </c>
      <c r="AK57" s="2080"/>
      <c r="AL57" s="2081"/>
      <c r="AM57" s="199"/>
      <c r="AN57" s="199" t="str">
        <f>IF(AV57&gt;(AG57),"Ablösung","")</f>
        <v/>
      </c>
      <c r="AO57" s="199"/>
      <c r="AP57" s="2079">
        <f>SUM(Kalkulation!DU614:DU625)</f>
        <v>0</v>
      </c>
      <c r="AQ57" s="2080"/>
      <c r="AR57" s="2081"/>
      <c r="AS57" s="2079">
        <f>SUM(Kalkulation!DX614:DX625)</f>
        <v>0</v>
      </c>
      <c r="AT57" s="2080"/>
      <c r="AU57" s="2081"/>
      <c r="AV57" s="2079">
        <f>IF(AND(AP57&gt;0,AP59=0),AV55+AP57+AS57,Kalkulation!EA625)</f>
        <v>0</v>
      </c>
      <c r="AW57" s="2080"/>
      <c r="AX57" s="2081"/>
      <c r="AY57" s="115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</row>
    <row r="58" spans="1:68" ht="2.1" customHeight="1">
      <c r="A58" s="72"/>
      <c r="B58" s="114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115"/>
      <c r="AE58" s="114"/>
      <c r="AF58" s="73"/>
      <c r="AG58" s="200"/>
      <c r="AH58" s="201"/>
      <c r="AI58" s="202"/>
      <c r="AJ58" s="200"/>
      <c r="AK58" s="201"/>
      <c r="AL58" s="202"/>
      <c r="AM58" s="203"/>
      <c r="AN58" s="203"/>
      <c r="AO58" s="203"/>
      <c r="AP58" s="200"/>
      <c r="AQ58" s="201"/>
      <c r="AR58" s="202"/>
      <c r="AS58" s="200"/>
      <c r="AT58" s="201"/>
      <c r="AU58" s="202"/>
      <c r="AV58" s="200"/>
      <c r="AW58" s="201"/>
      <c r="AX58" s="202"/>
      <c r="AY58" s="115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</row>
    <row r="59" spans="1:68" ht="14.1" customHeight="1">
      <c r="A59" s="72"/>
      <c r="B59" s="114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115"/>
      <c r="AE59" s="114"/>
      <c r="AF59" s="128" t="str">
        <f>IF(AG59&gt;0,Kalkulation!BD626,"")</f>
        <v/>
      </c>
      <c r="AG59" s="2079">
        <f>Kalkulation!DD626</f>
        <v>0</v>
      </c>
      <c r="AH59" s="2080"/>
      <c r="AI59" s="2081"/>
      <c r="AJ59" s="2079">
        <f>SUM(Kalkulation!DH626:DH637)</f>
        <v>0</v>
      </c>
      <c r="AK59" s="2080"/>
      <c r="AL59" s="2081"/>
      <c r="AM59" s="199"/>
      <c r="AN59" s="199" t="str">
        <f>IF(AV59&gt;(AG59),"Ablösung","")</f>
        <v/>
      </c>
      <c r="AO59" s="199"/>
      <c r="AP59" s="2079">
        <f>SUM(Kalkulation!DU626:DU637)</f>
        <v>0</v>
      </c>
      <c r="AQ59" s="2080"/>
      <c r="AR59" s="2081"/>
      <c r="AS59" s="2079">
        <f>SUM(Kalkulation!DX626:DX637)</f>
        <v>0</v>
      </c>
      <c r="AT59" s="2080"/>
      <c r="AU59" s="2081"/>
      <c r="AV59" s="2079">
        <f>IF(AND(AP59&gt;0,AP61=0),AV57+AP59+AS59,Kalkulation!EA637)</f>
        <v>0</v>
      </c>
      <c r="AW59" s="2080"/>
      <c r="AX59" s="2081"/>
      <c r="AY59" s="115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</row>
    <row r="60" spans="1:68" ht="2.1" customHeight="1">
      <c r="A60" s="72"/>
      <c r="B60" s="114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115"/>
      <c r="AE60" s="114"/>
      <c r="AF60" s="73"/>
      <c r="AG60" s="200"/>
      <c r="AH60" s="201"/>
      <c r="AI60" s="202"/>
      <c r="AJ60" s="200"/>
      <c r="AK60" s="201"/>
      <c r="AL60" s="202"/>
      <c r="AM60" s="203"/>
      <c r="AN60" s="203"/>
      <c r="AO60" s="203"/>
      <c r="AP60" s="200"/>
      <c r="AQ60" s="201"/>
      <c r="AR60" s="202"/>
      <c r="AS60" s="200"/>
      <c r="AT60" s="201"/>
      <c r="AU60" s="202"/>
      <c r="AV60" s="200"/>
      <c r="AW60" s="201"/>
      <c r="AX60" s="202"/>
      <c r="AY60" s="115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</row>
    <row r="61" spans="1:68" ht="14.1" customHeight="1">
      <c r="A61" s="72"/>
      <c r="B61" s="114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115"/>
      <c r="AE61" s="114"/>
      <c r="AF61" s="128" t="str">
        <f>IF(AG61&gt;0,Kalkulation!BD638,"")</f>
        <v/>
      </c>
      <c r="AG61" s="2107">
        <f>Kalkulation!DD638</f>
        <v>0</v>
      </c>
      <c r="AH61" s="2108"/>
      <c r="AI61" s="2109"/>
      <c r="AJ61" s="2107">
        <f>SUM(Kalkulation!DH638:DH649)</f>
        <v>0</v>
      </c>
      <c r="AK61" s="2108"/>
      <c r="AL61" s="2109"/>
      <c r="AM61" s="199"/>
      <c r="AN61" s="199" t="str">
        <f>IF(AV61&gt;(AG61),"Ablösung","")</f>
        <v/>
      </c>
      <c r="AO61" s="199"/>
      <c r="AP61" s="2107">
        <f>SUM(Kalkulation!DU638:DU649)</f>
        <v>0</v>
      </c>
      <c r="AQ61" s="2108"/>
      <c r="AR61" s="2109"/>
      <c r="AS61" s="2107">
        <f>SUM(Kalkulation!DX638:DX649)</f>
        <v>0</v>
      </c>
      <c r="AT61" s="2108"/>
      <c r="AU61" s="2109"/>
      <c r="AV61" s="2107">
        <f>IF(AND(AP61&gt;0,P97=0),AV59+AP61+AS61,Kalkulation!EA649)</f>
        <v>0</v>
      </c>
      <c r="AW61" s="2108"/>
      <c r="AX61" s="2109"/>
      <c r="AY61" s="115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</row>
    <row r="62" spans="1:68" ht="2.1" customHeight="1">
      <c r="A62" s="72"/>
      <c r="B62" s="114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115"/>
      <c r="AE62" s="114"/>
      <c r="AF62" s="33"/>
      <c r="AG62" s="33"/>
      <c r="AH62" s="33"/>
      <c r="AI62" s="33"/>
      <c r="AJ62" s="33"/>
      <c r="AK62" s="33"/>
      <c r="AL62" s="33"/>
      <c r="AM62" s="73"/>
      <c r="AN62" s="73"/>
      <c r="AO62" s="73"/>
      <c r="AP62" s="33"/>
      <c r="AQ62" s="33"/>
      <c r="AR62" s="33"/>
      <c r="AS62" s="33"/>
      <c r="AT62" s="33"/>
      <c r="AU62" s="33"/>
      <c r="AV62" s="33"/>
      <c r="AW62" s="33"/>
      <c r="AX62" s="33"/>
      <c r="AY62" s="115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</row>
    <row r="63" spans="1:68" ht="14.1" customHeight="1">
      <c r="A63" s="72"/>
      <c r="B63" s="114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115"/>
      <c r="AE63" s="114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115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</row>
    <row r="64" spans="1:68" ht="2.1" customHeight="1">
      <c r="A64" s="72"/>
      <c r="B64" s="114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115"/>
      <c r="AE64" s="114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115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</row>
    <row r="65" spans="1:68" ht="14.1" customHeight="1">
      <c r="A65" s="72"/>
      <c r="B65" s="114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115"/>
      <c r="AE65" s="114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115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</row>
    <row r="66" spans="1:68" ht="2.1" customHeight="1">
      <c r="A66" s="72"/>
      <c r="B66" s="114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115"/>
      <c r="AE66" s="114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115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</row>
    <row r="67" spans="1:68" ht="6.4" customHeight="1">
      <c r="A67" s="72"/>
      <c r="B67" s="114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115"/>
      <c r="AE67" s="114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115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</row>
    <row r="68" spans="1:68" ht="2.1" customHeight="1">
      <c r="A68" s="72"/>
      <c r="B68" s="114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115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115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</row>
    <row r="69" spans="1:68" ht="12.2" customHeight="1" thickBot="1">
      <c r="A69" s="72"/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2"/>
      <c r="AE69" s="120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</row>
    <row r="70" spans="1:68" ht="2.1" customHeight="1" thickTop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</row>
    <row r="71" spans="1:68" ht="12.2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138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</row>
    <row r="72" spans="1:68" ht="2.1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</row>
    <row r="73" spans="1:68" ht="12.2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</row>
    <row r="74" spans="1:68" ht="2.1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</row>
    <row r="75" spans="1:68" ht="12.2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</row>
    <row r="76" spans="1:68" ht="2.1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</row>
    <row r="77" spans="1:68" ht="12.2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</row>
    <row r="78" spans="1:68" ht="2.1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</row>
    <row r="79" spans="1:68" ht="12.2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</row>
    <row r="80" spans="1:68" ht="2.1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</row>
    <row r="81" spans="1:82" ht="12.2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</row>
    <row r="82" spans="1:82" ht="2.1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</row>
    <row r="83" spans="1:82" ht="12.2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</row>
    <row r="84" spans="1:82" ht="2.1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</row>
    <row r="85" spans="1:82" ht="12.2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</row>
    <row r="86" spans="1:82" ht="2.1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</row>
    <row r="87" spans="1:82" ht="12.2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</row>
    <row r="88" spans="1:82" ht="2.1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</row>
    <row r="89" spans="1:82" ht="12.2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</row>
    <row r="90" spans="1:82" ht="3.2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</row>
    <row r="91" spans="1:82" ht="12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CB91" s="20" t="s">
        <v>97</v>
      </c>
      <c r="CC91" s="134">
        <f>ROUND(Kalkulation!AY29,1)</f>
        <v>0</v>
      </c>
    </row>
    <row r="92" spans="1:82" ht="12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CB92" s="20" t="s">
        <v>98</v>
      </c>
      <c r="CC92" s="135">
        <f>ROUND(Kalkulation!P31,0)</f>
        <v>0</v>
      </c>
    </row>
    <row r="93" spans="1:82" ht="12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CB93" s="20" t="s">
        <v>99</v>
      </c>
      <c r="CC93" s="135">
        <f>ROUND(Kalkulation!P62,0)</f>
        <v>930</v>
      </c>
    </row>
    <row r="94" spans="1:82" ht="12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</row>
    <row r="95" spans="1:82" ht="12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</row>
    <row r="96" spans="1:82" ht="12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CB96" s="20" t="s">
        <v>46</v>
      </c>
      <c r="CC96" s="20" t="s">
        <v>95</v>
      </c>
      <c r="CD96" s="20" t="s">
        <v>96</v>
      </c>
    </row>
    <row r="97" spans="1:82" ht="12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Z97" s="20">
        <f>IF(AND(CA97&gt;0,CA98=""),0,0)</f>
        <v>0</v>
      </c>
      <c r="CA97" s="136" t="str">
        <f>AF11</f>
        <v/>
      </c>
      <c r="CB97" s="137">
        <f>AG11</f>
        <v>0</v>
      </c>
      <c r="CC97" s="137">
        <f>AV11</f>
        <v>0</v>
      </c>
      <c r="CD97" s="137">
        <f t="shared" ref="CD97:CD121" si="0">IF(CC97&gt;CB97,CB97,0)</f>
        <v>0</v>
      </c>
    </row>
    <row r="98" spans="1:82" ht="12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Z98" s="20" t="str">
        <f t="shared" ref="BZ98:BZ113" si="1">IF(AND(CA98&gt;0,CA99=""),CA98,0)</f>
        <v/>
      </c>
      <c r="CA98" s="136" t="str">
        <f>AF13</f>
        <v/>
      </c>
      <c r="CB98" s="137">
        <f>AG13</f>
        <v>0</v>
      </c>
      <c r="CC98" s="137">
        <f>AV13</f>
        <v>0</v>
      </c>
      <c r="CD98" s="137">
        <f t="shared" si="0"/>
        <v>0</v>
      </c>
    </row>
    <row r="99" spans="1:82" ht="12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Z99" s="20" t="str">
        <f t="shared" si="1"/>
        <v/>
      </c>
      <c r="CA99" s="136" t="str">
        <f>AF15</f>
        <v/>
      </c>
      <c r="CB99" s="137">
        <f>AG15</f>
        <v>0</v>
      </c>
      <c r="CC99" s="137">
        <f>AV15</f>
        <v>0</v>
      </c>
      <c r="CD99" s="137">
        <f t="shared" si="0"/>
        <v>0</v>
      </c>
    </row>
    <row r="100" spans="1:82" ht="12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Z100" s="20" t="str">
        <f t="shared" si="1"/>
        <v/>
      </c>
      <c r="CA100" s="136" t="str">
        <f>AF17</f>
        <v/>
      </c>
      <c r="CB100" s="137">
        <f>AG17</f>
        <v>0</v>
      </c>
      <c r="CC100" s="137">
        <f>AV17</f>
        <v>0</v>
      </c>
      <c r="CD100" s="137">
        <f t="shared" si="0"/>
        <v>0</v>
      </c>
    </row>
    <row r="101" spans="1:82" ht="12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Z101" s="20" t="str">
        <f t="shared" si="1"/>
        <v/>
      </c>
      <c r="CA101" s="136" t="str">
        <f>AF19</f>
        <v/>
      </c>
      <c r="CB101" s="137">
        <f>AG19</f>
        <v>0</v>
      </c>
      <c r="CC101" s="137">
        <f>AV19</f>
        <v>0</v>
      </c>
      <c r="CD101" s="137">
        <f t="shared" si="0"/>
        <v>0</v>
      </c>
    </row>
    <row r="102" spans="1:82" ht="12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Z102" s="20" t="str">
        <f t="shared" si="1"/>
        <v/>
      </c>
      <c r="CA102" s="136" t="str">
        <f>AF21</f>
        <v/>
      </c>
      <c r="CB102" s="137">
        <f>AG21</f>
        <v>0</v>
      </c>
      <c r="CC102" s="137">
        <f>AV21</f>
        <v>0</v>
      </c>
      <c r="CD102" s="137">
        <f t="shared" si="0"/>
        <v>0</v>
      </c>
    </row>
    <row r="103" spans="1:82" ht="12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Z103" s="20" t="str">
        <f t="shared" si="1"/>
        <v/>
      </c>
      <c r="CA103" s="136" t="str">
        <f>AF23</f>
        <v/>
      </c>
      <c r="CB103" s="137">
        <f>AG23</f>
        <v>0</v>
      </c>
      <c r="CC103" s="137">
        <f>AV23</f>
        <v>0</v>
      </c>
      <c r="CD103" s="137">
        <f t="shared" si="0"/>
        <v>0</v>
      </c>
    </row>
    <row r="104" spans="1:82" ht="12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Z104" s="20" t="str">
        <f t="shared" si="1"/>
        <v/>
      </c>
      <c r="CA104" s="136" t="str">
        <f>AF25</f>
        <v/>
      </c>
      <c r="CB104" s="137">
        <f>AG25</f>
        <v>0</v>
      </c>
      <c r="CC104" s="137">
        <f>AV25</f>
        <v>0</v>
      </c>
      <c r="CD104" s="137">
        <f t="shared" si="0"/>
        <v>0</v>
      </c>
    </row>
    <row r="105" spans="1:82" ht="12.75" customHeight="1">
      <c r="A105" s="72"/>
      <c r="B105" s="72"/>
      <c r="C105" s="72" t="s">
        <v>152</v>
      </c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2113">
        <v>6</v>
      </c>
      <c r="O105" s="2114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Z105" s="20" t="str">
        <f t="shared" si="1"/>
        <v/>
      </c>
      <c r="CA105" s="136" t="str">
        <f>AF27</f>
        <v/>
      </c>
      <c r="CB105" s="137">
        <f>AG27</f>
        <v>0</v>
      </c>
      <c r="CC105" s="137">
        <f>AV27</f>
        <v>0</v>
      </c>
      <c r="CD105" s="137">
        <f t="shared" si="0"/>
        <v>0</v>
      </c>
    </row>
    <row r="106" spans="1:82" ht="12.75" customHeight="1">
      <c r="A106" s="72"/>
      <c r="B106" s="72"/>
      <c r="C106" s="72" t="str">
        <f>Kalkulation!AU92</f>
        <v>Darlehen 1</v>
      </c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2103">
        <f>Kalkulation!AY92</f>
        <v>0</v>
      </c>
      <c r="O106" s="2103"/>
      <c r="P106" s="2103"/>
      <c r="Q106" s="2103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Z106" s="20" t="str">
        <f t="shared" si="1"/>
        <v/>
      </c>
      <c r="CA106" s="136" t="str">
        <f>AF29</f>
        <v/>
      </c>
      <c r="CB106" s="137">
        <f>AG29</f>
        <v>0</v>
      </c>
      <c r="CC106" s="137">
        <f>AV29</f>
        <v>0</v>
      </c>
      <c r="CD106" s="137">
        <f t="shared" si="0"/>
        <v>0</v>
      </c>
    </row>
    <row r="107" spans="1:82" ht="12.75" customHeight="1">
      <c r="A107" s="72"/>
      <c r="B107" s="72"/>
      <c r="C107" s="72" t="str">
        <f>Kalkulation!AU94</f>
        <v>Darlehen 2</v>
      </c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2103">
        <f>Kalkulation!AY94</f>
        <v>0</v>
      </c>
      <c r="O107" s="2103"/>
      <c r="P107" s="2103"/>
      <c r="Q107" s="2103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Z107" s="20" t="str">
        <f t="shared" si="1"/>
        <v/>
      </c>
      <c r="CA107" s="136" t="str">
        <f>AF31</f>
        <v/>
      </c>
      <c r="CB107" s="137">
        <f>AG31</f>
        <v>0</v>
      </c>
      <c r="CC107" s="137">
        <f>AV31</f>
        <v>0</v>
      </c>
      <c r="CD107" s="137">
        <f t="shared" si="0"/>
        <v>0</v>
      </c>
    </row>
    <row r="108" spans="1:82" ht="12.75" customHeight="1">
      <c r="A108" s="72"/>
      <c r="B108" s="72"/>
      <c r="C108" s="72" t="str">
        <f>Kalkulation!AU96</f>
        <v>Darlehen 3</v>
      </c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2103">
        <f>Kalkulation!AY96</f>
        <v>0</v>
      </c>
      <c r="O108" s="2103"/>
      <c r="P108" s="2103"/>
      <c r="Q108" s="2103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Z108" s="20" t="str">
        <f t="shared" si="1"/>
        <v/>
      </c>
      <c r="CA108" s="136" t="str">
        <f>AF33</f>
        <v/>
      </c>
      <c r="CB108" s="137">
        <f>AG33</f>
        <v>0</v>
      </c>
      <c r="CC108" s="137">
        <f>AV33</f>
        <v>0</v>
      </c>
      <c r="CD108" s="137">
        <f t="shared" si="0"/>
        <v>0</v>
      </c>
    </row>
    <row r="109" spans="1:82" ht="12.75" customHeight="1">
      <c r="A109" s="72"/>
      <c r="B109" s="72"/>
      <c r="C109" s="72">
        <f>Kalkulation!AU102</f>
        <v>0</v>
      </c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2103">
        <f>Kalkulation!AY102</f>
        <v>0</v>
      </c>
      <c r="O109" s="2103"/>
      <c r="P109" s="2103"/>
      <c r="Q109" s="2103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Z109" s="20" t="str">
        <f t="shared" si="1"/>
        <v/>
      </c>
      <c r="CA109" s="136" t="str">
        <f>AF35</f>
        <v/>
      </c>
      <c r="CB109" s="137">
        <f>AG35</f>
        <v>0</v>
      </c>
      <c r="CC109" s="137">
        <f>AV35</f>
        <v>0</v>
      </c>
      <c r="CD109" s="137">
        <f t="shared" si="0"/>
        <v>0</v>
      </c>
    </row>
    <row r="110" spans="1:82" ht="12.75" customHeight="1">
      <c r="A110" s="72"/>
      <c r="B110" s="72"/>
      <c r="C110" s="72" t="s">
        <v>503</v>
      </c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2103">
        <f>SUM(N106:Q109)</f>
        <v>0</v>
      </c>
      <c r="O110" s="2103"/>
      <c r="P110" s="2103"/>
      <c r="Q110" s="2103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Z110" s="20" t="str">
        <f t="shared" si="1"/>
        <v/>
      </c>
      <c r="CA110" s="136" t="str">
        <f>AF37</f>
        <v/>
      </c>
      <c r="CB110" s="137">
        <f>AG37</f>
        <v>0</v>
      </c>
      <c r="CC110" s="137">
        <f>AV37</f>
        <v>0</v>
      </c>
      <c r="CD110" s="137">
        <f t="shared" si="0"/>
        <v>0</v>
      </c>
    </row>
    <row r="111" spans="1:82" ht="12.75" customHeight="1">
      <c r="BZ111" s="20" t="str">
        <f t="shared" si="1"/>
        <v/>
      </c>
      <c r="CA111" s="136" t="str">
        <f>AF39</f>
        <v/>
      </c>
      <c r="CB111" s="137">
        <f>AG39</f>
        <v>0</v>
      </c>
      <c r="CC111" s="137">
        <f>AV39</f>
        <v>0</v>
      </c>
      <c r="CD111" s="137">
        <f t="shared" si="0"/>
        <v>0</v>
      </c>
    </row>
    <row r="112" spans="1:82" ht="12.75" customHeight="1">
      <c r="BZ112" s="20" t="str">
        <f t="shared" si="1"/>
        <v/>
      </c>
      <c r="CA112" s="136" t="str">
        <f>AF41</f>
        <v/>
      </c>
      <c r="CB112" s="137">
        <f>AG41</f>
        <v>0</v>
      </c>
      <c r="CC112" s="137">
        <f>AV41</f>
        <v>0</v>
      </c>
      <c r="CD112" s="137">
        <f t="shared" si="0"/>
        <v>0</v>
      </c>
    </row>
    <row r="113" spans="78:82" ht="12.75" customHeight="1">
      <c r="BZ113" s="20" t="str">
        <f t="shared" si="1"/>
        <v/>
      </c>
      <c r="CA113" s="136" t="str">
        <f>AF43</f>
        <v/>
      </c>
      <c r="CB113" s="137">
        <f>AG43</f>
        <v>0</v>
      </c>
      <c r="CC113" s="137">
        <f>AV43</f>
        <v>0</v>
      </c>
      <c r="CD113" s="137">
        <f t="shared" si="0"/>
        <v>0</v>
      </c>
    </row>
    <row r="114" spans="78:82" ht="12.75" customHeight="1">
      <c r="BZ114" s="20" t="str">
        <f>IF(AND(CA114&gt;0,CA115=""),CA114,0)</f>
        <v/>
      </c>
      <c r="CA114" s="136" t="str">
        <f>AF45</f>
        <v/>
      </c>
      <c r="CB114" s="137">
        <f>AG45</f>
        <v>0</v>
      </c>
      <c r="CC114" s="137">
        <f>AV45</f>
        <v>0</v>
      </c>
      <c r="CD114" s="137">
        <f t="shared" si="0"/>
        <v>0</v>
      </c>
    </row>
    <row r="115" spans="78:82" ht="12.75" customHeight="1">
      <c r="BZ115" s="20" t="str">
        <f t="shared" ref="BZ115:BZ122" si="2">IF(AND(CA115&gt;0,CA116=""),CA115,0)</f>
        <v/>
      </c>
      <c r="CA115" s="136" t="str">
        <f>AF47</f>
        <v/>
      </c>
      <c r="CB115" s="137">
        <f>AG47</f>
        <v>0</v>
      </c>
      <c r="CC115" s="137">
        <f>AV47</f>
        <v>0</v>
      </c>
      <c r="CD115" s="137">
        <f t="shared" si="0"/>
        <v>0</v>
      </c>
    </row>
    <row r="116" spans="78:82" ht="12.75" customHeight="1">
      <c r="BZ116" s="20" t="str">
        <f t="shared" si="2"/>
        <v/>
      </c>
      <c r="CA116" s="136" t="str">
        <f>AF49</f>
        <v/>
      </c>
      <c r="CB116" s="137">
        <f>AG49</f>
        <v>0</v>
      </c>
      <c r="CC116" s="137">
        <f>AV49</f>
        <v>0</v>
      </c>
      <c r="CD116" s="137">
        <f t="shared" si="0"/>
        <v>0</v>
      </c>
    </row>
    <row r="117" spans="78:82" ht="12.75" customHeight="1">
      <c r="BZ117" s="20" t="str">
        <f t="shared" si="2"/>
        <v/>
      </c>
      <c r="CA117" s="136" t="str">
        <f>AF51</f>
        <v/>
      </c>
      <c r="CB117" s="137">
        <f>AG51</f>
        <v>0</v>
      </c>
      <c r="CC117" s="137">
        <f>AV51</f>
        <v>0</v>
      </c>
      <c r="CD117" s="137">
        <f t="shared" si="0"/>
        <v>0</v>
      </c>
    </row>
    <row r="118" spans="78:82" ht="12.75" customHeight="1">
      <c r="BZ118" s="20" t="str">
        <f t="shared" si="2"/>
        <v/>
      </c>
      <c r="CA118" s="136" t="str">
        <f>AF53</f>
        <v/>
      </c>
      <c r="CB118" s="137">
        <f>AG53</f>
        <v>0</v>
      </c>
      <c r="CC118" s="137">
        <f>AV53</f>
        <v>0</v>
      </c>
      <c r="CD118" s="137">
        <f t="shared" si="0"/>
        <v>0</v>
      </c>
    </row>
    <row r="119" spans="78:82" ht="12.75" customHeight="1">
      <c r="BZ119" s="20" t="str">
        <f t="shared" si="2"/>
        <v/>
      </c>
      <c r="CA119" s="136" t="str">
        <f>AF55</f>
        <v/>
      </c>
      <c r="CB119" s="137">
        <f>AG55</f>
        <v>0</v>
      </c>
      <c r="CC119" s="137">
        <f>AV55</f>
        <v>0</v>
      </c>
      <c r="CD119" s="137">
        <f t="shared" si="0"/>
        <v>0</v>
      </c>
    </row>
    <row r="120" spans="78:82" ht="12.75" customHeight="1">
      <c r="BZ120" s="20" t="str">
        <f t="shared" si="2"/>
        <v/>
      </c>
      <c r="CA120" s="136" t="str">
        <f>AF57</f>
        <v/>
      </c>
      <c r="CB120" s="137">
        <f>AG57</f>
        <v>0</v>
      </c>
      <c r="CC120" s="137">
        <f>AV57</f>
        <v>0</v>
      </c>
      <c r="CD120" s="137">
        <f t="shared" si="0"/>
        <v>0</v>
      </c>
    </row>
    <row r="121" spans="78:82" ht="12.75" customHeight="1">
      <c r="BZ121" s="20" t="str">
        <f t="shared" si="2"/>
        <v/>
      </c>
      <c r="CA121" s="136" t="str">
        <f>AF59</f>
        <v/>
      </c>
      <c r="CB121" s="137">
        <f>AG59</f>
        <v>0</v>
      </c>
      <c r="CC121" s="137">
        <f>AV59</f>
        <v>0</v>
      </c>
      <c r="CD121" s="137">
        <f t="shared" si="0"/>
        <v>0</v>
      </c>
    </row>
    <row r="122" spans="78:82" ht="12.75" customHeight="1">
      <c r="BZ122" s="20" t="str">
        <f t="shared" si="2"/>
        <v/>
      </c>
      <c r="CA122" s="136" t="str">
        <f>AF61</f>
        <v/>
      </c>
      <c r="CB122" s="137">
        <f>AG61</f>
        <v>0</v>
      </c>
      <c r="CC122" s="137">
        <f>AV61</f>
        <v>0</v>
      </c>
      <c r="CD122" s="137">
        <f>IF(CC122&gt;CB122,CB122,0)</f>
        <v>0</v>
      </c>
    </row>
    <row r="123" spans="78:82" ht="12.75" customHeight="1">
      <c r="BZ123" s="133">
        <f>SUM(BZ98:BZ122)</f>
        <v>0</v>
      </c>
      <c r="CB123" s="137">
        <f>AG89</f>
        <v>0</v>
      </c>
      <c r="CC123" s="137">
        <f>AV89</f>
        <v>0</v>
      </c>
    </row>
    <row r="124" spans="78:82" ht="12.75" customHeight="1"/>
    <row r="125" spans="78:82" ht="12.75" customHeight="1"/>
    <row r="126" spans="78:82" ht="12.75" customHeight="1"/>
    <row r="127" spans="78:82" ht="12.75" customHeight="1"/>
    <row r="128" spans="78:82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</sheetData>
  <sheetProtection algorithmName="SHA-512" hashValue="xKfeElTUxf+6KijLb4lSKwkw1oOoGugonW8btHuq9yw1xI1jiyoCoARdj3lQ4pvqBbQ1LDBNOxs+X5eD52FnnA==" saltValue="63Ov320/Ij4ar9uV5m79Sw==" spinCount="100000" sheet="1"/>
  <mergeCells count="160">
    <mergeCell ref="N109:Q109"/>
    <mergeCell ref="N110:Q110"/>
    <mergeCell ref="S23:U23"/>
    <mergeCell ref="N105:O105"/>
    <mergeCell ref="N106:Q106"/>
    <mergeCell ref="N107:Q107"/>
    <mergeCell ref="T27:U27"/>
    <mergeCell ref="T25:U25"/>
    <mergeCell ref="R13:U13"/>
    <mergeCell ref="R6:V6"/>
    <mergeCell ref="Y9:AB9"/>
    <mergeCell ref="Y13:AB13"/>
    <mergeCell ref="Y11:AB11"/>
    <mergeCell ref="AS5:AU8"/>
    <mergeCell ref="AV5:AX8"/>
    <mergeCell ref="AJ5:AL8"/>
    <mergeCell ref="N108:Q108"/>
    <mergeCell ref="AS9:AU9"/>
    <mergeCell ref="AJ9:AL9"/>
    <mergeCell ref="AP11:AR11"/>
    <mergeCell ref="AP5:AR8"/>
    <mergeCell ref="AV59:AX59"/>
    <mergeCell ref="AG61:AI61"/>
    <mergeCell ref="AJ61:AL61"/>
    <mergeCell ref="AS61:AU61"/>
    <mergeCell ref="AV61:AX61"/>
    <mergeCell ref="AG59:AI59"/>
    <mergeCell ref="AJ59:AL59"/>
    <mergeCell ref="AS59:AU59"/>
    <mergeCell ref="AP59:AR59"/>
    <mergeCell ref="AP61:AR61"/>
    <mergeCell ref="AS49:AU49"/>
    <mergeCell ref="AV49:AX49"/>
    <mergeCell ref="AV51:AX51"/>
    <mergeCell ref="AG53:AI53"/>
    <mergeCell ref="AJ53:AL53"/>
    <mergeCell ref="AS53:AU53"/>
    <mergeCell ref="AV53:AX53"/>
    <mergeCell ref="AG51:AI51"/>
    <mergeCell ref="AJ51:AL51"/>
    <mergeCell ref="AS51:AU51"/>
    <mergeCell ref="AP51:AR51"/>
    <mergeCell ref="AP53:AR53"/>
    <mergeCell ref="AV55:AX55"/>
    <mergeCell ref="AG57:AI57"/>
    <mergeCell ref="AJ57:AL57"/>
    <mergeCell ref="AS57:AU57"/>
    <mergeCell ref="AV57:AX57"/>
    <mergeCell ref="AG55:AI55"/>
    <mergeCell ref="AJ55:AL55"/>
    <mergeCell ref="AS55:AU55"/>
    <mergeCell ref="AP55:AR55"/>
    <mergeCell ref="AP57:AR57"/>
    <mergeCell ref="AG47:AI47"/>
    <mergeCell ref="AJ47:AL47"/>
    <mergeCell ref="AS47:AU47"/>
    <mergeCell ref="AP47:AR47"/>
    <mergeCell ref="AP49:AR49"/>
    <mergeCell ref="AV43:AX43"/>
    <mergeCell ref="AG45:AI45"/>
    <mergeCell ref="AJ45:AL45"/>
    <mergeCell ref="AS45:AU45"/>
    <mergeCell ref="AV45:AX45"/>
    <mergeCell ref="AG43:AI43"/>
    <mergeCell ref="AJ43:AL43"/>
    <mergeCell ref="AS43:AU43"/>
    <mergeCell ref="AP43:AR43"/>
    <mergeCell ref="AP45:AR45"/>
    <mergeCell ref="AV47:AX47"/>
    <mergeCell ref="AG49:AI49"/>
    <mergeCell ref="AJ49:AL49"/>
    <mergeCell ref="AV39:AX39"/>
    <mergeCell ref="AG41:AI41"/>
    <mergeCell ref="AJ41:AL41"/>
    <mergeCell ref="AS41:AU41"/>
    <mergeCell ref="AV41:AX41"/>
    <mergeCell ref="AG39:AI39"/>
    <mergeCell ref="AJ39:AL39"/>
    <mergeCell ref="AS39:AU39"/>
    <mergeCell ref="AP39:AR39"/>
    <mergeCell ref="AP41:AR41"/>
    <mergeCell ref="AV35:AX35"/>
    <mergeCell ref="AG37:AI37"/>
    <mergeCell ref="AJ37:AL37"/>
    <mergeCell ref="AS37:AU37"/>
    <mergeCell ref="AV37:AX37"/>
    <mergeCell ref="AG35:AI35"/>
    <mergeCell ref="AJ35:AL35"/>
    <mergeCell ref="AS35:AU35"/>
    <mergeCell ref="AP35:AR35"/>
    <mergeCell ref="AP37:AR37"/>
    <mergeCell ref="AV31:AX31"/>
    <mergeCell ref="AG33:AI33"/>
    <mergeCell ref="AJ33:AL33"/>
    <mergeCell ref="AS33:AU33"/>
    <mergeCell ref="AV33:AX33"/>
    <mergeCell ref="AG31:AI31"/>
    <mergeCell ref="AJ31:AL31"/>
    <mergeCell ref="AS31:AU31"/>
    <mergeCell ref="AP31:AR31"/>
    <mergeCell ref="AP33:AR33"/>
    <mergeCell ref="AG25:AI25"/>
    <mergeCell ref="AJ25:AL25"/>
    <mergeCell ref="AS25:AU25"/>
    <mergeCell ref="AV25:AX25"/>
    <mergeCell ref="AP25:AR25"/>
    <mergeCell ref="AV27:AX27"/>
    <mergeCell ref="AG29:AI29"/>
    <mergeCell ref="AJ29:AL29"/>
    <mergeCell ref="AS29:AU29"/>
    <mergeCell ref="AV29:AX29"/>
    <mergeCell ref="AG27:AI27"/>
    <mergeCell ref="AJ27:AL27"/>
    <mergeCell ref="AS27:AU27"/>
    <mergeCell ref="AP27:AR27"/>
    <mergeCell ref="AP29:AR29"/>
    <mergeCell ref="AG21:AI21"/>
    <mergeCell ref="AJ21:AL21"/>
    <mergeCell ref="AS21:AU21"/>
    <mergeCell ref="AV21:AX21"/>
    <mergeCell ref="AP21:AR21"/>
    <mergeCell ref="AG23:AI23"/>
    <mergeCell ref="AJ23:AL23"/>
    <mergeCell ref="AS23:AU23"/>
    <mergeCell ref="AP23:AR23"/>
    <mergeCell ref="AP3:AX3"/>
    <mergeCell ref="AP13:AR13"/>
    <mergeCell ref="AG13:AI13"/>
    <mergeCell ref="AJ13:AL13"/>
    <mergeCell ref="AG11:AI11"/>
    <mergeCell ref="AJ11:AL11"/>
    <mergeCell ref="AG5:AI8"/>
    <mergeCell ref="AS13:AU13"/>
    <mergeCell ref="AV13:AX13"/>
    <mergeCell ref="AS11:AU11"/>
    <mergeCell ref="AG3:AL3"/>
    <mergeCell ref="Y17:AC25"/>
    <mergeCell ref="AV11:AX11"/>
    <mergeCell ref="D15:J15"/>
    <mergeCell ref="T17:U17"/>
    <mergeCell ref="D17:J17"/>
    <mergeCell ref="D21:J21"/>
    <mergeCell ref="T21:U21"/>
    <mergeCell ref="D23:J23"/>
    <mergeCell ref="AS17:AU17"/>
    <mergeCell ref="AV17:AX17"/>
    <mergeCell ref="AV15:AX15"/>
    <mergeCell ref="AG15:AI15"/>
    <mergeCell ref="AJ15:AL15"/>
    <mergeCell ref="AS15:AU15"/>
    <mergeCell ref="AG17:AI17"/>
    <mergeCell ref="AJ17:AL17"/>
    <mergeCell ref="AP15:AR15"/>
    <mergeCell ref="AP17:AR17"/>
    <mergeCell ref="AV23:AX23"/>
    <mergeCell ref="AV19:AX19"/>
    <mergeCell ref="AG19:AI19"/>
    <mergeCell ref="AJ19:AL19"/>
    <mergeCell ref="AS19:AU19"/>
    <mergeCell ref="AP19:AR19"/>
  </mergeCells>
  <phoneticPr fontId="0" type="noConversion"/>
  <conditionalFormatting sqref="AM45:AO45 AM11:AO11 AM13:AO13 AM15:AO15 AM17:AO17 AM19:AO19 AM21:AO21 AM23:AO23 AM25:AO25 AM27:AO27 AM29:AO29 AM31:AO31 AM33:AO33 AM35:AO35 AM37:AO37 AM39:AO39 AM41:AO41 AM43:AO43 AM47:AO47 AM49:AO49 AM51:AO51 AM53:AO53 AM55:AO55 AM57:AO57 AM59:AO59 AM61:AO61">
    <cfRule type="expression" dxfId="33" priority="1" stopIfTrue="1">
      <formula>$AV11&gt;($AG11)</formula>
    </cfRule>
  </conditionalFormatting>
  <conditionalFormatting sqref="AG45:AI45 AG11:AI11 AG13:AI13 AG15:AI15 AG17:AI17 AG19:AI19 AG21:AI21 AG23:AI23 AG25:AI25 AG27:AI27 AG29:AI29 AG31:AI31 AG33:AI33 AG35:AI35 AG37:AI37 AG39:AI39 AG41:AI41 AG43:AI43 AG47:AI47 AG49:AI49 AG51:AI51 AG53:AI53 AG55:AI55 AG57:AI57 AG59 AG61:AI61">
    <cfRule type="expression" dxfId="32" priority="2" stopIfTrue="1">
      <formula>$AV11&gt;($AG11)</formula>
    </cfRule>
  </conditionalFormatting>
  <conditionalFormatting sqref="AV45:AX45 AV11:AX11 AV13:AX13 AV15:AX15 AV17:AX17 AV19:AX19 AV21:AX21 AV23:AX23 AV25:AX25 AV27:AX27 AV29:AX29 AV31:AX31 AV33:AX33 AV35:AX35 AV37:AX37 AV39:AX39 AV41:AX41 AV43:AX43 AV47:AX47 AV49:AX49 AV51:AX51 AV53:AX53 AV55:AX55 AV57:AX57 AV59 AV61:AX61">
    <cfRule type="expression" dxfId="31" priority="3" stopIfTrue="1">
      <formula>$AV11&gt;($AG11)</formula>
    </cfRule>
  </conditionalFormatting>
  <conditionalFormatting sqref="T25:U25">
    <cfRule type="expression" dxfId="30" priority="4" stopIfTrue="1">
      <formula>AND($R$13&gt;0,$T$25=0)</formula>
    </cfRule>
    <cfRule type="expression" dxfId="29" priority="5" stopIfTrue="1">
      <formula>$T$25&gt;N105</formula>
    </cfRule>
  </conditionalFormatting>
  <conditionalFormatting sqref="D45">
    <cfRule type="expression" dxfId="28" priority="6" stopIfTrue="1">
      <formula>$T$25&gt;N105</formula>
    </cfRule>
  </conditionalFormatting>
  <conditionalFormatting sqref="N105:O105 T21:U21">
    <cfRule type="expression" dxfId="27" priority="7" stopIfTrue="1">
      <formula>AND($R$13&gt;0,AND($S$23=0,$T$21=0))</formula>
    </cfRule>
    <cfRule type="expression" dxfId="26" priority="8" stopIfTrue="1">
      <formula>$S$23&gt;0</formula>
    </cfRule>
  </conditionalFormatting>
  <conditionalFormatting sqref="T27:U27">
    <cfRule type="expression" dxfId="25" priority="9" stopIfTrue="1">
      <formula>AND($AM$37&gt;0,$AV$39=0)</formula>
    </cfRule>
  </conditionalFormatting>
  <conditionalFormatting sqref="C9:AC9">
    <cfRule type="expression" dxfId="24" priority="10" stopIfTrue="1">
      <formula>$Y$9&lt;0</formula>
    </cfRule>
  </conditionalFormatting>
  <conditionalFormatting sqref="T17:U17">
    <cfRule type="expression" dxfId="23" priority="11" stopIfTrue="1">
      <formula>AND($R$13&gt;0,$T$17=0)</formula>
    </cfRule>
  </conditionalFormatting>
  <conditionalFormatting sqref="R13:U13 N106:Q110">
    <cfRule type="expression" dxfId="22" priority="12" stopIfTrue="1">
      <formula>$R$13&lt;=0</formula>
    </cfRule>
  </conditionalFormatting>
  <conditionalFormatting sqref="S23:U23">
    <cfRule type="expression" dxfId="21" priority="13" stopIfTrue="1">
      <formula>AND($R$13&gt;0,AND($S$23=0,$T$21=0))</formula>
    </cfRule>
    <cfRule type="expression" dxfId="20" priority="14" stopIfTrue="1">
      <formula>$T$21&gt;0</formula>
    </cfRule>
  </conditionalFormatting>
  <conditionalFormatting sqref="Y17:AC25">
    <cfRule type="expression" dxfId="19" priority="15" stopIfTrue="1">
      <formula>OR($W$17=0,$W$21=0,$T$25=0)</formula>
    </cfRule>
    <cfRule type="expression" dxfId="18" priority="16" stopIfTrue="1">
      <formula>$N$110&gt;$R$6</formula>
    </cfRule>
  </conditionalFormatting>
  <conditionalFormatting sqref="V45">
    <cfRule type="expression" dxfId="17" priority="17" stopIfTrue="1">
      <formula>$T$25&gt;N105</formula>
    </cfRule>
  </conditionalFormatting>
  <conditionalFormatting sqref="E45">
    <cfRule type="expression" dxfId="16" priority="18" stopIfTrue="1">
      <formula>$T$25&gt;N105</formula>
    </cfRule>
  </conditionalFormatting>
  <conditionalFormatting sqref="F45">
    <cfRule type="expression" dxfId="15" priority="19" stopIfTrue="1">
      <formula>$T$25&gt;N105</formula>
    </cfRule>
  </conditionalFormatting>
  <conditionalFormatting sqref="G45">
    <cfRule type="expression" dxfId="14" priority="20" stopIfTrue="1">
      <formula>$T$25&gt;N105</formula>
    </cfRule>
  </conditionalFormatting>
  <conditionalFormatting sqref="H45">
    <cfRule type="expression" dxfId="13" priority="21" stopIfTrue="1">
      <formula>$T$25&gt;N105</formula>
    </cfRule>
  </conditionalFormatting>
  <conditionalFormatting sqref="I45">
    <cfRule type="expression" dxfId="12" priority="22" stopIfTrue="1">
      <formula>$T$25&gt;N105</formula>
    </cfRule>
  </conditionalFormatting>
  <conditionalFormatting sqref="J45">
    <cfRule type="expression" dxfId="11" priority="23" stopIfTrue="1">
      <formula>$T$25&gt;N105</formula>
    </cfRule>
  </conditionalFormatting>
  <conditionalFormatting sqref="K45">
    <cfRule type="expression" dxfId="10" priority="24" stopIfTrue="1">
      <formula>$T$25&gt;N105</formula>
    </cfRule>
  </conditionalFormatting>
  <conditionalFormatting sqref="L45">
    <cfRule type="expression" dxfId="9" priority="25" stopIfTrue="1">
      <formula>$T$25&gt;N105</formula>
    </cfRule>
  </conditionalFormatting>
  <conditionalFormatting sqref="M45">
    <cfRule type="expression" dxfId="8" priority="26" stopIfTrue="1">
      <formula>$T$25&gt;N105</formula>
    </cfRule>
  </conditionalFormatting>
  <conditionalFormatting sqref="N45">
    <cfRule type="expression" dxfId="7" priority="27" stopIfTrue="1">
      <formula>$T$25&gt;N105</formula>
    </cfRule>
  </conditionalFormatting>
  <conditionalFormatting sqref="O45">
    <cfRule type="expression" dxfId="6" priority="28" stopIfTrue="1">
      <formula>$T$25&gt;N105</formula>
    </cfRule>
  </conditionalFormatting>
  <conditionalFormatting sqref="P45">
    <cfRule type="expression" dxfId="5" priority="29" stopIfTrue="1">
      <formula>$T$25&gt;N105</formula>
    </cfRule>
  </conditionalFormatting>
  <conditionalFormatting sqref="Q45">
    <cfRule type="expression" dxfId="4" priority="30" stopIfTrue="1">
      <formula>$T$25&gt;N105</formula>
    </cfRule>
  </conditionalFormatting>
  <conditionalFormatting sqref="R45">
    <cfRule type="expression" dxfId="3" priority="31" stopIfTrue="1">
      <formula>$T$25&gt;N105</formula>
    </cfRule>
  </conditionalFormatting>
  <conditionalFormatting sqref="S45">
    <cfRule type="expression" dxfId="2" priority="32" stopIfTrue="1">
      <formula>$T$25&gt;N105</formula>
    </cfRule>
  </conditionalFormatting>
  <conditionalFormatting sqref="T45">
    <cfRule type="expression" dxfId="1" priority="33" stopIfTrue="1">
      <formula>$T$25&gt;N105</formula>
    </cfRule>
  </conditionalFormatting>
  <conditionalFormatting sqref="U45">
    <cfRule type="expression" dxfId="0" priority="34" stopIfTrue="1">
      <formula>$T$25&gt;N105</formula>
    </cfRule>
  </conditionalFormatting>
  <dataValidations disablePrompts="1" count="2">
    <dataValidation type="custom" showInputMessage="1" showErrorMessage="1" error="Ansparbetrag wurde bereits in % erfasst._x000a_Keine Doppelerfassung möglich !!!" sqref="S23:U23">
      <formula1>T21&lt;0.0000001</formula1>
    </dataValidation>
    <dataValidation type="custom" allowBlank="1" showInputMessage="1" showErrorMessage="1" error="Ansparbetrag wurde bereits in €uro erfasst._x000a_Keine Doppelerfassung möglich !!!" sqref="T21:U21">
      <formula1>S23&lt;0.000001</formula1>
    </dataValidation>
  </dataValidations>
  <printOptions horizontalCentered="1" verticalCentered="1"/>
  <pageMargins left="0.59055118110236227" right="0.19685039370078741" top="0.39370078740157483" bottom="0.39370078740157483" header="0.51181102362204722" footer="0.31496062992125984"/>
  <pageSetup paperSize="9" scale="78" orientation="landscape" horizontalDpi="360" verticalDpi="360" r:id="rId1"/>
  <headerFooter alignWithMargins="0">
    <oddFooter>&amp;L&amp;8LEL Schw. Gmünd (Abt. 2; WS;Bb)&amp;C&amp;8&amp;F&amp;R&amp;8&amp;D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AH435"/>
  <sheetViews>
    <sheetView showGridLines="0" showZeros="0" workbookViewId="0"/>
  </sheetViews>
  <sheetFormatPr baseColWidth="10" defaultColWidth="3.7109375" defaultRowHeight="12.75"/>
  <cols>
    <col min="1" max="1" width="1.28515625" style="20" customWidth="1"/>
    <col min="2" max="2" width="3.5703125" style="580" customWidth="1"/>
    <col min="3" max="9" width="3.5703125" style="20" customWidth="1"/>
    <col min="10" max="10" width="4.140625" style="20" customWidth="1"/>
    <col min="11" max="30" width="3.5703125" style="20" customWidth="1"/>
    <col min="31" max="32" width="2" style="20" customWidth="1"/>
    <col min="33" max="33" width="0.5703125" style="20" customWidth="1"/>
    <col min="34" max="38" width="2" style="20" customWidth="1"/>
    <col min="39" max="39" width="0.5703125" style="20" customWidth="1"/>
    <col min="40" max="16384" width="3.7109375" style="20"/>
  </cols>
  <sheetData>
    <row r="1" spans="1:15" s="551" customFormat="1" ht="3.2" customHeight="1">
      <c r="A1" s="71"/>
      <c r="B1" s="552"/>
    </row>
    <row r="2" spans="1:15" ht="3.2" customHeight="1">
      <c r="B2" s="553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554"/>
    </row>
    <row r="3" spans="1:15" ht="12.75" customHeight="1">
      <c r="B3" s="555"/>
      <c r="C3" s="556" t="s">
        <v>445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557"/>
    </row>
    <row r="4" spans="1:15" ht="12.75" customHeight="1">
      <c r="B4" s="555"/>
      <c r="C4" s="287" t="s">
        <v>489</v>
      </c>
      <c r="D4" s="24"/>
      <c r="E4" s="24"/>
      <c r="F4" s="24"/>
      <c r="G4" s="24"/>
      <c r="H4" s="24"/>
      <c r="I4" s="24"/>
      <c r="J4" s="287" t="str">
        <f>B66</f>
        <v>Stuttgart</v>
      </c>
      <c r="K4" s="24"/>
      <c r="L4" s="24"/>
      <c r="M4" s="24"/>
      <c r="N4" s="24"/>
      <c r="O4" s="557"/>
    </row>
    <row r="5" spans="1:15" ht="3.2" customHeight="1">
      <c r="B5" s="555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557"/>
    </row>
    <row r="6" spans="1:15" ht="12.75" customHeight="1">
      <c r="B6" s="555"/>
      <c r="C6" s="73" t="s">
        <v>446</v>
      </c>
      <c r="D6" s="73"/>
      <c r="E6" s="73" t="s">
        <v>447</v>
      </c>
      <c r="F6" s="73"/>
      <c r="G6" s="73"/>
      <c r="H6" s="73"/>
      <c r="I6" s="73"/>
      <c r="J6" s="73"/>
      <c r="K6" s="73"/>
      <c r="L6" s="73"/>
      <c r="M6" s="73"/>
      <c r="N6" s="73"/>
      <c r="O6" s="557"/>
    </row>
    <row r="7" spans="1:15" ht="3.2" customHeight="1">
      <c r="B7" s="555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557"/>
    </row>
    <row r="8" spans="1:15" ht="12.75" customHeight="1">
      <c r="B8" s="555"/>
      <c r="C8" s="73"/>
      <c r="D8" s="73"/>
      <c r="E8" s="73"/>
      <c r="F8" s="2129" t="s">
        <v>448</v>
      </c>
      <c r="G8" s="2129"/>
      <c r="H8" s="2129"/>
      <c r="I8" s="73"/>
      <c r="J8" s="73"/>
      <c r="K8" s="2129" t="s">
        <v>413</v>
      </c>
      <c r="L8" s="2129"/>
      <c r="M8" s="2129"/>
      <c r="N8" s="73"/>
      <c r="O8" s="557"/>
    </row>
    <row r="9" spans="1:15" ht="3.2" customHeight="1">
      <c r="B9" s="558"/>
      <c r="C9" s="559"/>
      <c r="D9" s="559"/>
      <c r="E9" s="559"/>
      <c r="F9" s="559"/>
      <c r="G9" s="559"/>
      <c r="H9" s="559"/>
      <c r="I9" s="559"/>
      <c r="J9" s="559"/>
      <c r="K9" s="559"/>
      <c r="L9" s="559"/>
      <c r="M9" s="559"/>
      <c r="N9" s="559"/>
      <c r="O9" s="560"/>
    </row>
    <row r="10" spans="1:15" ht="12.75" customHeight="1">
      <c r="B10" s="558"/>
      <c r="C10" s="24" t="s">
        <v>433</v>
      </c>
      <c r="D10" s="24"/>
      <c r="E10" s="561"/>
      <c r="F10" s="2121">
        <f>VLOOKUP($J$4,$B$46:$AB$58,COLUMNS($B46:E$58),FALSE)</f>
        <v>0.91300000000000003</v>
      </c>
      <c r="G10" s="2121"/>
      <c r="H10" s="2121"/>
      <c r="I10" s="562">
        <v>31</v>
      </c>
      <c r="J10" s="562">
        <f>F10*I10</f>
        <v>28.303000000000001</v>
      </c>
      <c r="K10" s="2120">
        <f>J10/$J$34*100</f>
        <v>2.5608174927820651</v>
      </c>
      <c r="L10" s="2120"/>
      <c r="M10" s="24" t="s">
        <v>381</v>
      </c>
      <c r="N10" s="559"/>
      <c r="O10" s="560"/>
    </row>
    <row r="11" spans="1:15" ht="3.2" customHeight="1">
      <c r="B11" s="558"/>
      <c r="C11" s="559"/>
      <c r="D11" s="559"/>
      <c r="E11" s="563"/>
      <c r="F11" s="563"/>
      <c r="G11" s="563"/>
      <c r="H11" s="559"/>
      <c r="I11" s="562"/>
      <c r="J11" s="562">
        <f t="shared" ref="J11:J32" si="0">F11*I11</f>
        <v>0</v>
      </c>
      <c r="K11" s="559"/>
      <c r="L11" s="559"/>
      <c r="M11" s="559"/>
      <c r="N11" s="559"/>
      <c r="O11" s="560"/>
    </row>
    <row r="12" spans="1:15" ht="12.75" customHeight="1">
      <c r="B12" s="558"/>
      <c r="C12" s="24" t="s">
        <v>434</v>
      </c>
      <c r="D12" s="24"/>
      <c r="E12" s="561"/>
      <c r="F12" s="2121">
        <f>VLOOKUP($J$4,$B$46:$AB$58,COLUMNS($B48:G$58),FALSE)</f>
        <v>1.6439999999999999</v>
      </c>
      <c r="G12" s="2121"/>
      <c r="H12" s="2121"/>
      <c r="I12" s="562">
        <v>28</v>
      </c>
      <c r="J12" s="562">
        <f t="shared" si="0"/>
        <v>46.031999999999996</v>
      </c>
      <c r="K12" s="2120">
        <f>J12/$J$34*100</f>
        <v>4.1649136426436781</v>
      </c>
      <c r="L12" s="2120"/>
      <c r="M12" s="24" t="s">
        <v>381</v>
      </c>
      <c r="N12" s="559"/>
      <c r="O12" s="560"/>
    </row>
    <row r="13" spans="1:15" ht="3.2" customHeight="1">
      <c r="B13" s="558"/>
      <c r="C13" s="559"/>
      <c r="D13" s="559"/>
      <c r="E13" s="563"/>
      <c r="F13" s="563"/>
      <c r="G13" s="563"/>
      <c r="H13" s="559"/>
      <c r="I13" s="562"/>
      <c r="J13" s="562">
        <f t="shared" si="0"/>
        <v>0</v>
      </c>
      <c r="K13" s="559"/>
      <c r="L13" s="559"/>
      <c r="M13" s="559"/>
      <c r="N13" s="559"/>
      <c r="O13" s="560"/>
    </row>
    <row r="14" spans="1:15" ht="12.75" customHeight="1">
      <c r="B14" s="558"/>
      <c r="C14" s="24" t="s">
        <v>435</v>
      </c>
      <c r="D14" s="24"/>
      <c r="E14" s="561"/>
      <c r="F14" s="2121">
        <f>VLOOKUP($J$4,$B$46:$AB$58,COLUMNS($B50:I$58),FALSE)</f>
        <v>2.5680000000000001</v>
      </c>
      <c r="G14" s="2121"/>
      <c r="H14" s="2121"/>
      <c r="I14" s="562">
        <v>31</v>
      </c>
      <c r="J14" s="562">
        <f t="shared" si="0"/>
        <v>79.608000000000004</v>
      </c>
      <c r="K14" s="2120">
        <f>J14/$J$34*100</f>
        <v>7.202825105656455</v>
      </c>
      <c r="L14" s="2120"/>
      <c r="M14" s="24" t="s">
        <v>381</v>
      </c>
      <c r="N14" s="559"/>
      <c r="O14" s="560"/>
    </row>
    <row r="15" spans="1:15" ht="3.2" customHeight="1">
      <c r="B15" s="558"/>
      <c r="C15" s="559"/>
      <c r="D15" s="559"/>
      <c r="E15" s="563"/>
      <c r="F15" s="563"/>
      <c r="G15" s="563"/>
      <c r="H15" s="559"/>
      <c r="I15" s="562"/>
      <c r="J15" s="562">
        <f t="shared" si="0"/>
        <v>0</v>
      </c>
      <c r="K15" s="559"/>
      <c r="L15" s="559"/>
      <c r="M15" s="559"/>
      <c r="N15" s="559"/>
      <c r="O15" s="560"/>
    </row>
    <row r="16" spans="1:15" ht="12.75" customHeight="1">
      <c r="B16" s="558"/>
      <c r="C16" s="24" t="s">
        <v>436</v>
      </c>
      <c r="D16" s="24"/>
      <c r="E16" s="561"/>
      <c r="F16" s="2121">
        <f>VLOOKUP($J$4,$B$46:$AB$58,COLUMNS($B52:K$58),FALSE)</f>
        <v>3.9079999999999999</v>
      </c>
      <c r="G16" s="2121"/>
      <c r="H16" s="2121"/>
      <c r="I16" s="562">
        <v>30</v>
      </c>
      <c r="J16" s="562">
        <f t="shared" si="0"/>
        <v>117.24</v>
      </c>
      <c r="K16" s="2120">
        <f>J16/$J$34*100</f>
        <v>10.607718010591432</v>
      </c>
      <c r="L16" s="2120"/>
      <c r="M16" s="24" t="s">
        <v>381</v>
      </c>
      <c r="N16" s="559"/>
      <c r="O16" s="560"/>
    </row>
    <row r="17" spans="2:15" ht="3.2" customHeight="1">
      <c r="B17" s="558"/>
      <c r="C17" s="559"/>
      <c r="D17" s="559"/>
      <c r="E17" s="563"/>
      <c r="F17" s="563"/>
      <c r="G17" s="563"/>
      <c r="H17" s="559"/>
      <c r="I17" s="562"/>
      <c r="J17" s="562">
        <f t="shared" si="0"/>
        <v>0</v>
      </c>
      <c r="K17" s="559"/>
      <c r="L17" s="559"/>
      <c r="M17" s="559"/>
      <c r="N17" s="559"/>
      <c r="O17" s="560"/>
    </row>
    <row r="18" spans="2:15" ht="12.75" customHeight="1">
      <c r="B18" s="558"/>
      <c r="C18" s="24" t="s">
        <v>437</v>
      </c>
      <c r="D18" s="24"/>
      <c r="E18" s="561"/>
      <c r="F18" s="2121">
        <f>VLOOKUP($J$4,$B$46:$AB$58,COLUMNS($B54:M$58),FALSE)</f>
        <v>4.9349999999999996</v>
      </c>
      <c r="G18" s="2121"/>
      <c r="H18" s="2121"/>
      <c r="I18" s="562">
        <v>31</v>
      </c>
      <c r="J18" s="562">
        <f t="shared" si="0"/>
        <v>152.98499999999999</v>
      </c>
      <c r="K18" s="2120">
        <f>J18/$J$34*100</f>
        <v>13.841877685519705</v>
      </c>
      <c r="L18" s="2120"/>
      <c r="M18" s="24" t="s">
        <v>381</v>
      </c>
      <c r="N18" s="559"/>
      <c r="O18" s="560"/>
    </row>
    <row r="19" spans="2:15" ht="3.2" customHeight="1">
      <c r="B19" s="558"/>
      <c r="C19" s="559"/>
      <c r="D19" s="559"/>
      <c r="E19" s="563"/>
      <c r="F19" s="563"/>
      <c r="G19" s="563"/>
      <c r="H19" s="559"/>
      <c r="I19" s="562"/>
      <c r="J19" s="562">
        <f t="shared" si="0"/>
        <v>0</v>
      </c>
      <c r="K19" s="559"/>
      <c r="L19" s="559"/>
      <c r="M19" s="559"/>
      <c r="N19" s="559"/>
      <c r="O19" s="560"/>
    </row>
    <row r="20" spans="2:15" ht="12.75" customHeight="1">
      <c r="B20" s="558"/>
      <c r="C20" s="24" t="s">
        <v>438</v>
      </c>
      <c r="D20" s="24"/>
      <c r="E20" s="561"/>
      <c r="F20" s="2121">
        <f>VLOOKUP($J$4,$B$46:$AB$58,COLUMNS($B56:O$58),FALSE)</f>
        <v>5.2549999999999999</v>
      </c>
      <c r="G20" s="2121"/>
      <c r="H20" s="2121"/>
      <c r="I20" s="562">
        <v>30</v>
      </c>
      <c r="J20" s="562">
        <f t="shared" si="0"/>
        <v>157.65</v>
      </c>
      <c r="K20" s="2120">
        <f>J20/$J$34*100</f>
        <v>14.263960630925787</v>
      </c>
      <c r="L20" s="2120"/>
      <c r="M20" s="24" t="s">
        <v>381</v>
      </c>
      <c r="N20" s="559"/>
      <c r="O20" s="560"/>
    </row>
    <row r="21" spans="2:15" ht="3.2" customHeight="1">
      <c r="B21" s="558"/>
      <c r="C21" s="559"/>
      <c r="D21" s="559"/>
      <c r="E21" s="563"/>
      <c r="F21" s="563"/>
      <c r="G21" s="563"/>
      <c r="H21" s="559"/>
      <c r="I21" s="562"/>
      <c r="J21" s="562">
        <f t="shared" si="0"/>
        <v>0</v>
      </c>
      <c r="K21" s="559"/>
      <c r="L21" s="559"/>
      <c r="M21" s="559"/>
      <c r="N21" s="559"/>
      <c r="O21" s="560"/>
    </row>
    <row r="22" spans="2:15" ht="12.75" customHeight="1">
      <c r="B22" s="558"/>
      <c r="C22" s="24" t="s">
        <v>439</v>
      </c>
      <c r="D22" s="24"/>
      <c r="E22" s="561"/>
      <c r="F22" s="2121">
        <f>VLOOKUP($J$4,$B$46:$AB$58,COLUMNS($B58:Q$58),FALSE)</f>
        <v>5.375</v>
      </c>
      <c r="G22" s="2121"/>
      <c r="H22" s="2121"/>
      <c r="I22" s="562">
        <v>31</v>
      </c>
      <c r="J22" s="562">
        <f t="shared" si="0"/>
        <v>166.625</v>
      </c>
      <c r="K22" s="2120">
        <f>J22/$J$34*100</f>
        <v>15.076006597703834</v>
      </c>
      <c r="L22" s="2120"/>
      <c r="M22" s="24" t="s">
        <v>381</v>
      </c>
      <c r="N22" s="559"/>
      <c r="O22" s="560"/>
    </row>
    <row r="23" spans="2:15" ht="3.2" customHeight="1">
      <c r="B23" s="558"/>
      <c r="C23" s="559"/>
      <c r="D23" s="559"/>
      <c r="E23" s="563"/>
      <c r="F23" s="563"/>
      <c r="G23" s="563"/>
      <c r="H23" s="559"/>
      <c r="I23" s="562"/>
      <c r="J23" s="562">
        <f t="shared" si="0"/>
        <v>0</v>
      </c>
      <c r="K23" s="559"/>
      <c r="L23" s="559"/>
      <c r="M23" s="559"/>
      <c r="N23" s="559"/>
      <c r="O23" s="560"/>
    </row>
    <row r="24" spans="2:15" ht="12.75" customHeight="1">
      <c r="B24" s="558"/>
      <c r="C24" s="24" t="s">
        <v>440</v>
      </c>
      <c r="D24" s="24"/>
      <c r="E24" s="561"/>
      <c r="F24" s="2121">
        <f>VLOOKUP($J$4,$B$46:$AB$58,COLUMNS($B58:S$58),FALSE)</f>
        <v>4.6879999999999997</v>
      </c>
      <c r="G24" s="2121"/>
      <c r="H24" s="2121"/>
      <c r="I24" s="562">
        <v>31</v>
      </c>
      <c r="J24" s="562">
        <f t="shared" si="0"/>
        <v>145.328</v>
      </c>
      <c r="K24" s="2120">
        <f>J24/$J$34*100</f>
        <v>13.149082591634526</v>
      </c>
      <c r="L24" s="2120"/>
      <c r="M24" s="24" t="s">
        <v>381</v>
      </c>
      <c r="N24" s="559"/>
      <c r="O24" s="560"/>
    </row>
    <row r="25" spans="2:15" ht="3.2" customHeight="1">
      <c r="B25" s="558"/>
      <c r="C25" s="559"/>
      <c r="D25" s="559"/>
      <c r="E25" s="559"/>
      <c r="F25" s="559"/>
      <c r="G25" s="559"/>
      <c r="H25" s="559"/>
      <c r="I25" s="562"/>
      <c r="J25" s="562">
        <f t="shared" si="0"/>
        <v>0</v>
      </c>
      <c r="K25" s="559"/>
      <c r="L25" s="559"/>
      <c r="M25" s="559"/>
      <c r="N25" s="559"/>
      <c r="O25" s="560"/>
    </row>
    <row r="26" spans="2:15" ht="12.75" customHeight="1">
      <c r="B26" s="558"/>
      <c r="C26" s="24" t="s">
        <v>441</v>
      </c>
      <c r="D26" s="24"/>
      <c r="E26" s="561"/>
      <c r="F26" s="2121">
        <f>VLOOKUP($J$4,$B$46:$AB$58,COLUMNS($B58:U$58),FALSE)</f>
        <v>3.286</v>
      </c>
      <c r="G26" s="2121"/>
      <c r="H26" s="2121"/>
      <c r="I26" s="562">
        <v>30</v>
      </c>
      <c r="J26" s="562">
        <f t="shared" si="0"/>
        <v>98.58</v>
      </c>
      <c r="K26" s="2120">
        <f>J26/$J$34*100</f>
        <v>8.9193862289671042</v>
      </c>
      <c r="L26" s="2120"/>
      <c r="M26" s="24" t="s">
        <v>381</v>
      </c>
      <c r="N26" s="559"/>
      <c r="O26" s="560"/>
    </row>
    <row r="27" spans="2:15" ht="3.2" customHeight="1">
      <c r="B27" s="558"/>
      <c r="C27" s="559"/>
      <c r="D27" s="559"/>
      <c r="E27" s="559"/>
      <c r="F27" s="563"/>
      <c r="G27" s="563"/>
      <c r="H27" s="559"/>
      <c r="I27" s="562"/>
      <c r="J27" s="562">
        <f t="shared" si="0"/>
        <v>0</v>
      </c>
      <c r="K27" s="559"/>
      <c r="L27" s="559"/>
      <c r="M27" s="559"/>
      <c r="N27" s="559"/>
      <c r="O27" s="560"/>
    </row>
    <row r="28" spans="2:15" ht="12.75" customHeight="1">
      <c r="B28" s="558"/>
      <c r="C28" s="24" t="s">
        <v>442</v>
      </c>
      <c r="D28" s="24"/>
      <c r="E28" s="561"/>
      <c r="F28" s="2121">
        <f>VLOOKUP($J$4,$B$46:$AB$58,COLUMNS($B58:W$58),FALSE)</f>
        <v>1.9079999999999999</v>
      </c>
      <c r="G28" s="2121"/>
      <c r="H28" s="2121"/>
      <c r="I28" s="562">
        <v>31</v>
      </c>
      <c r="J28" s="562">
        <f t="shared" si="0"/>
        <v>59.147999999999996</v>
      </c>
      <c r="K28" s="2120">
        <f>J28/$J$34*100</f>
        <v>5.3516317373802629</v>
      </c>
      <c r="L28" s="2120"/>
      <c r="M28" s="24" t="s">
        <v>381</v>
      </c>
      <c r="N28" s="559"/>
      <c r="O28" s="560"/>
    </row>
    <row r="29" spans="2:15" ht="3.2" customHeight="1">
      <c r="B29" s="558"/>
      <c r="C29" s="559"/>
      <c r="D29" s="559"/>
      <c r="E29" s="559"/>
      <c r="F29" s="559"/>
      <c r="G29" s="559"/>
      <c r="H29" s="559"/>
      <c r="I29" s="562"/>
      <c r="J29" s="562">
        <f t="shared" si="0"/>
        <v>0</v>
      </c>
      <c r="K29" s="559"/>
      <c r="L29" s="559"/>
      <c r="M29" s="559"/>
      <c r="N29" s="559"/>
      <c r="O29" s="560"/>
    </row>
    <row r="30" spans="2:15" ht="12.75" customHeight="1">
      <c r="B30" s="558"/>
      <c r="C30" s="24" t="s">
        <v>443</v>
      </c>
      <c r="D30" s="24"/>
      <c r="E30" s="561"/>
      <c r="F30" s="2121">
        <f>VLOOKUP($J$4,$B$46:$AB$58,COLUMNS($B58:Y$58),FALSE)</f>
        <v>1.0740000000000001</v>
      </c>
      <c r="G30" s="2121"/>
      <c r="H30" s="2121"/>
      <c r="I30" s="562">
        <v>30</v>
      </c>
      <c r="J30" s="562">
        <f t="shared" si="0"/>
        <v>32.22</v>
      </c>
      <c r="K30" s="2120">
        <f>J30/$J$34*100</f>
        <v>2.9152224010683723</v>
      </c>
      <c r="L30" s="2120"/>
      <c r="M30" s="24" t="s">
        <v>381</v>
      </c>
      <c r="N30" s="559"/>
      <c r="O30" s="560"/>
    </row>
    <row r="31" spans="2:15" ht="3.2" customHeight="1">
      <c r="B31" s="558"/>
      <c r="C31" s="559"/>
      <c r="D31" s="559"/>
      <c r="E31" s="559"/>
      <c r="F31" s="563"/>
      <c r="G31" s="563"/>
      <c r="H31" s="559"/>
      <c r="I31" s="562"/>
      <c r="J31" s="562">
        <f t="shared" si="0"/>
        <v>0</v>
      </c>
      <c r="K31" s="559"/>
      <c r="L31" s="559"/>
      <c r="M31" s="559"/>
      <c r="N31" s="559"/>
      <c r="O31" s="560"/>
    </row>
    <row r="32" spans="2:15" ht="12.75" customHeight="1" thickBot="1">
      <c r="B32" s="564"/>
      <c r="C32" s="565" t="s">
        <v>444</v>
      </c>
      <c r="D32" s="565"/>
      <c r="E32" s="566"/>
      <c r="F32" s="2125">
        <f>VLOOKUP($J$4,$B$46:$AB$58,COLUMNS($B58:AA$58),FALSE)</f>
        <v>0.69399999999999995</v>
      </c>
      <c r="G32" s="2125"/>
      <c r="H32" s="2125"/>
      <c r="I32" s="567">
        <v>31</v>
      </c>
      <c r="J32" s="567">
        <f t="shared" si="0"/>
        <v>21.513999999999999</v>
      </c>
      <c r="K32" s="2122">
        <f>J32/$J$34*100</f>
        <v>1.9465578751267834</v>
      </c>
      <c r="L32" s="2122"/>
      <c r="M32" s="565" t="s">
        <v>381</v>
      </c>
      <c r="N32" s="568"/>
      <c r="O32" s="569"/>
    </row>
    <row r="33" spans="1:31" ht="3.2" customHeight="1">
      <c r="B33" s="558"/>
      <c r="C33" s="559"/>
      <c r="D33" s="559"/>
      <c r="E33" s="559"/>
      <c r="F33" s="559"/>
      <c r="G33" s="559"/>
      <c r="H33" s="559"/>
      <c r="I33" s="559"/>
      <c r="J33" s="559"/>
      <c r="K33" s="559"/>
      <c r="L33" s="559"/>
      <c r="M33" s="559"/>
      <c r="N33" s="559"/>
      <c r="O33" s="560"/>
    </row>
    <row r="34" spans="1:31" s="570" customFormat="1" ht="12.75" customHeight="1">
      <c r="B34" s="571"/>
      <c r="C34" s="572" t="s">
        <v>449</v>
      </c>
      <c r="D34" s="572"/>
      <c r="E34" s="572"/>
      <c r="F34" s="2126"/>
      <c r="G34" s="2126"/>
      <c r="H34" s="2126"/>
      <c r="I34" s="572"/>
      <c r="J34" s="573">
        <f>SUM(J10:J33)</f>
        <v>1105.2329999999999</v>
      </c>
      <c r="K34" s="572"/>
      <c r="L34" s="572"/>
      <c r="M34" s="572"/>
      <c r="N34" s="572"/>
      <c r="O34" s="574"/>
    </row>
    <row r="35" spans="1:31" s="570" customFormat="1" ht="12.75" customHeight="1">
      <c r="B35" s="571"/>
      <c r="C35" s="572" t="s">
        <v>450</v>
      </c>
      <c r="D35" s="572"/>
      <c r="E35" s="572"/>
      <c r="F35" s="2130">
        <f>J34</f>
        <v>1105.2329999999999</v>
      </c>
      <c r="G35" s="2130"/>
      <c r="H35" s="2130"/>
      <c r="I35" s="572"/>
      <c r="J35" s="572"/>
      <c r="K35" s="2123">
        <f>SUM(K10:L32)</f>
        <v>100</v>
      </c>
      <c r="L35" s="2124"/>
      <c r="M35" s="572" t="s">
        <v>381</v>
      </c>
      <c r="N35" s="572"/>
      <c r="O35" s="574"/>
    </row>
    <row r="36" spans="1:31" ht="3.2" customHeight="1">
      <c r="B36" s="575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576"/>
    </row>
    <row r="37" spans="1:31" ht="13.5">
      <c r="B37" s="700" t="s">
        <v>51</v>
      </c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576"/>
    </row>
    <row r="38" spans="1:31" ht="3.2" customHeight="1">
      <c r="B38" s="577"/>
      <c r="C38" s="578"/>
      <c r="D38" s="578"/>
      <c r="E38" s="578"/>
      <c r="F38" s="578"/>
      <c r="G38" s="578"/>
      <c r="H38" s="578"/>
      <c r="I38" s="578"/>
      <c r="J38" s="578"/>
      <c r="K38" s="578"/>
      <c r="L38" s="578"/>
      <c r="M38" s="578"/>
      <c r="N38" s="578"/>
      <c r="O38" s="579"/>
    </row>
    <row r="39" spans="1:31" ht="5.0999999999999996" customHeight="1"/>
    <row r="40" spans="1:31" ht="3.2" customHeight="1" thickBot="1"/>
    <row r="41" spans="1:31" ht="12.75" customHeight="1">
      <c r="A41" s="581"/>
      <c r="B41" s="582" t="s">
        <v>49</v>
      </c>
      <c r="C41" s="583"/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3"/>
      <c r="V41" s="583"/>
      <c r="W41" s="583"/>
      <c r="X41" s="583"/>
      <c r="Y41" s="583"/>
      <c r="Z41" s="583"/>
      <c r="AA41" s="583"/>
      <c r="AB41" s="583"/>
      <c r="AC41" s="583"/>
      <c r="AD41" s="584" t="s">
        <v>51</v>
      </c>
      <c r="AE41" s="585"/>
    </row>
    <row r="42" spans="1:31" ht="12.75" customHeight="1">
      <c r="A42" s="586"/>
      <c r="B42" s="698" t="s">
        <v>50</v>
      </c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697" t="s">
        <v>52</v>
      </c>
      <c r="AE42" s="588"/>
    </row>
    <row r="43" spans="1:31" ht="5.0999999999999996" customHeight="1">
      <c r="A43" s="586"/>
      <c r="B43" s="20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588"/>
    </row>
    <row r="44" spans="1:31" s="570" customFormat="1" ht="12.75" customHeight="1">
      <c r="A44" s="589"/>
      <c r="B44" s="590" t="s">
        <v>451</v>
      </c>
      <c r="C44" s="591"/>
      <c r="D44" s="591"/>
      <c r="E44" s="2127" t="s">
        <v>433</v>
      </c>
      <c r="F44" s="2127"/>
      <c r="G44" s="2127" t="s">
        <v>434</v>
      </c>
      <c r="H44" s="2127"/>
      <c r="I44" s="2127" t="s">
        <v>462</v>
      </c>
      <c r="J44" s="2127"/>
      <c r="K44" s="2127" t="s">
        <v>436</v>
      </c>
      <c r="L44" s="2127"/>
      <c r="M44" s="2127" t="s">
        <v>437</v>
      </c>
      <c r="N44" s="2127"/>
      <c r="O44" s="2127" t="s">
        <v>438</v>
      </c>
      <c r="P44" s="2127"/>
      <c r="Q44" s="2127" t="s">
        <v>439</v>
      </c>
      <c r="R44" s="2127"/>
      <c r="S44" s="2127" t="s">
        <v>440</v>
      </c>
      <c r="T44" s="2127"/>
      <c r="U44" s="2127" t="s">
        <v>441</v>
      </c>
      <c r="V44" s="2127"/>
      <c r="W44" s="2127" t="s">
        <v>442</v>
      </c>
      <c r="X44" s="2127"/>
      <c r="Y44" s="2127" t="s">
        <v>443</v>
      </c>
      <c r="Z44" s="2127"/>
      <c r="AA44" s="2127" t="s">
        <v>444</v>
      </c>
      <c r="AB44" s="2127"/>
      <c r="AC44" s="2127" t="s">
        <v>383</v>
      </c>
      <c r="AD44" s="2127"/>
      <c r="AE44" s="593"/>
    </row>
    <row r="45" spans="1:31" s="570" customFormat="1" ht="12.75" customHeight="1">
      <c r="A45" s="589"/>
      <c r="B45" s="590"/>
      <c r="C45" s="591"/>
      <c r="D45" s="591"/>
      <c r="E45" s="592"/>
      <c r="F45" s="592"/>
      <c r="G45" s="592"/>
      <c r="H45" s="592"/>
      <c r="I45" s="592"/>
      <c r="J45" s="592"/>
      <c r="K45" s="592"/>
      <c r="L45" s="592"/>
      <c r="M45" s="592"/>
      <c r="N45" s="592"/>
      <c r="O45" s="592"/>
      <c r="P45" s="592"/>
      <c r="Q45" s="592"/>
      <c r="R45" s="592"/>
      <c r="S45" s="592"/>
      <c r="T45" s="592"/>
      <c r="U45" s="592"/>
      <c r="V45" s="592"/>
      <c r="W45" s="592"/>
      <c r="X45" s="592"/>
      <c r="Y45" s="592"/>
      <c r="Z45" s="592"/>
      <c r="AA45" s="592"/>
      <c r="AB45" s="592"/>
      <c r="AC45" s="2131" t="s">
        <v>463</v>
      </c>
      <c r="AD45" s="2131"/>
      <c r="AE45" s="593"/>
    </row>
    <row r="46" spans="1:31" ht="12.75" customHeight="1">
      <c r="A46" s="586"/>
      <c r="B46" s="587" t="s">
        <v>452</v>
      </c>
      <c r="C46" s="33"/>
      <c r="D46" s="33"/>
      <c r="E46" s="2128">
        <v>0.60399999999999998</v>
      </c>
      <c r="F46" s="2128"/>
      <c r="G46" s="2128">
        <v>1.256</v>
      </c>
      <c r="H46" s="2128"/>
      <c r="I46" s="2128">
        <v>2.1949999999999998</v>
      </c>
      <c r="J46" s="2128"/>
      <c r="K46" s="2128">
        <v>3.758</v>
      </c>
      <c r="L46" s="2128"/>
      <c r="M46" s="2128">
        <v>4.91</v>
      </c>
      <c r="N46" s="2128"/>
      <c r="O46" s="2128">
        <v>4.992</v>
      </c>
      <c r="P46" s="2128"/>
      <c r="Q46" s="2128">
        <v>5.1520000000000001</v>
      </c>
      <c r="R46" s="2128"/>
      <c r="S46" s="2128">
        <v>4.3360000000000003</v>
      </c>
      <c r="T46" s="2128"/>
      <c r="U46" s="2128">
        <v>2.8519999999999999</v>
      </c>
      <c r="V46" s="2128"/>
      <c r="W46" s="2128">
        <v>1.8160000000000001</v>
      </c>
      <c r="X46" s="2128"/>
      <c r="Y46" s="2128">
        <v>0.78800000000000003</v>
      </c>
      <c r="Z46" s="2128"/>
      <c r="AA46" s="2128">
        <v>0.442</v>
      </c>
      <c r="AB46" s="2128"/>
      <c r="AC46" s="2132">
        <f>E46*31+G46*28+I46*31+K46*30+M46*31+O46*30+Q46*31+S46*31+U46*30+W46*31+Y46*30+AA46*31</f>
        <v>1009.9729999999998</v>
      </c>
      <c r="AD46" s="2132"/>
      <c r="AE46" s="588"/>
    </row>
    <row r="47" spans="1:31" ht="12.75" customHeight="1">
      <c r="A47" s="586"/>
      <c r="B47" s="587" t="s">
        <v>453</v>
      </c>
      <c r="C47" s="33"/>
      <c r="D47" s="33"/>
      <c r="E47" s="2128">
        <v>0.53800000000000003</v>
      </c>
      <c r="F47" s="2128"/>
      <c r="G47" s="2128">
        <v>1.101</v>
      </c>
      <c r="H47" s="2128"/>
      <c r="I47" s="2128">
        <v>2.0190000000000001</v>
      </c>
      <c r="J47" s="2128"/>
      <c r="K47" s="2128">
        <v>3.544</v>
      </c>
      <c r="L47" s="2128"/>
      <c r="M47" s="2128">
        <v>4.827</v>
      </c>
      <c r="N47" s="2128"/>
      <c r="O47" s="2128">
        <v>4.7560000000000002</v>
      </c>
      <c r="P47" s="2128"/>
      <c r="Q47" s="2128">
        <v>4.8499999999999996</v>
      </c>
      <c r="R47" s="2128"/>
      <c r="S47" s="2128">
        <v>4.1120000000000001</v>
      </c>
      <c r="T47" s="2128"/>
      <c r="U47" s="2128">
        <v>2.6459999999999999</v>
      </c>
      <c r="V47" s="2128"/>
      <c r="W47" s="2128">
        <v>1.5309999999999999</v>
      </c>
      <c r="X47" s="2128"/>
      <c r="Y47" s="2128">
        <v>0.68100000000000005</v>
      </c>
      <c r="Z47" s="2128"/>
      <c r="AA47" s="2128">
        <v>0.378</v>
      </c>
      <c r="AB47" s="2128"/>
      <c r="AC47" s="2132">
        <f t="shared" ref="AC47:AC58" si="1">E47*31+G47*28+I47*31+K47*30+M47*31+O47*30+Q47*31+S47*31+U47*30+W47*31+Y47*30+AA47*31</f>
        <v>945.54299999999989</v>
      </c>
      <c r="AD47" s="2132"/>
      <c r="AE47" s="588"/>
    </row>
    <row r="48" spans="1:31" ht="12.75" customHeight="1">
      <c r="A48" s="586"/>
      <c r="B48" s="587" t="s">
        <v>454</v>
      </c>
      <c r="C48" s="33"/>
      <c r="D48" s="33"/>
      <c r="E48" s="2128">
        <v>0.65300000000000002</v>
      </c>
      <c r="F48" s="2128"/>
      <c r="G48" s="2128">
        <v>1.3120000000000001</v>
      </c>
      <c r="H48" s="2128"/>
      <c r="I48" s="2128">
        <v>2.1800000000000002</v>
      </c>
      <c r="J48" s="2128"/>
      <c r="K48" s="2128">
        <v>3.6190000000000002</v>
      </c>
      <c r="L48" s="2128"/>
      <c r="M48" s="2128">
        <v>4.6609999999999996</v>
      </c>
      <c r="N48" s="2128"/>
      <c r="O48" s="2128">
        <v>4.7789999999999999</v>
      </c>
      <c r="P48" s="2128"/>
      <c r="Q48" s="2128">
        <v>4.8140000000000001</v>
      </c>
      <c r="R48" s="2128"/>
      <c r="S48" s="2128">
        <v>4.0999999999999996</v>
      </c>
      <c r="T48" s="2128"/>
      <c r="U48" s="2128">
        <v>2.6739999999999999</v>
      </c>
      <c r="V48" s="2128"/>
      <c r="W48" s="2128">
        <v>1.6479999999999999</v>
      </c>
      <c r="X48" s="2128"/>
      <c r="Y48" s="2128">
        <v>0.81899999999999995</v>
      </c>
      <c r="Z48" s="2128"/>
      <c r="AA48" s="2128">
        <v>0.47599999999999998</v>
      </c>
      <c r="AB48" s="2128"/>
      <c r="AC48" s="2132">
        <f t="shared" si="1"/>
        <v>967.95800000000008</v>
      </c>
      <c r="AD48" s="2132"/>
      <c r="AE48" s="588"/>
    </row>
    <row r="49" spans="1:34" ht="12.75" customHeight="1">
      <c r="A49" s="586"/>
      <c r="B49" s="587" t="s">
        <v>53</v>
      </c>
      <c r="C49" s="33"/>
      <c r="D49" s="33"/>
      <c r="E49" s="2128">
        <v>0.78900000000000003</v>
      </c>
      <c r="F49" s="2128"/>
      <c r="G49" s="2128">
        <v>1.466</v>
      </c>
      <c r="H49" s="2128"/>
      <c r="I49" s="2128">
        <v>2.3730000000000002</v>
      </c>
      <c r="J49" s="2128"/>
      <c r="K49" s="2128">
        <v>3.7290000000000001</v>
      </c>
      <c r="L49" s="2128"/>
      <c r="M49" s="2128">
        <v>4.9320000000000004</v>
      </c>
      <c r="N49" s="2128"/>
      <c r="O49" s="2128">
        <v>5.0030000000000001</v>
      </c>
      <c r="P49" s="2128"/>
      <c r="Q49" s="2128">
        <v>5.0339999999999998</v>
      </c>
      <c r="R49" s="2128"/>
      <c r="S49" s="2128">
        <v>4.4359999999999999</v>
      </c>
      <c r="T49" s="2128"/>
      <c r="U49" s="2128">
        <v>2.94</v>
      </c>
      <c r="V49" s="2128"/>
      <c r="W49" s="2128">
        <v>1.84</v>
      </c>
      <c r="X49" s="2128"/>
      <c r="Y49" s="2128">
        <v>0.873</v>
      </c>
      <c r="Z49" s="2128"/>
      <c r="AA49" s="2128">
        <v>0.60199999999999998</v>
      </c>
      <c r="AB49" s="2128"/>
      <c r="AC49" s="2132">
        <f t="shared" si="1"/>
        <v>1037.5840000000001</v>
      </c>
      <c r="AD49" s="2132"/>
      <c r="AE49" s="588"/>
    </row>
    <row r="50" spans="1:34" ht="12.75" customHeight="1">
      <c r="A50" s="586"/>
      <c r="B50" s="587" t="s">
        <v>455</v>
      </c>
      <c r="C50" s="33"/>
      <c r="D50" s="33"/>
      <c r="E50" s="2128">
        <v>0.69</v>
      </c>
      <c r="F50" s="2128"/>
      <c r="G50" s="2128">
        <v>1.448</v>
      </c>
      <c r="H50" s="2128"/>
      <c r="I50" s="2128">
        <v>2.3559999999999999</v>
      </c>
      <c r="J50" s="2128"/>
      <c r="K50" s="2128">
        <v>3.8879999999999999</v>
      </c>
      <c r="L50" s="2128"/>
      <c r="M50" s="2128">
        <v>4.9379999999999997</v>
      </c>
      <c r="N50" s="2128"/>
      <c r="O50" s="2128">
        <v>5.319</v>
      </c>
      <c r="P50" s="2128"/>
      <c r="Q50" s="2128">
        <v>5.2249999999999996</v>
      </c>
      <c r="R50" s="2128"/>
      <c r="S50" s="2128">
        <v>4.5369999999999999</v>
      </c>
      <c r="T50" s="2128"/>
      <c r="U50" s="2128">
        <v>2.9750000000000001</v>
      </c>
      <c r="V50" s="2128"/>
      <c r="W50" s="2128">
        <v>1.663</v>
      </c>
      <c r="X50" s="2128"/>
      <c r="Y50" s="2128">
        <v>0.80300000000000005</v>
      </c>
      <c r="Z50" s="2128"/>
      <c r="AA50" s="2128">
        <v>0.53600000000000003</v>
      </c>
      <c r="AB50" s="2128"/>
      <c r="AC50" s="2132">
        <f t="shared" si="1"/>
        <v>1048.3890000000001</v>
      </c>
      <c r="AD50" s="2132"/>
      <c r="AE50" s="588"/>
    </row>
    <row r="51" spans="1:34" ht="12.75" customHeight="1">
      <c r="A51" s="586"/>
      <c r="B51" s="587" t="s">
        <v>461</v>
      </c>
      <c r="C51" s="33"/>
      <c r="D51" s="33"/>
      <c r="E51" s="2128">
        <v>0.78500000000000003</v>
      </c>
      <c r="F51" s="2128"/>
      <c r="G51" s="2128">
        <v>1.536</v>
      </c>
      <c r="H51" s="2128"/>
      <c r="I51" s="2128">
        <v>2.5270000000000001</v>
      </c>
      <c r="J51" s="2128"/>
      <c r="K51" s="2128">
        <v>3.9689999999999999</v>
      </c>
      <c r="L51" s="2128"/>
      <c r="M51" s="2128">
        <v>5.0979999999999999</v>
      </c>
      <c r="N51" s="2128"/>
      <c r="O51" s="2128">
        <v>5.3579999999999997</v>
      </c>
      <c r="P51" s="2128"/>
      <c r="Q51" s="2128">
        <v>5.3810000000000002</v>
      </c>
      <c r="R51" s="2128"/>
      <c r="S51" s="2128">
        <v>4.6639999999999997</v>
      </c>
      <c r="T51" s="2128"/>
      <c r="U51" s="2128">
        <v>3.2149999999999999</v>
      </c>
      <c r="V51" s="2128"/>
      <c r="W51" s="2128">
        <v>1.825</v>
      </c>
      <c r="X51" s="2128"/>
      <c r="Y51" s="2128">
        <v>0.877</v>
      </c>
      <c r="Z51" s="2128"/>
      <c r="AA51" s="2128">
        <v>0.58099999999999996</v>
      </c>
      <c r="AB51" s="2128"/>
      <c r="AC51" s="2132">
        <f t="shared" si="1"/>
        <v>1092.269</v>
      </c>
      <c r="AD51" s="2132"/>
      <c r="AE51" s="588"/>
    </row>
    <row r="52" spans="1:34" ht="12.75" customHeight="1">
      <c r="A52" s="586"/>
      <c r="B52" s="587" t="s">
        <v>459</v>
      </c>
      <c r="C52" s="33"/>
      <c r="D52" s="33"/>
      <c r="E52" s="2128">
        <v>1.087</v>
      </c>
      <c r="F52" s="2128"/>
      <c r="G52" s="2128">
        <v>1.873</v>
      </c>
      <c r="H52" s="2128"/>
      <c r="I52" s="2128">
        <v>2.8330000000000002</v>
      </c>
      <c r="J52" s="2128"/>
      <c r="K52" s="2128">
        <v>3.9580000000000002</v>
      </c>
      <c r="L52" s="2128"/>
      <c r="M52" s="2128">
        <v>5.0979999999999999</v>
      </c>
      <c r="N52" s="2128"/>
      <c r="O52" s="2128">
        <v>5.3460000000000001</v>
      </c>
      <c r="P52" s="2128"/>
      <c r="Q52" s="2128">
        <v>5.4249999999999998</v>
      </c>
      <c r="R52" s="2128"/>
      <c r="S52" s="2128">
        <v>4.7220000000000004</v>
      </c>
      <c r="T52" s="2128"/>
      <c r="U52" s="2128">
        <v>3.3969999999999998</v>
      </c>
      <c r="V52" s="2128"/>
      <c r="W52" s="2128">
        <v>2.0259999999999998</v>
      </c>
      <c r="X52" s="2128"/>
      <c r="Y52" s="2128">
        <v>1.151</v>
      </c>
      <c r="Z52" s="2128"/>
      <c r="AA52" s="2128">
        <v>0.79700000000000004</v>
      </c>
      <c r="AB52" s="2128"/>
      <c r="AC52" s="2132">
        <f t="shared" si="1"/>
        <v>1149.6320000000001</v>
      </c>
      <c r="AD52" s="2132"/>
      <c r="AE52" s="588"/>
    </row>
    <row r="53" spans="1:34" ht="12.75" customHeight="1">
      <c r="A53" s="586"/>
      <c r="B53" s="587" t="s">
        <v>456</v>
      </c>
      <c r="C53" s="33"/>
      <c r="D53" s="33"/>
      <c r="E53" s="2133">
        <v>0.75700000000000001</v>
      </c>
      <c r="F53" s="2133"/>
      <c r="G53" s="2128">
        <v>1.4910000000000001</v>
      </c>
      <c r="H53" s="2128"/>
      <c r="I53" s="2128">
        <v>2.4350000000000001</v>
      </c>
      <c r="J53" s="2128"/>
      <c r="K53" s="2128">
        <v>3.9129999999999998</v>
      </c>
      <c r="L53" s="2128"/>
      <c r="M53" s="2128">
        <v>4.968</v>
      </c>
      <c r="N53" s="2128"/>
      <c r="O53" s="2128">
        <v>5.226</v>
      </c>
      <c r="P53" s="2128"/>
      <c r="Q53" s="2128">
        <v>5.234</v>
      </c>
      <c r="R53" s="2128"/>
      <c r="S53" s="2128">
        <v>4.5519999999999996</v>
      </c>
      <c r="T53" s="2128"/>
      <c r="U53" s="2128">
        <v>3.14</v>
      </c>
      <c r="V53" s="2128"/>
      <c r="W53" s="2128">
        <v>1.756</v>
      </c>
      <c r="X53" s="2128"/>
      <c r="Y53" s="2128">
        <v>0.90900000000000003</v>
      </c>
      <c r="Z53" s="2128"/>
      <c r="AA53" s="2128">
        <v>0.56599999999999995</v>
      </c>
      <c r="AB53" s="2128"/>
      <c r="AC53" s="2132">
        <f t="shared" si="1"/>
        <v>1065.6960000000001</v>
      </c>
      <c r="AD53" s="2132"/>
      <c r="AE53" s="588"/>
    </row>
    <row r="54" spans="1:34" ht="12.75" customHeight="1">
      <c r="A54" s="586"/>
      <c r="B54" s="587" t="s">
        <v>457</v>
      </c>
      <c r="C54" s="33"/>
      <c r="D54" s="33"/>
      <c r="E54" s="2128">
        <v>0.91300000000000003</v>
      </c>
      <c r="F54" s="2128"/>
      <c r="G54" s="2128">
        <v>1.6439999999999999</v>
      </c>
      <c r="H54" s="2128"/>
      <c r="I54" s="2128">
        <v>2.5680000000000001</v>
      </c>
      <c r="J54" s="2128"/>
      <c r="K54" s="2128">
        <v>3.9079999999999999</v>
      </c>
      <c r="L54" s="2128"/>
      <c r="M54" s="2128">
        <v>4.9349999999999996</v>
      </c>
      <c r="N54" s="2128"/>
      <c r="O54" s="2128">
        <v>5.2549999999999999</v>
      </c>
      <c r="P54" s="2128"/>
      <c r="Q54" s="2128">
        <v>5.375</v>
      </c>
      <c r="R54" s="2128"/>
      <c r="S54" s="2128">
        <v>4.6879999999999997</v>
      </c>
      <c r="T54" s="2128"/>
      <c r="U54" s="2128">
        <v>3.286</v>
      </c>
      <c r="V54" s="2128"/>
      <c r="W54" s="2128">
        <v>1.9079999999999999</v>
      </c>
      <c r="X54" s="2128"/>
      <c r="Y54" s="2128">
        <v>1.0740000000000001</v>
      </c>
      <c r="Z54" s="2128"/>
      <c r="AA54" s="2128">
        <v>0.69399999999999995</v>
      </c>
      <c r="AB54" s="2128"/>
      <c r="AC54" s="2132">
        <f t="shared" si="1"/>
        <v>1105.2329999999999</v>
      </c>
      <c r="AD54" s="2132"/>
      <c r="AE54" s="588"/>
    </row>
    <row r="55" spans="1:34" ht="12.75" customHeight="1">
      <c r="A55" s="586"/>
      <c r="B55" s="587" t="s">
        <v>460</v>
      </c>
      <c r="C55" s="33"/>
      <c r="D55" s="33"/>
      <c r="E55" s="2128">
        <v>0.97899999999999998</v>
      </c>
      <c r="F55" s="2128"/>
      <c r="G55" s="2128">
        <v>1.718</v>
      </c>
      <c r="H55" s="2128"/>
      <c r="I55" s="2128">
        <v>2.738</v>
      </c>
      <c r="J55" s="2128"/>
      <c r="K55" s="2128">
        <v>3.9620000000000002</v>
      </c>
      <c r="L55" s="2128"/>
      <c r="M55" s="2128">
        <v>5.0170000000000003</v>
      </c>
      <c r="N55" s="2128"/>
      <c r="O55" s="2128">
        <v>5.2960000000000003</v>
      </c>
      <c r="P55" s="2128"/>
      <c r="Q55" s="2128">
        <v>5.4180000000000001</v>
      </c>
      <c r="R55" s="2128"/>
      <c r="S55" s="2128">
        <v>4.7050000000000001</v>
      </c>
      <c r="T55" s="2128"/>
      <c r="U55" s="2128">
        <v>3.3279999999999998</v>
      </c>
      <c r="V55" s="2128"/>
      <c r="W55" s="2128">
        <v>1.8939999999999999</v>
      </c>
      <c r="X55" s="2128"/>
      <c r="Y55" s="2128">
        <v>1.079</v>
      </c>
      <c r="Z55" s="2128"/>
      <c r="AA55" s="2128">
        <v>0.74199999999999999</v>
      </c>
      <c r="AB55" s="2128"/>
      <c r="AC55" s="2132">
        <f t="shared" si="1"/>
        <v>1124.337</v>
      </c>
      <c r="AD55" s="2132"/>
      <c r="AE55" s="588"/>
    </row>
    <row r="56" spans="1:34" ht="12.75" customHeight="1">
      <c r="A56" s="586"/>
      <c r="B56" s="587" t="s">
        <v>54</v>
      </c>
      <c r="C56" s="33"/>
      <c r="D56" s="33"/>
      <c r="E56" s="2128">
        <v>0.91100000000000003</v>
      </c>
      <c r="F56" s="2128"/>
      <c r="G56" s="2128">
        <v>1.667</v>
      </c>
      <c r="H56" s="2128"/>
      <c r="I56" s="2128">
        <v>2.7759999999999998</v>
      </c>
      <c r="J56" s="2128"/>
      <c r="K56" s="2128">
        <v>4.0679999999999996</v>
      </c>
      <c r="L56" s="2128"/>
      <c r="M56" s="2128">
        <v>5.1740000000000004</v>
      </c>
      <c r="N56" s="2128"/>
      <c r="O56" s="2128">
        <v>5.5309999999999997</v>
      </c>
      <c r="P56" s="2128"/>
      <c r="Q56" s="2128">
        <v>5.5510000000000002</v>
      </c>
      <c r="R56" s="2128"/>
      <c r="S56" s="2128">
        <v>4.8150000000000004</v>
      </c>
      <c r="T56" s="2128"/>
      <c r="U56" s="2128">
        <v>3.3530000000000002</v>
      </c>
      <c r="V56" s="2128"/>
      <c r="W56" s="2128">
        <v>1.8879999999999999</v>
      </c>
      <c r="X56" s="2128"/>
      <c r="Y56" s="2128">
        <v>1.0369999999999999</v>
      </c>
      <c r="Z56" s="2128"/>
      <c r="AA56" s="2128">
        <v>0.74</v>
      </c>
      <c r="AB56" s="2128"/>
      <c r="AC56" s="2132">
        <f t="shared" si="1"/>
        <v>1143.8509999999999</v>
      </c>
      <c r="AD56" s="2132"/>
      <c r="AE56" s="588"/>
    </row>
    <row r="57" spans="1:34" ht="12.75" customHeight="1">
      <c r="A57" s="586"/>
      <c r="B57" s="587" t="s">
        <v>458</v>
      </c>
      <c r="C57" s="33"/>
      <c r="D57" s="33"/>
      <c r="E57" s="2128">
        <v>0.879</v>
      </c>
      <c r="F57" s="2128"/>
      <c r="G57" s="2128">
        <v>1.607</v>
      </c>
      <c r="H57" s="2128"/>
      <c r="I57" s="2128">
        <v>2.661</v>
      </c>
      <c r="J57" s="2128"/>
      <c r="K57" s="2128">
        <v>3.9</v>
      </c>
      <c r="L57" s="2128"/>
      <c r="M57" s="2128">
        <v>4.8879999999999999</v>
      </c>
      <c r="N57" s="2128"/>
      <c r="O57" s="2128">
        <v>5.4980000000000002</v>
      </c>
      <c r="P57" s="2128"/>
      <c r="Q57" s="2128">
        <v>5.5720000000000001</v>
      </c>
      <c r="R57" s="2128"/>
      <c r="S57" s="2128">
        <v>4.891</v>
      </c>
      <c r="T57" s="2128"/>
      <c r="U57" s="2128">
        <v>3.4039999999999999</v>
      </c>
      <c r="V57" s="2128"/>
      <c r="W57" s="2128">
        <v>1.97</v>
      </c>
      <c r="X57" s="2128"/>
      <c r="Y57" s="2128">
        <v>1.0629999999999999</v>
      </c>
      <c r="Z57" s="2128"/>
      <c r="AA57" s="2128">
        <v>0.69299999999999995</v>
      </c>
      <c r="AB57" s="2128"/>
      <c r="AC57" s="2132">
        <f>E57*31+G57*28+I57*31+K57*30+M57*31+O57*30+Q57*31+S57*31+U57*30+W57*31+Y57*30+AA57*31</f>
        <v>1129.1199999999999</v>
      </c>
      <c r="AD57" s="2132"/>
      <c r="AE57" s="588"/>
      <c r="AH57" s="701" t="s">
        <v>145</v>
      </c>
    </row>
    <row r="58" spans="1:34" ht="12.75" customHeight="1">
      <c r="A58" s="586"/>
      <c r="B58" s="702" t="str">
        <f>B60</f>
        <v>eig.Standort</v>
      </c>
      <c r="C58" s="703"/>
      <c r="D58" s="703"/>
      <c r="E58" s="2136">
        <f>IF($AC$66&gt;0,E54,E60)</f>
        <v>0.91300000000000003</v>
      </c>
      <c r="F58" s="2136"/>
      <c r="G58" s="2136">
        <f>IF($AC$66&gt;0,G54,G60)</f>
        <v>1.6439999999999999</v>
      </c>
      <c r="H58" s="2136"/>
      <c r="I58" s="2136">
        <f>IF($AC$66&gt;0,I54,I60)</f>
        <v>2.5680000000000001</v>
      </c>
      <c r="J58" s="2136"/>
      <c r="K58" s="2136">
        <f>IF($AC$66&gt;0,K54,K60)</f>
        <v>3.9079999999999999</v>
      </c>
      <c r="L58" s="2136"/>
      <c r="M58" s="2136">
        <f>IF($AC$66&gt;0,M54,M60)</f>
        <v>4.9349999999999996</v>
      </c>
      <c r="N58" s="2136"/>
      <c r="O58" s="2136">
        <f>IF($AC$66&gt;0,O54,O60)</f>
        <v>5.2549999999999999</v>
      </c>
      <c r="P58" s="2136"/>
      <c r="Q58" s="2136">
        <f>IF($AC$66&gt;0,Q54,Q60)</f>
        <v>5.375</v>
      </c>
      <c r="R58" s="2136"/>
      <c r="S58" s="2136">
        <f>IF($AC$66&gt;0,S54,S60)</f>
        <v>4.6879999999999997</v>
      </c>
      <c r="T58" s="2136"/>
      <c r="U58" s="2136">
        <f>IF($AC$66&gt;0,U54,U60)</f>
        <v>3.286</v>
      </c>
      <c r="V58" s="2136"/>
      <c r="W58" s="2136">
        <f>IF($AC$66&gt;0,W54,W60)</f>
        <v>1.9079999999999999</v>
      </c>
      <c r="X58" s="2136"/>
      <c r="Y58" s="2136">
        <f>IF($AC$66&gt;0,Y54,Y60)</f>
        <v>1.0740000000000001</v>
      </c>
      <c r="Z58" s="2136"/>
      <c r="AA58" s="2136">
        <f>IF($AC$66&gt;0,AA54,AA60)</f>
        <v>0.69399999999999995</v>
      </c>
      <c r="AB58" s="2136"/>
      <c r="AC58" s="2134">
        <f t="shared" si="1"/>
        <v>1105.2329999999999</v>
      </c>
      <c r="AD58" s="2135"/>
      <c r="AE58" s="588"/>
      <c r="AH58" s="699" t="s">
        <v>663</v>
      </c>
    </row>
    <row r="59" spans="1:34" ht="5.0999999999999996" customHeight="1">
      <c r="A59" s="586"/>
      <c r="B59" s="587"/>
      <c r="C59" s="33"/>
      <c r="D59" s="33"/>
      <c r="E59" s="680"/>
      <c r="F59" s="680"/>
      <c r="G59" s="680"/>
      <c r="H59" s="680"/>
      <c r="I59" s="680"/>
      <c r="J59" s="680"/>
      <c r="K59" s="680"/>
      <c r="L59" s="680"/>
      <c r="M59" s="680"/>
      <c r="N59" s="680"/>
      <c r="O59" s="680"/>
      <c r="P59" s="680"/>
      <c r="Q59" s="680"/>
      <c r="R59" s="680"/>
      <c r="S59" s="680"/>
      <c r="T59" s="680"/>
      <c r="U59" s="680"/>
      <c r="V59" s="680"/>
      <c r="W59" s="680"/>
      <c r="X59" s="680"/>
      <c r="Y59" s="680"/>
      <c r="Z59" s="680"/>
      <c r="AA59" s="680"/>
      <c r="AB59" s="680"/>
      <c r="AC59" s="681"/>
      <c r="AD59" s="681"/>
      <c r="AE59" s="588"/>
      <c r="AH59" s="699"/>
    </row>
    <row r="60" spans="1:34" ht="12.75" customHeight="1">
      <c r="A60" s="586"/>
      <c r="B60" s="694" t="s">
        <v>662</v>
      </c>
      <c r="C60" s="695"/>
      <c r="D60" s="696"/>
      <c r="E60" s="2139"/>
      <c r="F60" s="2139"/>
      <c r="G60" s="2139"/>
      <c r="H60" s="2139"/>
      <c r="I60" s="2139"/>
      <c r="J60" s="2139"/>
      <c r="K60" s="2139"/>
      <c r="L60" s="2139"/>
      <c r="M60" s="2139"/>
      <c r="N60" s="2139"/>
      <c r="O60" s="2139"/>
      <c r="P60" s="2139"/>
      <c r="Q60" s="2139"/>
      <c r="R60" s="2139"/>
      <c r="S60" s="2139"/>
      <c r="T60" s="2139"/>
      <c r="U60" s="2139"/>
      <c r="V60" s="2139"/>
      <c r="W60" s="2139"/>
      <c r="X60" s="2139"/>
      <c r="Y60" s="2139"/>
      <c r="Z60" s="2139"/>
      <c r="AA60" s="2139"/>
      <c r="AB60" s="2139"/>
      <c r="AC60" s="2140">
        <f>E60*31+G60*28+I60*31+K60*30+M60*31+O60*30+Q60*31+S60*31+U60*30+W60*31+Y60*30+AA60*31</f>
        <v>0</v>
      </c>
      <c r="AD60" s="2140"/>
      <c r="AE60" s="588"/>
      <c r="AH60" s="699" t="s">
        <v>664</v>
      </c>
    </row>
    <row r="61" spans="1:34" ht="5.0999999999999996" customHeight="1">
      <c r="A61" s="586"/>
      <c r="B61" s="587"/>
      <c r="C61" s="33"/>
      <c r="D61" s="33"/>
      <c r="E61" s="680"/>
      <c r="F61" s="680"/>
      <c r="G61" s="680"/>
      <c r="H61" s="680"/>
      <c r="I61" s="680"/>
      <c r="J61" s="680"/>
      <c r="K61" s="680"/>
      <c r="L61" s="680"/>
      <c r="M61" s="680"/>
      <c r="N61" s="680"/>
      <c r="O61" s="680"/>
      <c r="P61" s="680"/>
      <c r="Q61" s="680"/>
      <c r="R61" s="680"/>
      <c r="S61" s="680"/>
      <c r="T61" s="680"/>
      <c r="U61" s="680"/>
      <c r="V61" s="680"/>
      <c r="W61" s="680"/>
      <c r="X61" s="680"/>
      <c r="Y61" s="680"/>
      <c r="Z61" s="680"/>
      <c r="AA61" s="680"/>
      <c r="AB61" s="680"/>
      <c r="AC61" s="681"/>
      <c r="AD61" s="681"/>
      <c r="AE61" s="588"/>
    </row>
    <row r="62" spans="1:34" ht="12.75" customHeight="1">
      <c r="A62" s="586"/>
      <c r="B62" s="594" t="s">
        <v>491</v>
      </c>
      <c r="C62" s="595"/>
      <c r="D62" s="596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588"/>
    </row>
    <row r="63" spans="1:34" ht="12.75" customHeight="1">
      <c r="A63" s="586"/>
      <c r="B63" s="597" t="str">
        <f>B66</f>
        <v>Stuttgart</v>
      </c>
      <c r="C63" s="578"/>
      <c r="D63" s="579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588"/>
    </row>
    <row r="64" spans="1:34" ht="12.75" customHeight="1" thickBot="1">
      <c r="A64" s="598"/>
      <c r="B64" s="599"/>
      <c r="C64" s="600"/>
      <c r="D64" s="600"/>
      <c r="E64" s="600"/>
      <c r="F64" s="600"/>
      <c r="G64" s="600"/>
      <c r="H64" s="600"/>
      <c r="I64" s="600"/>
      <c r="J64" s="600"/>
      <c r="K64" s="600"/>
      <c r="L64" s="600"/>
      <c r="M64" s="600"/>
      <c r="N64" s="600"/>
      <c r="O64" s="600"/>
      <c r="P64" s="600"/>
      <c r="Q64" s="600"/>
      <c r="R64" s="600"/>
      <c r="S64" s="600"/>
      <c r="T64" s="600"/>
      <c r="U64" s="600"/>
      <c r="V64" s="600"/>
      <c r="W64" s="600"/>
      <c r="X64" s="600"/>
      <c r="Y64" s="600"/>
      <c r="Z64" s="600"/>
      <c r="AA64" s="600"/>
      <c r="AB64" s="600"/>
      <c r="AC64" s="600"/>
      <c r="AD64" s="600"/>
      <c r="AE64" s="601"/>
    </row>
    <row r="65" spans="2:31" ht="12.75" customHeight="1">
      <c r="AE65" s="8"/>
    </row>
    <row r="66" spans="2:31" ht="12.75" hidden="1" customHeight="1">
      <c r="B66" s="603" t="s">
        <v>457</v>
      </c>
      <c r="E66" s="2137">
        <f>IF(E60=0,1,0)</f>
        <v>1</v>
      </c>
      <c r="F66" s="2137"/>
      <c r="G66" s="2137">
        <f>IF(G60=0,1,0)</f>
        <v>1</v>
      </c>
      <c r="H66" s="2137"/>
      <c r="I66" s="2137">
        <f>IF(I60=0,1,0)</f>
        <v>1</v>
      </c>
      <c r="J66" s="2137"/>
      <c r="K66" s="2137">
        <f>IF(K60=0,1,0)</f>
        <v>1</v>
      </c>
      <c r="L66" s="2137"/>
      <c r="M66" s="2137">
        <f>IF(M60=0,1,0)</f>
        <v>1</v>
      </c>
      <c r="N66" s="2137"/>
      <c r="O66" s="2137">
        <f>IF(O60=0,1,0)</f>
        <v>1</v>
      </c>
      <c r="P66" s="2137"/>
      <c r="Q66" s="2137">
        <f>IF(Q60=0,1,0)</f>
        <v>1</v>
      </c>
      <c r="R66" s="2137"/>
      <c r="S66" s="2137">
        <f>IF(S60=0,1,0)</f>
        <v>1</v>
      </c>
      <c r="T66" s="2137"/>
      <c r="U66" s="2137">
        <f>IF(U60=0,1,0)</f>
        <v>1</v>
      </c>
      <c r="V66" s="2137"/>
      <c r="W66" s="2137">
        <f>IF(W60=0,1,0)</f>
        <v>1</v>
      </c>
      <c r="X66" s="2137"/>
      <c r="Y66" s="2137">
        <f>IF(Y60=0,1,0)</f>
        <v>1</v>
      </c>
      <c r="Z66" s="2137"/>
      <c r="AA66" s="2137">
        <f>IF(AA60=0,1,0)</f>
        <v>1</v>
      </c>
      <c r="AB66" s="2137"/>
      <c r="AC66" s="2138">
        <f>SUM(E66:AB66)</f>
        <v>12</v>
      </c>
      <c r="AD66" s="2138"/>
    </row>
    <row r="67" spans="2:31" ht="12.75" customHeight="1"/>
    <row r="68" spans="2:31" ht="12.75" customHeight="1"/>
    <row r="69" spans="2:31" ht="12.75" customHeight="1"/>
    <row r="70" spans="2:31" ht="12.75" customHeight="1"/>
    <row r="71" spans="2:31" ht="12.75" customHeight="1"/>
    <row r="72" spans="2:31" ht="12.75" customHeight="1"/>
    <row r="73" spans="2:31" ht="12.75" customHeight="1"/>
    <row r="74" spans="2:31" ht="12.75" customHeight="1"/>
    <row r="75" spans="2:31" ht="12.75" customHeight="1"/>
    <row r="76" spans="2:31" ht="12.75" customHeight="1"/>
    <row r="77" spans="2:31" ht="12.75" customHeight="1"/>
    <row r="78" spans="2:31" ht="12.75" customHeight="1"/>
    <row r="79" spans="2:31" ht="12.75" customHeight="1"/>
    <row r="80" spans="2:31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</sheetData>
  <sheetProtection password="F30F" sheet="1" objects="1" scenarios="1"/>
  <mergeCells count="238">
    <mergeCell ref="W66:X66"/>
    <mergeCell ref="Y66:Z66"/>
    <mergeCell ref="AA66:AB66"/>
    <mergeCell ref="AC66:AD66"/>
    <mergeCell ref="AC57:AD57"/>
    <mergeCell ref="E66:F66"/>
    <mergeCell ref="G66:H66"/>
    <mergeCell ref="I66:J66"/>
    <mergeCell ref="K66:L66"/>
    <mergeCell ref="M66:N66"/>
    <mergeCell ref="E60:F60"/>
    <mergeCell ref="G60:H60"/>
    <mergeCell ref="I60:J60"/>
    <mergeCell ref="K60:L60"/>
    <mergeCell ref="M60:N60"/>
    <mergeCell ref="O60:P60"/>
    <mergeCell ref="AC60:AD60"/>
    <mergeCell ref="Q60:R60"/>
    <mergeCell ref="S60:T60"/>
    <mergeCell ref="U60:V60"/>
    <mergeCell ref="W60:X60"/>
    <mergeCell ref="Y60:Z60"/>
    <mergeCell ref="AA60:AB60"/>
    <mergeCell ref="I57:J57"/>
    <mergeCell ref="K57:L57"/>
    <mergeCell ref="M57:N57"/>
    <mergeCell ref="O57:P57"/>
    <mergeCell ref="O66:P66"/>
    <mergeCell ref="Q66:R66"/>
    <mergeCell ref="S66:T66"/>
    <mergeCell ref="U66:V66"/>
    <mergeCell ref="Q57:R57"/>
    <mergeCell ref="S57:T57"/>
    <mergeCell ref="U57:V57"/>
    <mergeCell ref="Q58:R58"/>
    <mergeCell ref="S58:T58"/>
    <mergeCell ref="E56:F56"/>
    <mergeCell ref="G56:H56"/>
    <mergeCell ref="I56:J56"/>
    <mergeCell ref="K56:L56"/>
    <mergeCell ref="M56:N56"/>
    <mergeCell ref="O56:P56"/>
    <mergeCell ref="AC58:AD58"/>
    <mergeCell ref="U58:V58"/>
    <mergeCell ref="W58:X58"/>
    <mergeCell ref="Y58:Z58"/>
    <mergeCell ref="AA58:AB58"/>
    <mergeCell ref="AA56:AB56"/>
    <mergeCell ref="Y56:Z56"/>
    <mergeCell ref="W57:X57"/>
    <mergeCell ref="E58:F58"/>
    <mergeCell ref="G58:H58"/>
    <mergeCell ref="I58:J58"/>
    <mergeCell ref="K58:L58"/>
    <mergeCell ref="M58:N58"/>
    <mergeCell ref="O58:P58"/>
    <mergeCell ref="Y57:Z57"/>
    <mergeCell ref="AA57:AB57"/>
    <mergeCell ref="E57:F57"/>
    <mergeCell ref="G57:H57"/>
    <mergeCell ref="Q56:R56"/>
    <mergeCell ref="AC56:AD56"/>
    <mergeCell ref="W56:X56"/>
    <mergeCell ref="W54:X54"/>
    <mergeCell ref="Y54:Z54"/>
    <mergeCell ref="AA54:AB54"/>
    <mergeCell ref="S56:T56"/>
    <mergeCell ref="U56:V56"/>
    <mergeCell ref="Q55:R55"/>
    <mergeCell ref="S55:T55"/>
    <mergeCell ref="AC55:AD55"/>
    <mergeCell ref="U55:V55"/>
    <mergeCell ref="E55:F55"/>
    <mergeCell ref="G55:H55"/>
    <mergeCell ref="I55:J55"/>
    <mergeCell ref="K55:L55"/>
    <mergeCell ref="M55:N55"/>
    <mergeCell ref="O55:P55"/>
    <mergeCell ref="W55:X55"/>
    <mergeCell ref="Y55:Z55"/>
    <mergeCell ref="AA55:AB55"/>
    <mergeCell ref="AC53:AD53"/>
    <mergeCell ref="E54:F54"/>
    <mergeCell ref="G54:H54"/>
    <mergeCell ref="I54:J54"/>
    <mergeCell ref="K54:L54"/>
    <mergeCell ref="M54:N54"/>
    <mergeCell ref="O54:P54"/>
    <mergeCell ref="Q54:R54"/>
    <mergeCell ref="S54:T54"/>
    <mergeCell ref="U54:V54"/>
    <mergeCell ref="AC54:AD54"/>
    <mergeCell ref="E53:F53"/>
    <mergeCell ref="G53:H53"/>
    <mergeCell ref="I53:J53"/>
    <mergeCell ref="K53:L53"/>
    <mergeCell ref="M53:N53"/>
    <mergeCell ref="O53:P53"/>
    <mergeCell ref="Y53:Z53"/>
    <mergeCell ref="AA53:AB53"/>
    <mergeCell ref="W52:X52"/>
    <mergeCell ref="Y52:Z52"/>
    <mergeCell ref="AA52:AB52"/>
    <mergeCell ref="Q53:R53"/>
    <mergeCell ref="S53:T53"/>
    <mergeCell ref="U53:V53"/>
    <mergeCell ref="W53:X53"/>
    <mergeCell ref="AC51:AD51"/>
    <mergeCell ref="E52:F52"/>
    <mergeCell ref="G52:H52"/>
    <mergeCell ref="I52:J52"/>
    <mergeCell ref="K52:L52"/>
    <mergeCell ref="M52:N52"/>
    <mergeCell ref="O52:P52"/>
    <mergeCell ref="Q52:R52"/>
    <mergeCell ref="S52:T52"/>
    <mergeCell ref="U52:V52"/>
    <mergeCell ref="AC52:AD52"/>
    <mergeCell ref="E51:F51"/>
    <mergeCell ref="G51:H51"/>
    <mergeCell ref="I51:J51"/>
    <mergeCell ref="K51:L51"/>
    <mergeCell ref="M51:N51"/>
    <mergeCell ref="O51:P51"/>
    <mergeCell ref="Y51:Z51"/>
    <mergeCell ref="AA51:AB51"/>
    <mergeCell ref="W50:X50"/>
    <mergeCell ref="Y50:Z50"/>
    <mergeCell ref="AA50:AB50"/>
    <mergeCell ref="Q51:R51"/>
    <mergeCell ref="S51:T51"/>
    <mergeCell ref="U51:V51"/>
    <mergeCell ref="W51:X51"/>
    <mergeCell ref="AC49:AD49"/>
    <mergeCell ref="E50:F50"/>
    <mergeCell ref="G50:H50"/>
    <mergeCell ref="I50:J50"/>
    <mergeCell ref="K50:L50"/>
    <mergeCell ref="M50:N50"/>
    <mergeCell ref="O50:P50"/>
    <mergeCell ref="Q50:R50"/>
    <mergeCell ref="S50:T50"/>
    <mergeCell ref="U50:V50"/>
    <mergeCell ref="AC50:AD50"/>
    <mergeCell ref="E49:F49"/>
    <mergeCell ref="G49:H49"/>
    <mergeCell ref="I49:J49"/>
    <mergeCell ref="K49:L49"/>
    <mergeCell ref="M49:N49"/>
    <mergeCell ref="O49:P49"/>
    <mergeCell ref="Y49:Z49"/>
    <mergeCell ref="AA49:AB49"/>
    <mergeCell ref="W48:X48"/>
    <mergeCell ref="Y48:Z48"/>
    <mergeCell ref="AA48:AB48"/>
    <mergeCell ref="Q49:R49"/>
    <mergeCell ref="S49:T49"/>
    <mergeCell ref="U49:V49"/>
    <mergeCell ref="W49:X49"/>
    <mergeCell ref="AC47:AD47"/>
    <mergeCell ref="E48:F48"/>
    <mergeCell ref="G48:H48"/>
    <mergeCell ref="I48:J48"/>
    <mergeCell ref="K48:L48"/>
    <mergeCell ref="M48:N48"/>
    <mergeCell ref="O48:P48"/>
    <mergeCell ref="Q48:R48"/>
    <mergeCell ref="S48:T48"/>
    <mergeCell ref="U48:V48"/>
    <mergeCell ref="AC48:AD48"/>
    <mergeCell ref="Y47:Z47"/>
    <mergeCell ref="AA47:AB47"/>
    <mergeCell ref="E47:F47"/>
    <mergeCell ref="G47:H47"/>
    <mergeCell ref="I47:J47"/>
    <mergeCell ref="K47:L47"/>
    <mergeCell ref="M47:N47"/>
    <mergeCell ref="O47:P47"/>
    <mergeCell ref="Q47:R47"/>
    <mergeCell ref="S47:T47"/>
    <mergeCell ref="U47:V47"/>
    <mergeCell ref="W47:X47"/>
    <mergeCell ref="E46:F46"/>
    <mergeCell ref="G46:H46"/>
    <mergeCell ref="I46:J46"/>
    <mergeCell ref="K46:L46"/>
    <mergeCell ref="W46:X46"/>
    <mergeCell ref="Y46:Z46"/>
    <mergeCell ref="AA46:AB46"/>
    <mergeCell ref="AC44:AD44"/>
    <mergeCell ref="AC45:AD45"/>
    <mergeCell ref="AC46:AD46"/>
    <mergeCell ref="AA44:AB44"/>
    <mergeCell ref="W44:X44"/>
    <mergeCell ref="Y44:Z44"/>
    <mergeCell ref="U46:V46"/>
    <mergeCell ref="O44:P44"/>
    <mergeCell ref="Q44:R44"/>
    <mergeCell ref="S44:T44"/>
    <mergeCell ref="U44:V44"/>
    <mergeCell ref="M46:N46"/>
    <mergeCell ref="O46:P46"/>
    <mergeCell ref="Q46:R46"/>
    <mergeCell ref="S46:T46"/>
    <mergeCell ref="F8:H8"/>
    <mergeCell ref="K8:M8"/>
    <mergeCell ref="F35:H35"/>
    <mergeCell ref="E44:F44"/>
    <mergeCell ref="G44:H44"/>
    <mergeCell ref="I44:J44"/>
    <mergeCell ref="K44:L44"/>
    <mergeCell ref="M44:N44"/>
    <mergeCell ref="F10:H10"/>
    <mergeCell ref="F12:H12"/>
    <mergeCell ref="K10:L10"/>
    <mergeCell ref="K12:L12"/>
    <mergeCell ref="K14:L14"/>
    <mergeCell ref="K16:L16"/>
    <mergeCell ref="K18:L18"/>
    <mergeCell ref="K20:L20"/>
    <mergeCell ref="K22:L22"/>
    <mergeCell ref="F14:H14"/>
    <mergeCell ref="F16:H16"/>
    <mergeCell ref="F18:H18"/>
    <mergeCell ref="F20:H20"/>
    <mergeCell ref="F22:H22"/>
    <mergeCell ref="K32:L32"/>
    <mergeCell ref="K35:L35"/>
    <mergeCell ref="K24:L24"/>
    <mergeCell ref="K26:L26"/>
    <mergeCell ref="K28:L28"/>
    <mergeCell ref="K30:L30"/>
    <mergeCell ref="F30:H30"/>
    <mergeCell ref="F32:H32"/>
    <mergeCell ref="F34:H34"/>
    <mergeCell ref="F24:H24"/>
    <mergeCell ref="F26:H26"/>
    <mergeCell ref="F28:H28"/>
  </mergeCells>
  <phoneticPr fontId="0" type="noConversion"/>
  <pageMargins left="0.78740157480314965" right="0.19685039370078741" top="0.59055118110236227" bottom="0.98425196850393704" header="0.51181102362204722" footer="0.51181102362204722"/>
  <pageSetup paperSize="9" scale="80" orientation="portrait" verticalDpi="360" r:id="rId1"/>
  <headerFooter alignWithMargins="0">
    <oddFooter>&amp;L&amp;8LEL Schwäbisch Gmünd;  Abt. IV; LLM (WS)&amp;C&amp;8&amp;F&amp;R&amp;8&amp;D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pageSetUpPr fitToPage="1"/>
  </sheetPr>
  <dimension ref="A1:AM79"/>
  <sheetViews>
    <sheetView showGridLines="0" showZeros="0" workbookViewId="0">
      <pane ySplit="16" topLeftCell="A17" activePane="bottomLeft" state="frozen"/>
      <selection pane="bottomLeft" activeCell="A17" sqref="A17"/>
    </sheetView>
  </sheetViews>
  <sheetFormatPr baseColWidth="10" defaultColWidth="3.7109375" defaultRowHeight="12.2" customHeight="1"/>
  <cols>
    <col min="1" max="1" width="0.5703125" customWidth="1"/>
    <col min="2" max="2" width="2.28515625" customWidth="1"/>
  </cols>
  <sheetData>
    <row r="1" spans="2:34" ht="6.4" customHeight="1" thickBot="1">
      <c r="B1" s="229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1"/>
    </row>
    <row r="2" spans="2:34" ht="16.149999999999999" customHeight="1" thickBot="1">
      <c r="B2" s="232"/>
      <c r="C2" s="233" t="s">
        <v>495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234"/>
      <c r="S2" s="4"/>
      <c r="T2" s="3"/>
      <c r="U2" s="3"/>
      <c r="V2" s="3"/>
      <c r="W2" s="3"/>
      <c r="X2" s="3"/>
      <c r="Y2" s="2010" t="s">
        <v>494</v>
      </c>
      <c r="Z2" s="2011"/>
      <c r="AA2" s="2011"/>
      <c r="AB2" s="2011"/>
      <c r="AC2" s="2012"/>
      <c r="AD2" s="3"/>
      <c r="AE2" s="3"/>
      <c r="AF2" s="3"/>
      <c r="AG2" s="3"/>
      <c r="AH2" s="235"/>
    </row>
    <row r="3" spans="2:34" ht="6.4" customHeight="1">
      <c r="B3" s="23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235"/>
    </row>
    <row r="4" spans="2:34" ht="12.2" customHeight="1">
      <c r="B4" s="232"/>
      <c r="C4" s="236" t="s">
        <v>496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235"/>
    </row>
    <row r="5" spans="2:34" ht="12.2" customHeight="1">
      <c r="B5" s="232"/>
      <c r="C5" s="236" t="s">
        <v>497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235"/>
    </row>
    <row r="6" spans="2:34" ht="12.2" customHeight="1">
      <c r="B6" s="232"/>
      <c r="C6" s="236" t="s">
        <v>498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235"/>
    </row>
    <row r="7" spans="2:34" ht="12.2" customHeight="1">
      <c r="B7" s="232"/>
      <c r="C7" s="236" t="s">
        <v>499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235"/>
    </row>
    <row r="8" spans="2:34" ht="12.2" customHeight="1">
      <c r="B8" s="232"/>
      <c r="C8" s="236" t="s">
        <v>576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235"/>
    </row>
    <row r="9" spans="2:34" ht="12.2" customHeight="1">
      <c r="B9" s="232"/>
      <c r="C9" s="36" t="s">
        <v>28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235"/>
    </row>
    <row r="10" spans="2:34" ht="12.2" customHeight="1">
      <c r="B10" s="232"/>
      <c r="C10" s="236" t="s">
        <v>500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235"/>
    </row>
    <row r="11" spans="2:34" ht="12.2" customHeight="1">
      <c r="B11" s="232"/>
      <c r="C11" s="236" t="s">
        <v>29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235"/>
    </row>
    <row r="12" spans="2:34" ht="12.2" customHeight="1">
      <c r="B12" s="232"/>
      <c r="C12" s="236" t="s">
        <v>30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235"/>
    </row>
    <row r="13" spans="2:34" ht="5.0999999999999996" customHeight="1">
      <c r="B13" s="232"/>
      <c r="C13" s="1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235"/>
    </row>
    <row r="14" spans="2:34" ht="12.2" customHeight="1">
      <c r="B14" s="232"/>
      <c r="C14" s="236" t="s">
        <v>56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235"/>
    </row>
    <row r="15" spans="2:34" ht="6.4" customHeight="1">
      <c r="B15" s="237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38"/>
      <c r="AA15" s="238"/>
      <c r="AB15" s="238"/>
      <c r="AC15" s="238"/>
      <c r="AD15" s="238"/>
      <c r="AE15" s="238"/>
      <c r="AF15" s="238"/>
      <c r="AG15" s="238"/>
      <c r="AH15" s="239"/>
    </row>
    <row r="17" spans="1:34" ht="6.4" customHeight="1">
      <c r="A17" s="8"/>
      <c r="B17" s="220"/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2"/>
      <c r="R17" s="216"/>
      <c r="S17" s="220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2"/>
    </row>
    <row r="18" spans="1:34" ht="12.2" customHeight="1">
      <c r="B18" s="223"/>
      <c r="C18" s="217" t="s">
        <v>243</v>
      </c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9"/>
      <c r="Q18" s="224"/>
      <c r="R18" s="216"/>
      <c r="S18" s="223"/>
      <c r="T18" s="217" t="s">
        <v>254</v>
      </c>
      <c r="U18" s="218"/>
      <c r="V18" s="218"/>
      <c r="W18" s="218"/>
      <c r="X18" s="218"/>
      <c r="Y18" s="218"/>
      <c r="Z18" s="218"/>
      <c r="AA18" s="218"/>
      <c r="AB18" s="218"/>
      <c r="AC18" s="218"/>
      <c r="AD18" s="218"/>
      <c r="AE18" s="218"/>
      <c r="AF18" s="218"/>
      <c r="AG18" s="219"/>
      <c r="AH18" s="224"/>
    </row>
    <row r="19" spans="1:34" ht="6.4" customHeight="1">
      <c r="B19" s="223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224"/>
      <c r="R19" s="216"/>
      <c r="S19" s="223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224"/>
    </row>
    <row r="20" spans="1:34" ht="12.2" customHeight="1">
      <c r="B20" s="223"/>
      <c r="C20" s="225" t="s">
        <v>244</v>
      </c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4"/>
      <c r="R20" s="216"/>
      <c r="S20" s="223"/>
      <c r="T20" s="225" t="s">
        <v>255</v>
      </c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4"/>
    </row>
    <row r="21" spans="1:34" ht="12.2" customHeight="1">
      <c r="B21" s="223"/>
      <c r="C21" s="225" t="s">
        <v>245</v>
      </c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4"/>
      <c r="R21" s="216"/>
      <c r="S21" s="223"/>
      <c r="T21" s="225" t="s">
        <v>256</v>
      </c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4"/>
    </row>
    <row r="22" spans="1:34" ht="12.2" customHeight="1">
      <c r="B22" s="223"/>
      <c r="C22" s="225" t="s">
        <v>246</v>
      </c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4"/>
      <c r="R22" s="216"/>
      <c r="S22" s="223"/>
      <c r="T22" s="225" t="s">
        <v>257</v>
      </c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4"/>
    </row>
    <row r="23" spans="1:34" ht="12.2" customHeight="1">
      <c r="B23" s="223"/>
      <c r="C23" s="225" t="s">
        <v>247</v>
      </c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4"/>
      <c r="R23" s="216"/>
      <c r="S23" s="223"/>
      <c r="T23" s="225" t="s">
        <v>258</v>
      </c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4"/>
    </row>
    <row r="24" spans="1:34" ht="12.2" customHeight="1">
      <c r="B24" s="223"/>
      <c r="C24" s="225" t="s">
        <v>248</v>
      </c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4"/>
      <c r="R24" s="216"/>
      <c r="S24" s="223"/>
      <c r="T24" s="225" t="s">
        <v>259</v>
      </c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4"/>
    </row>
    <row r="25" spans="1:34" ht="12.2" customHeight="1">
      <c r="B25" s="223"/>
      <c r="C25" s="225" t="s">
        <v>249</v>
      </c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4"/>
      <c r="R25" s="216"/>
      <c r="S25" s="223"/>
      <c r="T25" s="225" t="s">
        <v>260</v>
      </c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4"/>
    </row>
    <row r="26" spans="1:34" ht="12.2" customHeight="1">
      <c r="B26" s="223"/>
      <c r="C26" s="225" t="s">
        <v>250</v>
      </c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4"/>
      <c r="R26" s="216"/>
      <c r="S26" s="223"/>
      <c r="T26" s="225" t="s">
        <v>261</v>
      </c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4"/>
    </row>
    <row r="27" spans="1:34" ht="12.2" customHeight="1">
      <c r="B27" s="223"/>
      <c r="C27" s="225" t="s">
        <v>251</v>
      </c>
      <c r="D27" s="225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4"/>
      <c r="R27" s="216"/>
      <c r="S27" s="223"/>
      <c r="T27" s="225" t="s">
        <v>262</v>
      </c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4"/>
    </row>
    <row r="28" spans="1:34" ht="12.2" customHeight="1">
      <c r="B28" s="223"/>
      <c r="C28" s="225" t="s">
        <v>252</v>
      </c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4"/>
      <c r="R28" s="216"/>
      <c r="S28" s="223"/>
      <c r="T28" s="225" t="s">
        <v>263</v>
      </c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4"/>
    </row>
    <row r="29" spans="1:34" ht="12.2" customHeight="1">
      <c r="B29" s="223"/>
      <c r="C29" s="225" t="s">
        <v>253</v>
      </c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4"/>
      <c r="R29" s="216"/>
      <c r="S29" s="223"/>
      <c r="T29" s="225" t="s">
        <v>264</v>
      </c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4"/>
    </row>
    <row r="30" spans="1:34" ht="6.4" customHeight="1">
      <c r="B30" s="226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8"/>
      <c r="R30" s="216"/>
      <c r="S30" s="226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8"/>
    </row>
    <row r="31" spans="1:34" ht="12.2" customHeight="1"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</row>
    <row r="32" spans="1:34" ht="6.4" customHeight="1">
      <c r="B32" s="220"/>
      <c r="C32" s="22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  <c r="O32" s="221"/>
      <c r="P32" s="221"/>
      <c r="Q32" s="222"/>
      <c r="R32" s="216"/>
      <c r="S32" s="220"/>
      <c r="T32" s="221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2"/>
    </row>
    <row r="33" spans="2:39" ht="12.2" customHeight="1">
      <c r="B33" s="223"/>
      <c r="C33" s="217" t="s">
        <v>265</v>
      </c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9"/>
      <c r="Q33" s="224"/>
      <c r="R33" s="216"/>
      <c r="S33" s="223"/>
      <c r="T33" s="217" t="s">
        <v>274</v>
      </c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9"/>
      <c r="AH33" s="224"/>
    </row>
    <row r="34" spans="2:39" ht="6.4" customHeight="1">
      <c r="B34" s="223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224"/>
      <c r="R34" s="216"/>
      <c r="S34" s="223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224"/>
    </row>
    <row r="35" spans="2:39" ht="12.2" customHeight="1">
      <c r="B35" s="223"/>
      <c r="C35" s="240" t="s">
        <v>266</v>
      </c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4"/>
      <c r="R35" s="216"/>
      <c r="S35" s="223"/>
      <c r="T35" s="225" t="s">
        <v>275</v>
      </c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4"/>
    </row>
    <row r="36" spans="2:39" ht="12.2" customHeight="1">
      <c r="B36" s="223"/>
      <c r="C36" s="240" t="s">
        <v>267</v>
      </c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4"/>
      <c r="R36" s="216"/>
      <c r="S36" s="223"/>
      <c r="T36" s="225" t="s">
        <v>276</v>
      </c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4"/>
    </row>
    <row r="37" spans="2:39" ht="12.2" customHeight="1">
      <c r="B37" s="223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4"/>
      <c r="R37" s="216"/>
      <c r="S37" s="223"/>
      <c r="T37" s="225" t="s">
        <v>277</v>
      </c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4"/>
    </row>
    <row r="38" spans="2:39" ht="12.2" customHeight="1">
      <c r="B38" s="223"/>
      <c r="C38" s="225" t="s">
        <v>268</v>
      </c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4"/>
      <c r="R38" s="216"/>
      <c r="S38" s="223"/>
      <c r="T38" s="225" t="s">
        <v>278</v>
      </c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4"/>
    </row>
    <row r="39" spans="2:39" ht="12.2" customHeight="1">
      <c r="B39" s="223"/>
      <c r="C39" s="225" t="s">
        <v>269</v>
      </c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4"/>
      <c r="R39" s="216"/>
      <c r="S39" s="223"/>
      <c r="T39" s="225" t="s">
        <v>279</v>
      </c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4"/>
    </row>
    <row r="40" spans="2:39" ht="12.2" customHeight="1">
      <c r="B40" s="223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4"/>
      <c r="R40" s="216"/>
      <c r="S40" s="223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4"/>
    </row>
    <row r="41" spans="2:39" ht="12.2" customHeight="1">
      <c r="B41" s="223"/>
      <c r="C41" s="225" t="s">
        <v>270</v>
      </c>
      <c r="D41" s="225"/>
      <c r="E41" s="225"/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4"/>
      <c r="R41" s="216"/>
      <c r="S41" s="223"/>
      <c r="T41" s="225" t="s">
        <v>280</v>
      </c>
      <c r="U41" s="225"/>
      <c r="V41" s="225"/>
      <c r="W41" s="225"/>
      <c r="X41" s="225"/>
      <c r="Y41" s="225"/>
      <c r="Z41" s="225"/>
      <c r="AA41" s="225"/>
      <c r="AB41" s="225"/>
      <c r="AC41" s="225"/>
      <c r="AD41" s="225"/>
      <c r="AE41" s="225"/>
      <c r="AF41" s="225"/>
      <c r="AG41" s="225"/>
      <c r="AH41" s="224"/>
    </row>
    <row r="42" spans="2:39" ht="12.2" customHeight="1">
      <c r="B42" s="223"/>
      <c r="C42" s="225" t="s">
        <v>271</v>
      </c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4"/>
      <c r="R42" s="216"/>
      <c r="S42" s="223"/>
      <c r="T42" s="225" t="s">
        <v>281</v>
      </c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4"/>
      <c r="AM42" s="845"/>
    </row>
    <row r="43" spans="2:39" ht="12.2" customHeight="1">
      <c r="B43" s="223"/>
      <c r="C43" t="s">
        <v>272</v>
      </c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4"/>
      <c r="R43" s="216"/>
      <c r="S43" s="223"/>
      <c r="T43" s="225" t="s">
        <v>282</v>
      </c>
      <c r="U43" s="225"/>
      <c r="V43" s="225"/>
      <c r="W43" s="225"/>
      <c r="X43" s="225"/>
      <c r="Y43" s="225"/>
      <c r="Z43" s="225"/>
      <c r="AA43" s="225"/>
      <c r="AB43" s="225"/>
      <c r="AC43" s="225"/>
      <c r="AD43" s="225"/>
      <c r="AE43" s="225"/>
      <c r="AF43" s="225"/>
      <c r="AG43" s="225"/>
      <c r="AH43" s="224"/>
    </row>
    <row r="44" spans="2:39" ht="12.2" customHeight="1">
      <c r="B44" s="223"/>
      <c r="C44" t="s">
        <v>273</v>
      </c>
      <c r="D44" s="225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4"/>
      <c r="R44" s="216"/>
      <c r="S44" s="223"/>
      <c r="T44" s="225" t="s">
        <v>283</v>
      </c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4"/>
    </row>
    <row r="45" spans="2:39" ht="6.4" customHeight="1">
      <c r="B45" s="226"/>
      <c r="C45" s="227"/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8"/>
      <c r="R45" s="216"/>
      <c r="S45" s="226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8"/>
    </row>
    <row r="46" spans="2:39" ht="12.2" customHeight="1">
      <c r="B46" s="216"/>
      <c r="C46" s="216"/>
      <c r="D46" s="216"/>
      <c r="E46" s="216"/>
      <c r="F46" s="216"/>
      <c r="G46" s="216"/>
      <c r="H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</row>
    <row r="47" spans="2:39" ht="6.4" customHeight="1">
      <c r="B47" s="220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2"/>
      <c r="R47" s="216"/>
      <c r="S47" s="220"/>
      <c r="T47" s="221"/>
      <c r="U47" s="221"/>
      <c r="V47" s="221"/>
      <c r="W47" s="221"/>
      <c r="X47" s="221"/>
      <c r="Y47" s="221"/>
      <c r="Z47" s="221"/>
      <c r="AA47" s="221"/>
      <c r="AB47" s="221"/>
      <c r="AC47" s="221"/>
      <c r="AD47" s="221"/>
      <c r="AE47" s="221"/>
      <c r="AF47" s="221"/>
      <c r="AG47" s="221"/>
      <c r="AH47" s="222"/>
    </row>
    <row r="48" spans="2:39" ht="12.2" customHeight="1">
      <c r="B48" s="223"/>
      <c r="C48" s="217" t="s">
        <v>265</v>
      </c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9"/>
      <c r="Q48" s="224"/>
      <c r="R48" s="216"/>
      <c r="S48" s="223"/>
      <c r="T48" s="217" t="s">
        <v>243</v>
      </c>
      <c r="U48" s="218"/>
      <c r="V48" s="218"/>
      <c r="W48" s="218"/>
      <c r="X48" s="218"/>
      <c r="Y48" s="218"/>
      <c r="Z48" s="218"/>
      <c r="AA48" s="218"/>
      <c r="AB48" s="218"/>
      <c r="AC48" s="218"/>
      <c r="AD48" s="218"/>
      <c r="AE48" s="218"/>
      <c r="AF48" s="218"/>
      <c r="AG48" s="219"/>
      <c r="AH48" s="224"/>
    </row>
    <row r="49" spans="2:34" ht="6.4" customHeight="1">
      <c r="B49" s="223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224"/>
      <c r="R49" s="216"/>
      <c r="S49" s="223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224"/>
    </row>
    <row r="50" spans="2:34" ht="12.2" customHeight="1">
      <c r="B50" s="223"/>
      <c r="C50" s="225" t="s">
        <v>284</v>
      </c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4"/>
      <c r="R50" s="216"/>
      <c r="S50" s="223"/>
      <c r="T50" s="225" t="s">
        <v>293</v>
      </c>
      <c r="U50" s="225"/>
      <c r="V50" s="225"/>
      <c r="W50" s="225"/>
      <c r="X50" s="225"/>
      <c r="Y50" s="225"/>
      <c r="Z50" s="225"/>
      <c r="AA50" s="225"/>
      <c r="AB50" s="225"/>
      <c r="AC50" s="225"/>
      <c r="AD50" s="225"/>
      <c r="AE50" s="225"/>
      <c r="AF50" s="225"/>
      <c r="AG50" s="225"/>
      <c r="AH50" s="224"/>
    </row>
    <row r="51" spans="2:34" ht="12.2" customHeight="1">
      <c r="B51" s="223"/>
      <c r="C51" s="225" t="s">
        <v>285</v>
      </c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4"/>
      <c r="R51" s="216"/>
      <c r="S51" s="223"/>
      <c r="T51" s="225" t="s">
        <v>294</v>
      </c>
      <c r="U51" s="225"/>
      <c r="V51" s="225"/>
      <c r="W51" s="225"/>
      <c r="X51" s="225"/>
      <c r="Y51" s="225"/>
      <c r="Z51" s="225"/>
      <c r="AA51" s="225"/>
      <c r="AB51" s="225"/>
      <c r="AC51" s="225"/>
      <c r="AD51" s="225"/>
      <c r="AE51" s="225"/>
      <c r="AF51" s="225"/>
      <c r="AG51" s="225"/>
      <c r="AH51" s="224"/>
    </row>
    <row r="52" spans="2:34" ht="12.2" customHeight="1">
      <c r="B52" s="223"/>
      <c r="C52" s="225" t="s">
        <v>286</v>
      </c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  <c r="O52" s="225"/>
      <c r="P52" s="225"/>
      <c r="Q52" s="224"/>
      <c r="R52" s="216"/>
      <c r="S52" s="223"/>
      <c r="T52" s="225" t="s">
        <v>295</v>
      </c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4"/>
    </row>
    <row r="53" spans="2:34" ht="12.2" customHeight="1">
      <c r="B53" s="223"/>
      <c r="C53" s="225"/>
      <c r="D53" s="225"/>
      <c r="E53" s="225"/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4"/>
      <c r="R53" s="216"/>
      <c r="S53" s="223"/>
      <c r="T53" s="225" t="s">
        <v>296</v>
      </c>
      <c r="U53" s="225"/>
      <c r="V53" s="225"/>
      <c r="W53" s="225"/>
      <c r="X53" s="225"/>
      <c r="Y53" s="225"/>
      <c r="Z53" s="225"/>
      <c r="AA53" s="225"/>
      <c r="AB53" s="225"/>
      <c r="AC53" s="225"/>
      <c r="AD53" s="225"/>
      <c r="AE53" s="225"/>
      <c r="AF53" s="225"/>
      <c r="AG53" s="225"/>
      <c r="AH53" s="224"/>
    </row>
    <row r="54" spans="2:34" ht="12.2" customHeight="1">
      <c r="B54" s="223"/>
      <c r="C54" s="225" t="s">
        <v>287</v>
      </c>
      <c r="D54" s="225"/>
      <c r="E54" s="225"/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P54" s="225"/>
      <c r="Q54" s="224"/>
      <c r="R54" s="216"/>
      <c r="S54" s="223"/>
      <c r="T54" s="225" t="s">
        <v>297</v>
      </c>
      <c r="U54" s="225"/>
      <c r="V54" s="225"/>
      <c r="W54" s="225"/>
      <c r="X54" s="225"/>
      <c r="Y54" s="225"/>
      <c r="Z54" s="225"/>
      <c r="AA54" s="225"/>
      <c r="AB54" s="225"/>
      <c r="AC54" s="225"/>
      <c r="AD54" s="225"/>
      <c r="AE54" s="225"/>
      <c r="AF54" s="225"/>
      <c r="AG54" s="225"/>
      <c r="AH54" s="224"/>
    </row>
    <row r="55" spans="2:34" ht="12.2" customHeight="1">
      <c r="B55" s="223"/>
      <c r="C55" s="225" t="s">
        <v>288</v>
      </c>
      <c r="D55" s="225"/>
      <c r="E55" s="225"/>
      <c r="F55" s="225"/>
      <c r="G55" s="225"/>
      <c r="H55" s="225"/>
      <c r="I55" s="225"/>
      <c r="J55" s="225"/>
      <c r="K55" s="225"/>
      <c r="L55" s="225"/>
      <c r="M55" s="225"/>
      <c r="N55" s="225"/>
      <c r="O55" s="225"/>
      <c r="P55" s="225"/>
      <c r="Q55" s="224"/>
      <c r="R55" s="216"/>
      <c r="S55" s="223"/>
      <c r="T55" s="225" t="s">
        <v>298</v>
      </c>
      <c r="U55" s="225"/>
      <c r="V55" s="225"/>
      <c r="W55" s="225"/>
      <c r="X55" s="225"/>
      <c r="Y55" s="225"/>
      <c r="Z55" s="225"/>
      <c r="AA55" s="225"/>
      <c r="AB55" s="225"/>
      <c r="AC55" s="225"/>
      <c r="AD55" s="225"/>
      <c r="AE55" s="225"/>
      <c r="AF55" s="225"/>
      <c r="AG55" s="225"/>
      <c r="AH55" s="224"/>
    </row>
    <row r="56" spans="2:34" ht="12.2" customHeight="1">
      <c r="B56" s="223"/>
      <c r="C56" s="225" t="s">
        <v>289</v>
      </c>
      <c r="D56" s="225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4"/>
      <c r="R56" s="216"/>
      <c r="S56" s="223"/>
      <c r="T56" s="225" t="s">
        <v>299</v>
      </c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25"/>
      <c r="AF56" s="225"/>
      <c r="AG56" s="225"/>
      <c r="AH56" s="224"/>
    </row>
    <row r="57" spans="2:34" ht="12.2" customHeight="1">
      <c r="B57" s="223"/>
      <c r="C57" s="225" t="s">
        <v>290</v>
      </c>
      <c r="D57" s="225"/>
      <c r="E57" s="225"/>
      <c r="F57" s="225"/>
      <c r="G57" s="225"/>
      <c r="H57" s="225"/>
      <c r="I57" s="225"/>
      <c r="J57" s="225"/>
      <c r="K57" s="225"/>
      <c r="L57" s="225"/>
      <c r="M57" s="225"/>
      <c r="N57" s="225"/>
      <c r="O57" s="225"/>
      <c r="P57" s="225"/>
      <c r="Q57" s="224"/>
      <c r="R57" s="216"/>
      <c r="S57" s="223"/>
      <c r="T57" s="225" t="s">
        <v>300</v>
      </c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4"/>
    </row>
    <row r="58" spans="2:34" ht="12.2" customHeight="1">
      <c r="B58" s="223"/>
      <c r="C58" s="225" t="s">
        <v>291</v>
      </c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4"/>
      <c r="R58" s="216"/>
      <c r="S58" s="223"/>
      <c r="T58" s="225" t="s">
        <v>301</v>
      </c>
      <c r="U58" s="225"/>
      <c r="V58" s="225"/>
      <c r="W58" s="225"/>
      <c r="X58" s="225"/>
      <c r="Y58" s="225"/>
      <c r="Z58" s="225"/>
      <c r="AA58" s="225"/>
      <c r="AB58" s="225"/>
      <c r="AC58" s="225"/>
      <c r="AD58" s="225"/>
      <c r="AE58" s="225"/>
      <c r="AF58" s="225"/>
      <c r="AG58" s="225"/>
      <c r="AH58" s="224"/>
    </row>
    <row r="59" spans="2:34" ht="12.2" customHeight="1">
      <c r="B59" s="223"/>
      <c r="C59" s="225" t="s">
        <v>292</v>
      </c>
      <c r="D59" s="225"/>
      <c r="E59" s="225"/>
      <c r="F59" s="225"/>
      <c r="G59" s="225"/>
      <c r="H59" s="225"/>
      <c r="I59" s="225"/>
      <c r="J59" s="225"/>
      <c r="K59" s="225"/>
      <c r="L59" s="225"/>
      <c r="M59" s="225"/>
      <c r="N59" s="225"/>
      <c r="O59" s="225"/>
      <c r="P59" s="225"/>
      <c r="Q59" s="224"/>
      <c r="R59" s="216"/>
      <c r="S59" s="223"/>
      <c r="T59" s="225" t="s">
        <v>302</v>
      </c>
      <c r="U59" s="225"/>
      <c r="V59" s="225"/>
      <c r="W59" s="225"/>
      <c r="X59" s="225"/>
      <c r="Y59" s="225"/>
      <c r="Z59" s="225"/>
      <c r="AA59" s="225"/>
      <c r="AB59" s="225"/>
      <c r="AC59" s="225"/>
      <c r="AD59" s="225"/>
      <c r="AE59" s="225"/>
      <c r="AF59" s="225"/>
      <c r="AG59" s="225"/>
      <c r="AH59" s="224"/>
    </row>
    <row r="60" spans="2:34" ht="6.4" customHeight="1">
      <c r="B60" s="226"/>
      <c r="C60" s="227"/>
      <c r="D60" s="227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8"/>
      <c r="R60" s="216"/>
      <c r="S60" s="226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8"/>
    </row>
    <row r="61" spans="2:34" ht="12.2" customHeight="1">
      <c r="B61" s="216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602"/>
    </row>
    <row r="62" spans="2:34" ht="12.2" customHeight="1">
      <c r="B62" s="216"/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</row>
    <row r="63" spans="2:34" ht="12.2" customHeight="1">
      <c r="B63" s="216"/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</row>
    <row r="64" spans="2:34" ht="12.2" customHeight="1"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</row>
    <row r="65" spans="2:34" ht="12.2" customHeight="1">
      <c r="B65" s="216"/>
      <c r="C65" s="216"/>
      <c r="D65" s="216"/>
      <c r="E65" s="216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</row>
    <row r="66" spans="2:34" ht="12.2" customHeight="1">
      <c r="B66" s="216"/>
      <c r="C66" s="216"/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</row>
    <row r="67" spans="2:34" ht="12.2" customHeight="1">
      <c r="B67" s="216"/>
      <c r="C67" s="216"/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</row>
    <row r="68" spans="2:34" ht="12.2" customHeight="1">
      <c r="B68" s="216"/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</row>
    <row r="69" spans="2:34" ht="12.2" customHeight="1">
      <c r="B69" s="216"/>
      <c r="C69" s="216"/>
      <c r="D69" s="216"/>
      <c r="E69" s="216"/>
      <c r="F69" s="216"/>
      <c r="G69" s="216"/>
      <c r="H69" s="216"/>
      <c r="I69" s="216"/>
      <c r="J69" s="216"/>
      <c r="K69" s="216"/>
      <c r="L69" s="216"/>
      <c r="M69" s="216"/>
      <c r="N69" s="216"/>
      <c r="O69" s="216"/>
      <c r="P69" s="216"/>
      <c r="Q69" s="216"/>
      <c r="R69" s="216"/>
      <c r="S69" s="216"/>
      <c r="T69" s="216"/>
      <c r="U69" s="216"/>
      <c r="V69" s="216"/>
      <c r="W69" s="216"/>
      <c r="X69" s="216"/>
      <c r="Y69" s="216"/>
      <c r="Z69" s="216"/>
      <c r="AA69" s="216"/>
      <c r="AB69" s="216"/>
      <c r="AC69" s="216"/>
      <c r="AD69" s="216"/>
      <c r="AE69" s="216"/>
      <c r="AF69" s="216"/>
      <c r="AG69" s="216"/>
      <c r="AH69" s="216"/>
    </row>
    <row r="70" spans="2:34" ht="12.2" customHeight="1">
      <c r="B70" s="216"/>
      <c r="C70" s="216"/>
      <c r="D70" s="216"/>
      <c r="E70" s="216"/>
      <c r="F70" s="216"/>
      <c r="G70" s="216"/>
      <c r="H70" s="216"/>
      <c r="I70" s="216"/>
      <c r="J70" s="216"/>
      <c r="K70" s="216"/>
      <c r="L70" s="216"/>
      <c r="M70" s="216"/>
      <c r="N70" s="216"/>
      <c r="O70" s="216"/>
      <c r="P70" s="216"/>
      <c r="Q70" s="216"/>
      <c r="R70" s="216"/>
      <c r="S70" s="216"/>
      <c r="T70" s="216"/>
      <c r="U70" s="216"/>
      <c r="V70" s="216"/>
      <c r="W70" s="216"/>
      <c r="X70" s="216"/>
      <c r="Y70" s="216"/>
      <c r="Z70" s="216"/>
      <c r="AA70" s="216"/>
      <c r="AB70" s="216"/>
      <c r="AC70" s="216"/>
      <c r="AD70" s="216"/>
      <c r="AE70" s="216"/>
      <c r="AF70" s="216"/>
      <c r="AG70" s="216"/>
      <c r="AH70" s="216"/>
    </row>
    <row r="71" spans="2:34" ht="12.2" customHeight="1"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</row>
    <row r="72" spans="2:34" ht="12.2" customHeight="1"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16"/>
      <c r="O72" s="216"/>
      <c r="P72" s="216"/>
      <c r="Q72" s="216"/>
      <c r="R72" s="216"/>
      <c r="S72" s="216"/>
      <c r="T72" s="216"/>
      <c r="U72" s="216"/>
      <c r="V72" s="216"/>
      <c r="W72" s="216"/>
      <c r="X72" s="216"/>
      <c r="Y72" s="216"/>
      <c r="Z72" s="216"/>
      <c r="AA72" s="216"/>
      <c r="AB72" s="216"/>
      <c r="AC72" s="216"/>
      <c r="AD72" s="216"/>
      <c r="AE72" s="216"/>
      <c r="AF72" s="216"/>
      <c r="AG72" s="216"/>
      <c r="AH72" s="216"/>
    </row>
    <row r="73" spans="2:34" ht="12.2" customHeight="1">
      <c r="B73" s="216"/>
      <c r="C73" s="216"/>
      <c r="D73" s="216"/>
      <c r="E73" s="216"/>
      <c r="F73" s="216"/>
      <c r="G73" s="216"/>
      <c r="H73" s="216"/>
      <c r="I73" s="216"/>
      <c r="J73" s="216"/>
      <c r="K73" s="216"/>
      <c r="L73" s="216"/>
      <c r="M73" s="216"/>
      <c r="N73" s="216"/>
      <c r="O73" s="216"/>
      <c r="P73" s="216"/>
      <c r="Q73" s="216"/>
      <c r="R73" s="216"/>
      <c r="S73" s="216"/>
      <c r="T73" s="216"/>
      <c r="U73" s="216"/>
      <c r="V73" s="216"/>
      <c r="W73" s="216"/>
      <c r="X73" s="216"/>
      <c r="Y73" s="216"/>
      <c r="Z73" s="216"/>
      <c r="AA73" s="216"/>
      <c r="AB73" s="216"/>
      <c r="AC73" s="216"/>
      <c r="AD73" s="216"/>
      <c r="AE73" s="216"/>
      <c r="AF73" s="216"/>
      <c r="AG73" s="216"/>
      <c r="AH73" s="216"/>
    </row>
    <row r="74" spans="2:34" ht="12.2" customHeight="1">
      <c r="B74" s="216"/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</row>
    <row r="75" spans="2:34" ht="12.2" customHeight="1">
      <c r="B75" s="216"/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</row>
    <row r="76" spans="2:34" ht="12.2" customHeight="1">
      <c r="B76" s="216"/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</row>
    <row r="77" spans="2:34" ht="12.2" customHeight="1">
      <c r="B77" s="216"/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</row>
    <row r="78" spans="2:34" ht="12.2" customHeight="1">
      <c r="B78" s="216"/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</row>
    <row r="79" spans="2:34" ht="12.2" customHeight="1">
      <c r="B79" s="216"/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</row>
  </sheetData>
  <sheetProtection password="F30F" sheet="1"/>
  <mergeCells count="1">
    <mergeCell ref="Y2:AC2"/>
  </mergeCells>
  <phoneticPr fontId="0" type="noConversion"/>
  <hyperlinks>
    <hyperlink ref="Y2:AC2" location="Programmbeschreibung!A155:A255" display="Zurück"/>
  </hyperlinks>
  <pageMargins left="0.39370078740157483" right="0.19685039370078741" top="0.98425196850393704" bottom="0.98425196850393704" header="0.51181102362204722" footer="0.51181102362204722"/>
  <pageSetup paperSize="9" scale="82" orientation="portrait" verticalDpi="360" r:id="rId1"/>
  <headerFooter alignWithMargins="0">
    <oddFooter>&amp;L&amp;8LEL Schwäbisch Gmünd; Abt. IV; LLM (WS)&amp;C&amp;8&amp;F&amp;R&amp;8&amp;D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HX729"/>
  <sheetViews>
    <sheetView showGridLines="0" showZeros="0" zoomScaleNormal="100" workbookViewId="0">
      <selection activeCell="O5" sqref="O5:Z7"/>
    </sheetView>
  </sheetViews>
  <sheetFormatPr baseColWidth="10" defaultColWidth="12.7109375" defaultRowHeight="12.75"/>
  <cols>
    <col min="1" max="1" width="3.5703125" style="192" customWidth="1"/>
    <col min="2" max="2" width="10.7109375" style="705" hidden="1" customWidth="1"/>
    <col min="3" max="4" width="2.7109375" style="192" customWidth="1"/>
    <col min="5" max="5" width="0.85546875" style="192" customWidth="1"/>
    <col min="6" max="6" width="3.28515625" style="192" customWidth="1"/>
    <col min="7" max="9" width="3.7109375" style="192" customWidth="1"/>
    <col min="10" max="13" width="4.28515625" style="192" customWidth="1"/>
    <col min="14" max="14" width="1.85546875" style="192" customWidth="1"/>
    <col min="15" max="16" width="4.28515625" style="192" customWidth="1"/>
    <col min="17" max="17" width="3.7109375" style="192" customWidth="1"/>
    <col min="18" max="18" width="5.7109375" style="192" customWidth="1"/>
    <col min="19" max="19" width="7.28515625" style="192" customWidth="1"/>
    <col min="20" max="21" width="3.7109375" style="192" customWidth="1"/>
    <col min="22" max="23" width="4.28515625" style="192" customWidth="1"/>
    <col min="24" max="24" width="1.85546875" style="192" customWidth="1"/>
    <col min="25" max="25" width="3.42578125" style="192" customWidth="1"/>
    <col min="26" max="26" width="6.5703125" style="192" customWidth="1"/>
    <col min="27" max="27" width="1.140625" style="192" customWidth="1"/>
    <col min="28" max="28" width="1.140625" style="245" customWidth="1"/>
    <col min="29" max="29" width="0.5703125" style="251" customWidth="1"/>
    <col min="30" max="34" width="2" style="192" customWidth="1"/>
    <col min="35" max="35" width="0.5703125" style="192" customWidth="1"/>
    <col min="36" max="40" width="2" style="192" customWidth="1"/>
    <col min="41" max="41" width="0.5703125" style="192" customWidth="1"/>
    <col min="42" max="42" width="2.7109375" style="192" customWidth="1"/>
    <col min="43" max="43" width="0.85546875" style="192" customWidth="1"/>
    <col min="44" max="44" width="2.7109375" style="192" customWidth="1"/>
    <col min="45" max="45" width="0.85546875" style="192" customWidth="1"/>
    <col min="46" max="46" width="10.7109375" style="192" customWidth="1"/>
    <col min="47" max="50" width="3.7109375" style="192" customWidth="1"/>
    <col min="51" max="51" width="6.7109375" style="192" customWidth="1"/>
    <col min="52" max="53" width="3.7109375" style="192" customWidth="1"/>
    <col min="54" max="54" width="5.7109375" style="192" customWidth="1"/>
    <col min="55" max="56" width="3.7109375" style="192" customWidth="1"/>
    <col min="57" max="57" width="3.7109375" style="246" customWidth="1"/>
    <col min="58" max="58" width="3.7109375" style="192" customWidth="1"/>
    <col min="59" max="59" width="3.7109375" style="246" customWidth="1"/>
    <col min="60" max="74" width="3.7109375" style="192" customWidth="1"/>
    <col min="75" max="75" width="3.7109375" style="246" customWidth="1"/>
    <col min="76" max="90" width="3.7109375" style="192" customWidth="1"/>
    <col min="91" max="91" width="3.7109375" style="246" customWidth="1"/>
    <col min="92" max="106" width="3.7109375" style="192" customWidth="1"/>
    <col min="107" max="107" width="3.7109375" style="246" customWidth="1"/>
    <col min="108" max="119" width="3.7109375" style="192" customWidth="1"/>
    <col min="120" max="120" width="3.7109375" style="246" customWidth="1"/>
    <col min="121" max="164" width="3.7109375" style="192" customWidth="1"/>
    <col min="165" max="165" width="5.7109375" style="192" customWidth="1"/>
    <col min="166" max="166" width="16.5703125" style="192" customWidth="1"/>
    <col min="167" max="167" width="3.7109375" style="192" customWidth="1"/>
    <col min="168" max="168" width="16.5703125" style="192" customWidth="1"/>
    <col min="169" max="169" width="3.7109375" style="192" customWidth="1"/>
    <col min="170" max="170" width="16.5703125" style="192" customWidth="1"/>
    <col min="171" max="171" width="5.5703125" style="246" customWidth="1"/>
    <col min="172" max="172" width="4.5703125" style="956" customWidth="1"/>
    <col min="173" max="173" width="16.5703125" style="192" customWidth="1"/>
    <col min="174" max="174" width="5.7109375" style="618" customWidth="1"/>
    <col min="175" max="175" width="3.7109375" style="418" customWidth="1"/>
    <col min="176" max="197" width="3.7109375" style="192" customWidth="1"/>
    <col min="198" max="198" width="3.7109375" style="247" customWidth="1"/>
    <col min="199" max="204" width="3.7109375" style="192" customWidth="1"/>
    <col min="205" max="230" width="12.7109375" style="192" customWidth="1"/>
    <col min="231" max="231" width="2.7109375" style="192" customWidth="1"/>
    <col min="232" max="16384" width="12.7109375" style="192"/>
  </cols>
  <sheetData>
    <row r="1" spans="1:198" ht="3.2" customHeight="1">
      <c r="A1" s="244"/>
      <c r="D1" s="21"/>
      <c r="E1" s="21"/>
      <c r="F1" s="21"/>
      <c r="G1" s="21"/>
      <c r="H1" s="21"/>
      <c r="I1" s="21"/>
      <c r="J1" s="21"/>
      <c r="K1" s="21"/>
      <c r="AC1" s="192"/>
    </row>
    <row r="2" spans="1:198" ht="3.2" customHeight="1">
      <c r="D2" s="1690" t="s">
        <v>341</v>
      </c>
      <c r="E2" s="1690"/>
      <c r="F2" s="1690"/>
      <c r="G2" s="1690"/>
      <c r="H2" s="1690"/>
      <c r="I2" s="1690"/>
      <c r="J2" s="1690"/>
      <c r="K2" s="22"/>
      <c r="L2" s="23"/>
      <c r="N2" s="248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50"/>
      <c r="AB2" s="251"/>
      <c r="AC2" s="192"/>
    </row>
    <row r="3" spans="1:198" ht="12.75" customHeight="1">
      <c r="D3" s="1690"/>
      <c r="E3" s="1690"/>
      <c r="F3" s="1690"/>
      <c r="G3" s="1690"/>
      <c r="H3" s="1690"/>
      <c r="I3" s="1690"/>
      <c r="J3" s="1690"/>
      <c r="K3" s="22"/>
      <c r="L3" s="252"/>
      <c r="N3" s="253"/>
      <c r="O3" s="254" t="s">
        <v>40</v>
      </c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5"/>
      <c r="AB3" s="61"/>
      <c r="AC3" s="61"/>
      <c r="AD3" s="61"/>
      <c r="AE3" s="61"/>
      <c r="AF3" s="61"/>
      <c r="AG3" s="61"/>
      <c r="AH3" s="61"/>
      <c r="AI3" s="61"/>
      <c r="AJ3" s="61"/>
      <c r="AK3" s="256"/>
      <c r="AL3" s="61"/>
    </row>
    <row r="4" spans="1:198" ht="3.2" customHeight="1">
      <c r="D4" s="1690"/>
      <c r="E4" s="1690"/>
      <c r="F4" s="1690"/>
      <c r="G4" s="1690"/>
      <c r="H4" s="1690"/>
      <c r="I4" s="1690"/>
      <c r="J4" s="1690"/>
      <c r="K4" s="22"/>
      <c r="L4" s="257"/>
      <c r="N4" s="258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60"/>
      <c r="AB4" s="192"/>
      <c r="AC4" s="192"/>
    </row>
    <row r="5" spans="1:198" ht="12.75" customHeight="1">
      <c r="D5" s="1690"/>
      <c r="E5" s="1690"/>
      <c r="F5" s="1690"/>
      <c r="G5" s="1690"/>
      <c r="H5" s="1690"/>
      <c r="I5" s="1690"/>
      <c r="J5" s="1690"/>
      <c r="K5" s="22"/>
      <c r="L5" s="252"/>
      <c r="N5" s="253"/>
      <c r="O5" s="1697"/>
      <c r="P5" s="1698"/>
      <c r="Q5" s="1698"/>
      <c r="R5" s="1698"/>
      <c r="S5" s="1698"/>
      <c r="T5" s="1698"/>
      <c r="U5" s="1698"/>
      <c r="V5" s="1698"/>
      <c r="W5" s="1698"/>
      <c r="X5" s="1698"/>
      <c r="Y5" s="1698"/>
      <c r="Z5" s="1699"/>
      <c r="AA5" s="255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P5" s="653"/>
      <c r="AQ5" s="653"/>
      <c r="AR5" s="653"/>
      <c r="AS5" s="653"/>
      <c r="AT5" s="1366"/>
    </row>
    <row r="6" spans="1:198" ht="3.2" customHeight="1">
      <c r="D6" s="1690"/>
      <c r="E6" s="1690"/>
      <c r="F6" s="1690"/>
      <c r="G6" s="1690"/>
      <c r="H6" s="1690"/>
      <c r="I6" s="1690"/>
      <c r="J6" s="1690"/>
      <c r="K6" s="22"/>
      <c r="L6" s="257"/>
      <c r="N6" s="258"/>
      <c r="O6" s="1700"/>
      <c r="P6" s="1701"/>
      <c r="Q6" s="1701"/>
      <c r="R6" s="1701"/>
      <c r="S6" s="1701"/>
      <c r="T6" s="1701"/>
      <c r="U6" s="1701"/>
      <c r="V6" s="1701"/>
      <c r="W6" s="1701"/>
      <c r="X6" s="1701"/>
      <c r="Y6" s="1701"/>
      <c r="Z6" s="1702"/>
      <c r="AA6" s="260"/>
      <c r="AB6" s="192"/>
      <c r="AC6" s="192"/>
      <c r="AP6" s="653" t="s">
        <v>600</v>
      </c>
      <c r="AQ6" s="653"/>
      <c r="AR6" s="653"/>
      <c r="AS6" s="653"/>
      <c r="AT6" s="653"/>
    </row>
    <row r="7" spans="1:198" s="245" customFormat="1" ht="12.75" customHeight="1">
      <c r="B7" s="706"/>
      <c r="D7" s="1690"/>
      <c r="E7" s="1690"/>
      <c r="F7" s="1690"/>
      <c r="G7" s="1690"/>
      <c r="H7" s="1690"/>
      <c r="I7" s="1690"/>
      <c r="J7" s="1690"/>
      <c r="K7" s="22"/>
      <c r="L7" s="261"/>
      <c r="N7" s="253"/>
      <c r="O7" s="1703"/>
      <c r="P7" s="1704"/>
      <c r="Q7" s="1704"/>
      <c r="R7" s="1704"/>
      <c r="S7" s="1704"/>
      <c r="T7" s="1704"/>
      <c r="U7" s="1704"/>
      <c r="V7" s="1704"/>
      <c r="W7" s="1704"/>
      <c r="X7" s="1704"/>
      <c r="Y7" s="1704"/>
      <c r="Z7" s="1705"/>
      <c r="AA7" s="255"/>
      <c r="AB7" s="262"/>
      <c r="AC7" s="262"/>
      <c r="AD7" s="262"/>
      <c r="AE7" s="262"/>
      <c r="AF7" s="262"/>
      <c r="AG7" s="262"/>
      <c r="AH7" s="262"/>
      <c r="AI7" s="262"/>
      <c r="AJ7" s="262"/>
      <c r="AK7" s="262"/>
      <c r="AL7" s="262"/>
      <c r="AO7" s="192"/>
      <c r="BE7" s="263"/>
      <c r="BG7" s="263"/>
      <c r="BW7" s="263"/>
      <c r="CM7" s="263"/>
      <c r="DC7" s="263"/>
      <c r="DP7" s="263"/>
      <c r="FO7" s="263"/>
      <c r="FP7" s="958"/>
      <c r="FR7" s="619"/>
      <c r="FS7" s="375"/>
      <c r="GP7" s="251"/>
    </row>
    <row r="8" spans="1:198" ht="3.2" customHeight="1">
      <c r="D8" s="1690"/>
      <c r="E8" s="1690"/>
      <c r="F8" s="1690"/>
      <c r="G8" s="1690"/>
      <c r="H8" s="1690"/>
      <c r="I8" s="1690"/>
      <c r="J8" s="1690"/>
      <c r="K8" s="22"/>
      <c r="N8" s="258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0"/>
      <c r="AB8" s="192"/>
      <c r="AC8" s="192"/>
    </row>
    <row r="9" spans="1:198" s="245" customFormat="1" ht="20.100000000000001" customHeight="1">
      <c r="B9" s="706"/>
      <c r="D9" s="1690"/>
      <c r="E9" s="1690"/>
      <c r="F9" s="1690"/>
      <c r="G9" s="1690"/>
      <c r="H9" s="1690"/>
      <c r="I9" s="1690"/>
      <c r="J9" s="1690"/>
      <c r="K9" s="22"/>
      <c r="N9" s="253"/>
      <c r="O9" s="1706" t="s">
        <v>41</v>
      </c>
      <c r="P9" s="1706"/>
      <c r="Q9" s="1706"/>
      <c r="R9" s="1719"/>
      <c r="S9" s="1719"/>
      <c r="T9" s="1719"/>
      <c r="U9" s="265"/>
      <c r="V9" s="265"/>
      <c r="W9" s="265"/>
      <c r="X9" s="265"/>
      <c r="Y9" s="265"/>
      <c r="Z9" s="265"/>
      <c r="AA9" s="255"/>
      <c r="AB9" s="262"/>
      <c r="AC9" s="262"/>
      <c r="AD9" s="1726" t="s">
        <v>551</v>
      </c>
      <c r="AE9" s="1727"/>
      <c r="AF9" s="1727"/>
      <c r="AG9" s="1727"/>
      <c r="AH9" s="1727"/>
      <c r="AI9" s="1727"/>
      <c r="AJ9" s="1727"/>
      <c r="AK9" s="1727"/>
      <c r="AL9" s="1727"/>
      <c r="AM9" s="1727"/>
      <c r="AN9" s="1728"/>
      <c r="AO9" s="192"/>
      <c r="BE9" s="263"/>
      <c r="BG9" s="263"/>
      <c r="BW9" s="263"/>
      <c r="CM9" s="263"/>
      <c r="DC9" s="263"/>
      <c r="DP9" s="263"/>
      <c r="FO9" s="263"/>
      <c r="FP9" s="958"/>
      <c r="FR9" s="619"/>
      <c r="FS9" s="375"/>
      <c r="GP9" s="251"/>
    </row>
    <row r="10" spans="1:198" ht="3.2" customHeight="1">
      <c r="D10" s="23"/>
      <c r="E10" s="23"/>
      <c r="F10" s="23"/>
      <c r="G10" s="23"/>
      <c r="H10" s="23"/>
      <c r="I10" s="23"/>
      <c r="J10" s="23"/>
      <c r="K10" s="23"/>
      <c r="N10" s="266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68"/>
      <c r="AC10" s="192"/>
    </row>
    <row r="11" spans="1:198" s="245" customFormat="1">
      <c r="B11" s="706"/>
      <c r="D11" s="654" t="str">
        <f>Programmbeschreibung!D3</f>
        <v>07. September 2022; Vers. 10.0.8</v>
      </c>
      <c r="E11" s="654"/>
      <c r="P11" s="1707" t="s">
        <v>39</v>
      </c>
      <c r="Q11" s="1707"/>
      <c r="R11" s="1707"/>
      <c r="S11" s="1707"/>
      <c r="T11" s="1707"/>
      <c r="U11" s="1707"/>
      <c r="V11" s="1707"/>
      <c r="W11" s="1707"/>
      <c r="X11" s="1707"/>
      <c r="Y11" s="1707"/>
      <c r="Z11" s="1707"/>
      <c r="AC11" s="251"/>
      <c r="BE11" s="263"/>
      <c r="BG11" s="263"/>
      <c r="BW11" s="263"/>
      <c r="CM11" s="263"/>
      <c r="DC11" s="263"/>
      <c r="DP11" s="263"/>
      <c r="FO11" s="263"/>
      <c r="FP11" s="958"/>
      <c r="FR11" s="619"/>
      <c r="FS11" s="375"/>
      <c r="GP11" s="251"/>
    </row>
    <row r="12" spans="1:198" s="245" customFormat="1" ht="3.2" customHeight="1">
      <c r="B12" s="706"/>
      <c r="C12" s="1375" t="s">
        <v>501</v>
      </c>
      <c r="D12" s="27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69"/>
      <c r="V12" s="269"/>
      <c r="W12" s="269"/>
      <c r="X12" s="269"/>
      <c r="Y12" s="269"/>
      <c r="Z12" s="269"/>
      <c r="AA12" s="270"/>
      <c r="AB12" s="251"/>
      <c r="AC12" s="251"/>
      <c r="BE12" s="263"/>
      <c r="BG12" s="263"/>
      <c r="BW12" s="263"/>
      <c r="CM12" s="263"/>
      <c r="DC12" s="263"/>
      <c r="DP12" s="263"/>
      <c r="FO12" s="263"/>
      <c r="FP12" s="958"/>
      <c r="FR12" s="619"/>
      <c r="FS12" s="375"/>
      <c r="GP12" s="251"/>
    </row>
    <row r="13" spans="1:198" s="245" customFormat="1" ht="24.95" customHeight="1">
      <c r="B13" s="706"/>
      <c r="C13" s="1376"/>
      <c r="D13" s="271" t="s">
        <v>1078</v>
      </c>
      <c r="E13" s="624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1007"/>
      <c r="Q13" s="1552" t="str">
        <f>AU33</f>
        <v/>
      </c>
      <c r="R13" s="1552"/>
      <c r="S13" s="1552"/>
      <c r="T13" s="1552"/>
      <c r="U13" s="1552"/>
      <c r="V13" s="1552"/>
      <c r="W13" s="1552"/>
      <c r="X13" s="1552"/>
      <c r="Y13" s="1552"/>
      <c r="Z13" s="1552"/>
      <c r="AA13" s="1553"/>
      <c r="AC13" s="251"/>
      <c r="BE13" s="263"/>
      <c r="BG13" s="263"/>
      <c r="BW13" s="263"/>
      <c r="CM13" s="263"/>
      <c r="DC13" s="263"/>
      <c r="DP13" s="263"/>
      <c r="FO13" s="263"/>
      <c r="FP13" s="958"/>
      <c r="FR13" s="619"/>
      <c r="FS13" s="375"/>
      <c r="GP13" s="251"/>
    </row>
    <row r="14" spans="1:198" s="245" customFormat="1" ht="3.2" customHeight="1">
      <c r="B14" s="706"/>
      <c r="C14" s="1377"/>
      <c r="D14" s="274"/>
      <c r="E14" s="274"/>
      <c r="F14" s="259"/>
      <c r="G14" s="259"/>
      <c r="H14" s="259"/>
      <c r="I14" s="259"/>
      <c r="J14" s="259"/>
      <c r="K14" s="259"/>
      <c r="L14" s="259"/>
      <c r="M14" s="259"/>
      <c r="N14" s="275"/>
      <c r="O14" s="275"/>
      <c r="P14" s="275"/>
      <c r="Q14" s="276"/>
      <c r="R14" s="259"/>
      <c r="S14" s="259"/>
      <c r="T14" s="259"/>
      <c r="U14" s="259"/>
      <c r="V14" s="276"/>
      <c r="W14" s="276"/>
      <c r="X14" s="276"/>
      <c r="Y14" s="259"/>
      <c r="Z14" s="259"/>
      <c r="AA14" s="259"/>
      <c r="AB14" s="251"/>
      <c r="AC14" s="251"/>
      <c r="BE14" s="263"/>
      <c r="BG14" s="263"/>
      <c r="BW14" s="263"/>
      <c r="CM14" s="263"/>
      <c r="DC14" s="263"/>
      <c r="DP14" s="263"/>
      <c r="FO14" s="263"/>
      <c r="FP14" s="958"/>
      <c r="FR14" s="619"/>
      <c r="FS14" s="375"/>
      <c r="GP14" s="251"/>
    </row>
    <row r="15" spans="1:198" s="245" customFormat="1" ht="18.399999999999999" customHeight="1">
      <c r="B15" s="339">
        <v>1</v>
      </c>
      <c r="D15" s="275"/>
      <c r="E15" s="275"/>
      <c r="F15" s="337" t="s">
        <v>1116</v>
      </c>
      <c r="G15" s="275"/>
      <c r="H15" s="275"/>
      <c r="I15" s="275"/>
      <c r="J15" s="1484" t="str">
        <f>AU19</f>
        <v>Einspeisevergütungs - Anlage (max. 100 kWp) (Osterpaket)</v>
      </c>
      <c r="K15" s="1484"/>
      <c r="L15" s="1484"/>
      <c r="M15" s="1484"/>
      <c r="N15" s="1484"/>
      <c r="O15" s="1484"/>
      <c r="P15" s="1484"/>
      <c r="Q15" s="1484"/>
      <c r="R15" s="1484"/>
      <c r="S15" s="1484"/>
      <c r="T15" s="1484"/>
      <c r="U15" s="1484"/>
      <c r="V15" s="1484"/>
      <c r="W15" s="1484"/>
      <c r="X15" s="1484"/>
      <c r="Y15" s="925"/>
      <c r="Z15" s="925"/>
      <c r="AA15" s="275"/>
      <c r="AC15" s="251"/>
      <c r="AU15" s="1015" t="str">
        <f>IF(BC15&lt;41,"","EEG 2014")</f>
        <v>EEG 2014</v>
      </c>
      <c r="AV15" s="309"/>
      <c r="AW15" s="309"/>
      <c r="AX15" s="309"/>
      <c r="AY15" s="1016" t="str">
        <f>IF(BC15&lt;41,"","(ab 01.08.2014)")</f>
        <v>(ab 01.08.2014)</v>
      </c>
      <c r="AZ15" s="309"/>
      <c r="BA15" s="309"/>
      <c r="BB15" s="309"/>
      <c r="BC15" s="1212">
        <f>B118</f>
        <v>137</v>
      </c>
      <c r="BD15" s="1017"/>
      <c r="BE15" s="1018"/>
      <c r="BF15" s="1017"/>
      <c r="BG15" s="1018"/>
      <c r="BH15" s="1017"/>
      <c r="BI15" s="1017"/>
      <c r="BJ15" s="1017"/>
      <c r="BK15" s="1017"/>
      <c r="BL15" s="1017"/>
      <c r="BM15" s="1017"/>
      <c r="BN15" s="1019"/>
      <c r="BW15" s="263"/>
      <c r="CM15" s="263"/>
      <c r="DC15" s="263"/>
      <c r="DP15" s="263"/>
      <c r="FO15" s="263"/>
      <c r="FP15" s="958"/>
      <c r="FR15" s="619"/>
      <c r="FS15" s="375"/>
      <c r="GP15" s="251"/>
    </row>
    <row r="16" spans="1:198" s="245" customFormat="1" ht="3.2" customHeight="1">
      <c r="B16" s="706"/>
      <c r="D16" s="275"/>
      <c r="E16" s="275"/>
      <c r="F16" s="275"/>
      <c r="G16" s="275"/>
      <c r="H16" s="275"/>
      <c r="I16" s="275"/>
      <c r="J16" s="275"/>
      <c r="K16" s="275"/>
      <c r="L16" s="925"/>
      <c r="M16" s="925"/>
      <c r="N16" s="925"/>
      <c r="O16" s="925"/>
      <c r="P16" s="925"/>
      <c r="Q16" s="925"/>
      <c r="R16" s="925"/>
      <c r="S16" s="925"/>
      <c r="T16" s="969"/>
      <c r="U16" s="925"/>
      <c r="V16" s="925"/>
      <c r="W16" s="925"/>
      <c r="X16" s="925"/>
      <c r="Y16" s="241"/>
      <c r="Z16" s="275"/>
      <c r="AA16" s="275"/>
      <c r="AC16" s="251"/>
      <c r="AU16" s="1014"/>
      <c r="AV16" s="247"/>
      <c r="AW16" s="247"/>
      <c r="AX16" s="247"/>
      <c r="AY16" s="842"/>
      <c r="AZ16" s="247"/>
      <c r="BA16" s="247"/>
      <c r="BB16" s="247"/>
      <c r="BC16" s="247"/>
      <c r="BD16" s="251"/>
      <c r="BE16" s="625"/>
      <c r="BF16" s="251"/>
      <c r="BG16" s="625"/>
      <c r="BH16" s="251"/>
      <c r="BI16" s="251"/>
      <c r="BJ16" s="251"/>
      <c r="BK16" s="251"/>
      <c r="BL16" s="251"/>
      <c r="BM16" s="251"/>
      <c r="BN16" s="322"/>
      <c r="BW16" s="263"/>
      <c r="CM16" s="263"/>
      <c r="DC16" s="263"/>
      <c r="DP16" s="263"/>
      <c r="FO16" s="263"/>
      <c r="FP16" s="958"/>
      <c r="FR16" s="619"/>
      <c r="FS16" s="375"/>
      <c r="GP16" s="251"/>
    </row>
    <row r="17" spans="2:198" s="245" customFormat="1" ht="18.399999999999999" customHeight="1">
      <c r="B17" s="339">
        <v>1</v>
      </c>
      <c r="D17" s="275"/>
      <c r="E17" s="275"/>
      <c r="F17" s="446"/>
      <c r="G17" s="275"/>
      <c r="H17" s="275"/>
      <c r="I17" s="1350" t="s">
        <v>1442</v>
      </c>
      <c r="J17" s="1891" t="str">
        <f>BX36</f>
        <v>EIGENVERBRAUCHs - Anlage</v>
      </c>
      <c r="K17" s="1891"/>
      <c r="L17" s="1891"/>
      <c r="M17" s="1891"/>
      <c r="N17" s="1891"/>
      <c r="O17" s="1891"/>
      <c r="P17" s="1891"/>
      <c r="Q17" s="1891"/>
      <c r="R17" s="1891"/>
      <c r="S17" s="1891"/>
      <c r="T17" s="1891"/>
      <c r="U17" s="1891"/>
      <c r="V17" s="1891"/>
      <c r="W17" s="1891"/>
      <c r="X17" s="1891"/>
      <c r="Y17" s="925"/>
      <c r="Z17" s="925"/>
      <c r="AA17" s="275"/>
      <c r="AC17" s="251"/>
      <c r="AU17" s="1014"/>
      <c r="AV17" s="247"/>
      <c r="AW17" s="247"/>
      <c r="AX17" s="247"/>
      <c r="AY17" s="842"/>
      <c r="AZ17" s="247"/>
      <c r="BA17" s="247"/>
      <c r="BB17" s="247"/>
      <c r="BC17" s="1249"/>
      <c r="BD17" s="251"/>
      <c r="BE17" s="625"/>
      <c r="BF17" s="251"/>
      <c r="BG17" s="625"/>
      <c r="BH17" s="251"/>
      <c r="BI17" s="251"/>
      <c r="BJ17" s="251"/>
      <c r="BK17" s="251"/>
      <c r="BL17" s="251"/>
      <c r="BM17" s="251"/>
      <c r="BN17" s="322"/>
      <c r="BW17" s="263"/>
      <c r="CM17" s="263"/>
      <c r="DC17" s="263"/>
      <c r="DP17" s="263"/>
      <c r="FO17" s="263"/>
      <c r="FP17" s="958"/>
      <c r="FR17" s="619"/>
      <c r="FS17" s="375"/>
      <c r="GP17" s="251"/>
    </row>
    <row r="18" spans="2:198" s="245" customFormat="1" ht="3.2" customHeight="1" thickBot="1">
      <c r="B18" s="706"/>
      <c r="D18" s="275"/>
      <c r="E18" s="275"/>
      <c r="F18" s="275"/>
      <c r="G18" s="275"/>
      <c r="H18" s="275"/>
      <c r="I18" s="275"/>
      <c r="J18" s="275"/>
      <c r="K18" s="275"/>
      <c r="L18" s="925"/>
      <c r="M18" s="925"/>
      <c r="N18" s="925"/>
      <c r="O18" s="925"/>
      <c r="P18" s="925"/>
      <c r="Q18" s="925"/>
      <c r="R18" s="925"/>
      <c r="S18" s="925"/>
      <c r="T18" s="969"/>
      <c r="U18" s="925"/>
      <c r="V18" s="925"/>
      <c r="W18" s="925"/>
      <c r="X18" s="925"/>
      <c r="Y18" s="241"/>
      <c r="Z18" s="275"/>
      <c r="AA18" s="275"/>
      <c r="AC18" s="251"/>
      <c r="AU18" s="1014"/>
      <c r="AV18" s="247"/>
      <c r="AW18" s="247"/>
      <c r="AX18" s="247"/>
      <c r="AY18" s="842"/>
      <c r="AZ18" s="247"/>
      <c r="BA18" s="247"/>
      <c r="BB18" s="247"/>
      <c r="BC18" s="247"/>
      <c r="BD18" s="251"/>
      <c r="BE18" s="625"/>
      <c r="BF18" s="251"/>
      <c r="BG18" s="625"/>
      <c r="BH18" s="251"/>
      <c r="BI18" s="251"/>
      <c r="BJ18" s="251"/>
      <c r="BK18" s="251"/>
      <c r="BL18" s="251"/>
      <c r="BM18" s="251"/>
      <c r="BN18" s="322"/>
      <c r="BW18" s="263"/>
      <c r="CM18" s="263"/>
      <c r="DC18" s="263"/>
      <c r="DP18" s="263"/>
      <c r="FO18" s="263"/>
      <c r="FP18" s="958"/>
      <c r="FR18" s="619"/>
      <c r="FS18" s="375"/>
      <c r="GP18" s="251"/>
    </row>
    <row r="19" spans="2:198" s="245" customFormat="1" ht="21" thickTop="1">
      <c r="B19" s="706"/>
      <c r="D19" s="275"/>
      <c r="E19" s="275"/>
      <c r="F19" s="275" t="s">
        <v>389</v>
      </c>
      <c r="G19" s="275"/>
      <c r="H19" s="275"/>
      <c r="I19" s="275"/>
      <c r="J19" s="275"/>
      <c r="K19" s="275"/>
      <c r="L19" s="1892" t="str">
        <f>IF(AZ31=0,"keine Berechnung !  ",IF(B118&gt;141,"",IF(CC141=1,"EEG 2021: max. "&amp;BY139&amp;"% Vergütung ab "&amp;BY137&amp;" kWp bei Dach- und Fassadenanlagen  ","")))</f>
        <v/>
      </c>
      <c r="M19" s="1892"/>
      <c r="N19" s="1892"/>
      <c r="O19" s="1892"/>
      <c r="P19" s="1892"/>
      <c r="Q19" s="1892"/>
      <c r="R19" s="1892"/>
      <c r="S19" s="1892"/>
      <c r="T19" s="1892"/>
      <c r="U19" s="1892"/>
      <c r="V19" s="1733"/>
      <c r="W19" s="1733"/>
      <c r="X19" s="1733"/>
      <c r="Y19" s="241" t="s">
        <v>379</v>
      </c>
      <c r="Z19" s="275"/>
      <c r="AA19" s="275"/>
      <c r="AC19" s="251"/>
      <c r="AD19" s="1510" t="s">
        <v>1447</v>
      </c>
      <c r="AE19" s="1511"/>
      <c r="AF19" s="1511"/>
      <c r="AG19" s="1511"/>
      <c r="AH19" s="1511"/>
      <c r="AI19" s="1511"/>
      <c r="AJ19" s="1511"/>
      <c r="AK19" s="1511"/>
      <c r="AL19" s="1511"/>
      <c r="AM19" s="1511"/>
      <c r="AN19" s="1512"/>
      <c r="AU19" s="901" t="str">
        <f>IF(BG50=0,"ausschreibungspflichtige Anlage",VLOOKUP($B$15,$AW$36:$AY$38,3,FALSE))</f>
        <v>Einspeisevergütungs - Anlage (max. 100 kWp) (Osterpaket)</v>
      </c>
      <c r="AV19" s="741"/>
      <c r="AW19" s="251"/>
      <c r="AX19" s="251"/>
      <c r="AY19" s="251"/>
      <c r="AZ19" s="251"/>
      <c r="BA19" s="251"/>
      <c r="BB19" s="251"/>
      <c r="BC19" s="251"/>
      <c r="BD19" s="251"/>
      <c r="BE19" s="625"/>
      <c r="BF19" s="251"/>
      <c r="BG19" s="625"/>
      <c r="BH19" s="251"/>
      <c r="BI19" s="251"/>
      <c r="BJ19" s="251"/>
      <c r="BK19" s="251"/>
      <c r="BL19" s="251"/>
      <c r="BM19" s="251"/>
      <c r="BN19" s="322"/>
      <c r="BW19" s="263"/>
      <c r="CM19" s="263"/>
      <c r="DC19" s="263"/>
      <c r="DP19" s="263"/>
      <c r="FO19" s="263"/>
      <c r="FP19" s="958"/>
      <c r="FR19" s="619"/>
      <c r="FS19" s="375"/>
      <c r="GP19" s="251"/>
    </row>
    <row r="20" spans="2:198" s="245" customFormat="1" ht="3.2" customHeight="1">
      <c r="B20" s="706"/>
      <c r="D20" s="275"/>
      <c r="E20" s="275"/>
      <c r="F20" s="275"/>
      <c r="G20" s="275"/>
      <c r="H20" s="275"/>
      <c r="I20" s="275"/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59"/>
      <c r="U20" s="259"/>
      <c r="V20" s="259"/>
      <c r="W20" s="259"/>
      <c r="X20" s="259"/>
      <c r="Y20" s="259"/>
      <c r="Z20" s="259"/>
      <c r="AA20" s="259"/>
      <c r="AB20" s="251"/>
      <c r="AC20" s="251"/>
      <c r="AD20" s="1513"/>
      <c r="AE20" s="1514"/>
      <c r="AF20" s="1514"/>
      <c r="AG20" s="1514"/>
      <c r="AH20" s="1514"/>
      <c r="AI20" s="1514"/>
      <c r="AJ20" s="1514"/>
      <c r="AK20" s="1514"/>
      <c r="AL20" s="1514"/>
      <c r="AM20" s="1514"/>
      <c r="AN20" s="1515"/>
      <c r="AU20" s="900"/>
      <c r="AV20" s="251"/>
      <c r="AW20" s="251"/>
      <c r="AX20" s="251"/>
      <c r="AY20" s="251"/>
      <c r="AZ20" s="251"/>
      <c r="BA20" s="251"/>
      <c r="BB20" s="251"/>
      <c r="BC20" s="251"/>
      <c r="BD20" s="251"/>
      <c r="BE20" s="625"/>
      <c r="BF20" s="251"/>
      <c r="BG20" s="625"/>
      <c r="BH20" s="251"/>
      <c r="BI20" s="251"/>
      <c r="BJ20" s="251"/>
      <c r="BK20" s="251"/>
      <c r="BL20" s="251"/>
      <c r="BM20" s="251"/>
      <c r="BN20" s="322"/>
      <c r="BW20" s="263"/>
      <c r="CM20" s="263"/>
      <c r="DC20" s="263"/>
      <c r="DP20" s="263"/>
      <c r="FO20" s="263"/>
      <c r="FP20" s="958"/>
      <c r="FR20" s="619"/>
      <c r="FS20" s="375"/>
      <c r="GP20" s="251"/>
    </row>
    <row r="21" spans="2:198" s="245" customFormat="1" ht="14.25" customHeight="1">
      <c r="B21" s="339">
        <v>20</v>
      </c>
      <c r="D21" s="275"/>
      <c r="E21" s="275"/>
      <c r="F21" s="275" t="s">
        <v>403</v>
      </c>
      <c r="G21" s="275"/>
      <c r="H21" s="275"/>
      <c r="I21" s="275"/>
      <c r="J21" s="275"/>
      <c r="K21" s="275"/>
      <c r="L21" s="275"/>
      <c r="M21" s="275"/>
      <c r="N21" s="275"/>
      <c r="O21" s="275"/>
      <c r="P21" s="704"/>
      <c r="Q21" s="704" t="s">
        <v>665</v>
      </c>
      <c r="R21" s="275"/>
      <c r="S21" s="275"/>
      <c r="T21" s="275"/>
      <c r="U21" s="275"/>
      <c r="V21" s="1734">
        <f>B21</f>
        <v>20</v>
      </c>
      <c r="W21" s="1735"/>
      <c r="X21" s="1736"/>
      <c r="Y21" s="241" t="s">
        <v>377</v>
      </c>
      <c r="Z21" s="275"/>
      <c r="AA21" s="275"/>
      <c r="AC21" s="251"/>
      <c r="AD21" s="1513"/>
      <c r="AE21" s="1514"/>
      <c r="AF21" s="1514"/>
      <c r="AG21" s="1514"/>
      <c r="AH21" s="1514"/>
      <c r="AI21" s="1514"/>
      <c r="AJ21" s="1514"/>
      <c r="AK21" s="1514"/>
      <c r="AL21" s="1514"/>
      <c r="AM21" s="1514"/>
      <c r="AN21" s="1515"/>
      <c r="AU21" s="901" t="s">
        <v>863</v>
      </c>
      <c r="AV21" s="741"/>
      <c r="AW21" s="251"/>
      <c r="AX21" s="251"/>
      <c r="AY21" s="251"/>
      <c r="AZ21" s="251"/>
      <c r="BA21" s="251"/>
      <c r="BB21" s="251"/>
      <c r="BC21" s="251"/>
      <c r="BD21" s="251"/>
      <c r="BE21" s="625"/>
      <c r="BF21" s="251"/>
      <c r="BG21" s="625"/>
      <c r="BH21" s="251"/>
      <c r="BI21" s="251"/>
      <c r="BJ21" s="251"/>
      <c r="BK21" s="251"/>
      <c r="BL21" s="251"/>
      <c r="BM21" s="251"/>
      <c r="BN21" s="322"/>
      <c r="BW21" s="263"/>
      <c r="CM21" s="263"/>
      <c r="DC21" s="263"/>
      <c r="DP21" s="263"/>
      <c r="FO21" s="263"/>
      <c r="FP21" s="958"/>
      <c r="FR21" s="619"/>
      <c r="FS21" s="375"/>
      <c r="GP21" s="251"/>
    </row>
    <row r="22" spans="2:198" s="245" customFormat="1" ht="3.2" customHeight="1">
      <c r="B22" s="706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  <c r="R22" s="275"/>
      <c r="S22" s="275"/>
      <c r="T22" s="259"/>
      <c r="U22" s="259"/>
      <c r="V22" s="259"/>
      <c r="W22" s="259"/>
      <c r="X22" s="259"/>
      <c r="Y22" s="259"/>
      <c r="Z22" s="259"/>
      <c r="AA22" s="259"/>
      <c r="AB22" s="251"/>
      <c r="AC22" s="251"/>
      <c r="AD22" s="1513"/>
      <c r="AE22" s="1514"/>
      <c r="AF22" s="1514"/>
      <c r="AG22" s="1514"/>
      <c r="AH22" s="1514"/>
      <c r="AI22" s="1514"/>
      <c r="AJ22" s="1514"/>
      <c r="AK22" s="1514"/>
      <c r="AL22" s="1514"/>
      <c r="AM22" s="1514"/>
      <c r="AN22" s="1515"/>
      <c r="AU22" s="900"/>
      <c r="AV22" s="251"/>
      <c r="AW22" s="251"/>
      <c r="AX22" s="251"/>
      <c r="AY22" s="251"/>
      <c r="AZ22" s="251"/>
      <c r="BA22" s="251"/>
      <c r="BB22" s="251"/>
      <c r="BC22" s="251"/>
      <c r="BD22" s="251"/>
      <c r="BE22" s="625"/>
      <c r="BF22" s="251"/>
      <c r="BG22" s="625"/>
      <c r="BH22" s="251"/>
      <c r="BI22" s="251"/>
      <c r="BJ22" s="251"/>
      <c r="BK22" s="251"/>
      <c r="BL22" s="251"/>
      <c r="BM22" s="251"/>
      <c r="BN22" s="322"/>
      <c r="BW22" s="263"/>
      <c r="CM22" s="263"/>
      <c r="DC22" s="263"/>
      <c r="DP22" s="263"/>
      <c r="FO22" s="263"/>
      <c r="FP22" s="958"/>
      <c r="FR22" s="619"/>
      <c r="FS22" s="375"/>
      <c r="GP22" s="251"/>
    </row>
    <row r="23" spans="2:198" s="245" customFormat="1">
      <c r="B23" s="706"/>
      <c r="D23" s="275"/>
      <c r="E23" s="275"/>
      <c r="F23" s="275" t="s">
        <v>468</v>
      </c>
      <c r="G23" s="275"/>
      <c r="H23" s="275"/>
      <c r="I23" s="275"/>
      <c r="J23" s="275"/>
      <c r="K23" s="275"/>
      <c r="L23" s="277"/>
      <c r="M23" s="275"/>
      <c r="N23" s="1691"/>
      <c r="O23" s="1691"/>
      <c r="P23" s="1691"/>
      <c r="Q23" s="278"/>
      <c r="R23" s="241"/>
      <c r="S23" s="1739" t="str">
        <f>Einstrahlung!J4</f>
        <v>Stuttgart</v>
      </c>
      <c r="T23" s="1739"/>
      <c r="U23" s="1739"/>
      <c r="V23" s="1739"/>
      <c r="W23" s="1739"/>
      <c r="X23" s="1739"/>
      <c r="Y23" s="241" t="s">
        <v>492</v>
      </c>
      <c r="Z23" s="275"/>
      <c r="AA23" s="275"/>
      <c r="AC23" s="251"/>
      <c r="AD23" s="1513"/>
      <c r="AE23" s="1514"/>
      <c r="AF23" s="1514"/>
      <c r="AG23" s="1514"/>
      <c r="AH23" s="1514"/>
      <c r="AI23" s="1514"/>
      <c r="AJ23" s="1514"/>
      <c r="AK23" s="1514"/>
      <c r="AL23" s="1514"/>
      <c r="AM23" s="1514"/>
      <c r="AN23" s="1515"/>
      <c r="AU23" s="901" t="s">
        <v>1077</v>
      </c>
      <c r="AV23" s="741"/>
      <c r="AW23" s="251"/>
      <c r="AX23" s="251"/>
      <c r="AY23" s="251"/>
      <c r="AZ23" s="251"/>
      <c r="BA23" s="251"/>
      <c r="BB23" s="251"/>
      <c r="BC23" s="251"/>
      <c r="BD23" s="251"/>
      <c r="BE23" s="625"/>
      <c r="BF23" s="251"/>
      <c r="BG23" s="625"/>
      <c r="BH23" s="251"/>
      <c r="BI23" s="251"/>
      <c r="BJ23" s="251"/>
      <c r="BK23" s="251"/>
      <c r="BL23" s="251"/>
      <c r="BM23" s="251"/>
      <c r="BN23" s="322"/>
      <c r="BW23" s="263"/>
      <c r="CM23" s="263"/>
      <c r="DC23" s="263"/>
      <c r="DP23" s="263"/>
      <c r="FO23" s="263"/>
      <c r="FP23" s="958"/>
      <c r="FR23" s="619"/>
      <c r="FS23" s="375"/>
      <c r="GP23" s="251"/>
    </row>
    <row r="24" spans="2:198" s="245" customFormat="1" ht="3.2" customHeight="1">
      <c r="B24" s="706"/>
      <c r="D24" s="275"/>
      <c r="E24" s="275"/>
      <c r="F24" s="275"/>
      <c r="G24" s="275"/>
      <c r="H24" s="27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59"/>
      <c r="U24" s="259"/>
      <c r="V24" s="259"/>
      <c r="W24" s="259"/>
      <c r="X24" s="259"/>
      <c r="Y24" s="259"/>
      <c r="Z24" s="259"/>
      <c r="AA24" s="259"/>
      <c r="AB24" s="251"/>
      <c r="AC24" s="251"/>
      <c r="AD24" s="1513"/>
      <c r="AE24" s="1514"/>
      <c r="AF24" s="1514"/>
      <c r="AG24" s="1514"/>
      <c r="AH24" s="1514"/>
      <c r="AI24" s="1514"/>
      <c r="AJ24" s="1514"/>
      <c r="AK24" s="1514"/>
      <c r="AL24" s="1514"/>
      <c r="AM24" s="1514"/>
      <c r="AN24" s="1515"/>
      <c r="AU24" s="900"/>
      <c r="AV24" s="251"/>
      <c r="AW24" s="251"/>
      <c r="AX24" s="251"/>
      <c r="AY24" s="251"/>
      <c r="AZ24" s="251"/>
      <c r="BA24" s="251"/>
      <c r="BB24" s="251"/>
      <c r="BC24" s="251"/>
      <c r="BD24" s="251"/>
      <c r="BE24" s="625"/>
      <c r="BF24" s="251"/>
      <c r="BG24" s="625"/>
      <c r="BH24" s="251"/>
      <c r="BI24" s="251"/>
      <c r="BJ24" s="251"/>
      <c r="BK24" s="251"/>
      <c r="BL24" s="251"/>
      <c r="BM24" s="251"/>
      <c r="BN24" s="322"/>
      <c r="BW24" s="263"/>
      <c r="CM24" s="263"/>
      <c r="DC24" s="263"/>
      <c r="DP24" s="263"/>
      <c r="FO24" s="263"/>
      <c r="FP24" s="958"/>
      <c r="FR24" s="619"/>
      <c r="FS24" s="375"/>
      <c r="GP24" s="251"/>
    </row>
    <row r="25" spans="2:198" s="245" customFormat="1">
      <c r="B25" s="706"/>
      <c r="D25" s="275"/>
      <c r="E25" s="275"/>
      <c r="F25" s="1647" t="s">
        <v>48</v>
      </c>
      <c r="G25" s="1647"/>
      <c r="H25" s="1647"/>
      <c r="I25" s="1647"/>
      <c r="J25" s="1647"/>
      <c r="K25" s="1647"/>
      <c r="L25" s="1647"/>
      <c r="M25" s="1647"/>
      <c r="N25" s="1647"/>
      <c r="O25" s="1647"/>
      <c r="P25" s="1647"/>
      <c r="Q25" s="1647"/>
      <c r="R25" s="1647"/>
      <c r="S25" s="1647"/>
      <c r="T25" s="275"/>
      <c r="U25" s="275"/>
      <c r="V25" s="1737">
        <f>Einstrahlung!F35</f>
        <v>1105.2329999999999</v>
      </c>
      <c r="W25" s="1737"/>
      <c r="X25" s="1737"/>
      <c r="Y25" s="279" t="s">
        <v>469</v>
      </c>
      <c r="Z25" s="275"/>
      <c r="AA25" s="275"/>
      <c r="AC25" s="251"/>
      <c r="AD25" s="1513"/>
      <c r="AE25" s="1514"/>
      <c r="AF25" s="1514"/>
      <c r="AG25" s="1514"/>
      <c r="AH25" s="1514"/>
      <c r="AI25" s="1514"/>
      <c r="AJ25" s="1514"/>
      <c r="AK25" s="1514"/>
      <c r="AL25" s="1514"/>
      <c r="AM25" s="1514"/>
      <c r="AN25" s="1515"/>
      <c r="AU25" s="902"/>
      <c r="AV25" s="251"/>
      <c r="AW25" s="251"/>
      <c r="AX25" s="251"/>
      <c r="AY25" s="920">
        <f>VLOOKUP(B118,Vergütungen!A19:AM190,26+$AX$40,FALSE)</f>
        <v>100</v>
      </c>
      <c r="AZ25" s="741" t="s">
        <v>379</v>
      </c>
      <c r="BA25" s="251"/>
      <c r="BB25" s="251"/>
      <c r="BC25" s="251"/>
      <c r="BD25" s="251"/>
      <c r="BE25" s="625"/>
      <c r="BF25" s="251"/>
      <c r="BG25" s="625"/>
      <c r="BH25" s="251"/>
      <c r="BI25" s="251"/>
      <c r="BJ25" s="251"/>
      <c r="BK25" s="251"/>
      <c r="BL25" s="251"/>
      <c r="BM25" s="251"/>
      <c r="BN25" s="322"/>
      <c r="BW25" s="263"/>
      <c r="CM25" s="263"/>
      <c r="DC25" s="263"/>
      <c r="DP25" s="263"/>
      <c r="FO25" s="263"/>
      <c r="FP25" s="958"/>
      <c r="FR25" s="619"/>
      <c r="FS25" s="375"/>
      <c r="GP25" s="251"/>
    </row>
    <row r="26" spans="2:198" s="245" customFormat="1" ht="3.2" customHeight="1">
      <c r="B26" s="706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59"/>
      <c r="U26" s="259"/>
      <c r="V26" s="259"/>
      <c r="W26" s="259"/>
      <c r="X26" s="259"/>
      <c r="Y26" s="259"/>
      <c r="Z26" s="259"/>
      <c r="AA26" s="259"/>
      <c r="AB26" s="251"/>
      <c r="AC26" s="251"/>
      <c r="AD26" s="1513"/>
      <c r="AE26" s="1514"/>
      <c r="AF26" s="1514"/>
      <c r="AG26" s="1514"/>
      <c r="AH26" s="1514"/>
      <c r="AI26" s="1514"/>
      <c r="AJ26" s="1514"/>
      <c r="AK26" s="1514"/>
      <c r="AL26" s="1514"/>
      <c r="AM26" s="1514"/>
      <c r="AN26" s="1515"/>
      <c r="AU26" s="900"/>
      <c r="AV26" s="251"/>
      <c r="AW26" s="251"/>
      <c r="AX26" s="251"/>
      <c r="AY26" s="251"/>
      <c r="AZ26" s="251"/>
      <c r="BA26" s="251"/>
      <c r="BB26" s="251"/>
      <c r="BC26" s="251"/>
      <c r="BD26" s="251"/>
      <c r="BE26" s="625"/>
      <c r="BF26" s="251"/>
      <c r="BG26" s="625"/>
      <c r="BH26" s="251"/>
      <c r="BI26" s="251"/>
      <c r="BJ26" s="251"/>
      <c r="BK26" s="251"/>
      <c r="BL26" s="251"/>
      <c r="BM26" s="251"/>
      <c r="BN26" s="322"/>
      <c r="BW26" s="263"/>
      <c r="CM26" s="263"/>
      <c r="DC26" s="263"/>
      <c r="DP26" s="263"/>
      <c r="FO26" s="263"/>
      <c r="FP26" s="958"/>
      <c r="FR26" s="619"/>
      <c r="FS26" s="375"/>
      <c r="GP26" s="251"/>
    </row>
    <row r="27" spans="2:198" s="245" customFormat="1" ht="13.7" customHeight="1">
      <c r="B27" s="706"/>
      <c r="P27" s="1694"/>
      <c r="Q27" s="1694"/>
      <c r="R27" s="1694"/>
      <c r="AC27" s="251"/>
      <c r="AD27" s="1513"/>
      <c r="AE27" s="1514"/>
      <c r="AF27" s="1514"/>
      <c r="AG27" s="1514"/>
      <c r="AH27" s="1514"/>
      <c r="AI27" s="1514"/>
      <c r="AJ27" s="1514"/>
      <c r="AK27" s="1514"/>
      <c r="AL27" s="1514"/>
      <c r="AM27" s="1514"/>
      <c r="AN27" s="1515"/>
      <c r="AU27" s="901" t="s">
        <v>866</v>
      </c>
      <c r="AV27" s="251"/>
      <c r="AW27" s="251"/>
      <c r="AX27" s="251"/>
      <c r="AY27" s="251"/>
      <c r="AZ27" s="903"/>
      <c r="BA27" s="251"/>
      <c r="BB27" s="251"/>
      <c r="BC27" s="1013" t="str">
        <f>X116</f>
        <v>Aug 2022 (ab 29.7.22)</v>
      </c>
      <c r="BD27" s="251"/>
      <c r="BE27" s="1295"/>
      <c r="BF27" s="251"/>
      <c r="BG27" s="625"/>
      <c r="BH27" s="251"/>
      <c r="BI27" s="251"/>
      <c r="BJ27" s="251"/>
      <c r="BK27" s="251"/>
      <c r="BL27" s="251"/>
      <c r="BM27" s="251"/>
      <c r="BN27" s="322"/>
      <c r="BW27" s="263"/>
      <c r="CM27" s="263"/>
      <c r="DC27" s="263"/>
      <c r="DP27" s="263"/>
      <c r="FO27" s="263"/>
      <c r="FP27" s="958"/>
      <c r="FR27" s="619"/>
      <c r="FS27" s="375"/>
      <c r="GP27" s="251"/>
    </row>
    <row r="28" spans="2:198" s="245" customFormat="1" ht="3.2" customHeight="1" thickBot="1">
      <c r="B28" s="706"/>
      <c r="C28" s="1375" t="s">
        <v>501</v>
      </c>
      <c r="D28" s="31"/>
      <c r="E28" s="32"/>
      <c r="F28" s="32"/>
      <c r="G28" s="32"/>
      <c r="H28" s="32"/>
      <c r="I28" s="32"/>
      <c r="J28" s="32"/>
      <c r="K28" s="32"/>
      <c r="L28" s="269"/>
      <c r="M28" s="269"/>
      <c r="N28" s="269"/>
      <c r="O28" s="269"/>
      <c r="P28" s="269"/>
      <c r="Q28" s="269"/>
      <c r="R28" s="269"/>
      <c r="S28" s="269"/>
      <c r="T28" s="269"/>
      <c r="U28" s="269"/>
      <c r="V28" s="280"/>
      <c r="W28" s="280"/>
      <c r="X28" s="280"/>
      <c r="Y28" s="280"/>
      <c r="Z28" s="281"/>
      <c r="AA28" s="270"/>
      <c r="AB28" s="251"/>
      <c r="AC28" s="251"/>
      <c r="AD28" s="1513"/>
      <c r="AE28" s="1514"/>
      <c r="AF28" s="1514"/>
      <c r="AG28" s="1514"/>
      <c r="AH28" s="1514"/>
      <c r="AI28" s="1514"/>
      <c r="AJ28" s="1514"/>
      <c r="AK28" s="1514"/>
      <c r="AL28" s="1514"/>
      <c r="AM28" s="1514"/>
      <c r="AN28" s="1515"/>
      <c r="AU28" s="900"/>
      <c r="AV28" s="251"/>
      <c r="AW28" s="251"/>
      <c r="AX28" s="251"/>
      <c r="AY28" s="251"/>
      <c r="AZ28" s="251"/>
      <c r="BA28" s="251"/>
      <c r="BB28" s="251"/>
      <c r="BC28" s="322"/>
      <c r="BD28" s="251"/>
      <c r="BE28" s="625"/>
      <c r="BF28" s="251"/>
      <c r="BG28" s="625"/>
      <c r="BH28" s="251"/>
      <c r="BI28" s="251"/>
      <c r="BJ28" s="251"/>
      <c r="BK28" s="251"/>
      <c r="BL28" s="251"/>
      <c r="BM28" s="251"/>
      <c r="BN28" s="322"/>
      <c r="BW28" s="263"/>
      <c r="CM28" s="263"/>
      <c r="DC28" s="263"/>
      <c r="DP28" s="263"/>
      <c r="FO28" s="263"/>
      <c r="FP28" s="958"/>
      <c r="FR28" s="619"/>
      <c r="FS28" s="375"/>
      <c r="GP28" s="251"/>
    </row>
    <row r="29" spans="2:198" ht="24.95" customHeight="1" thickBot="1">
      <c r="C29" s="1376"/>
      <c r="D29" s="271" t="s">
        <v>385</v>
      </c>
      <c r="E29" s="624"/>
      <c r="F29" s="272"/>
      <c r="G29" s="272"/>
      <c r="H29" s="272"/>
      <c r="I29" s="282"/>
      <c r="J29" s="282" t="s">
        <v>187</v>
      </c>
      <c r="K29" s="28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  <c r="Y29" s="272"/>
      <c r="Z29" s="272"/>
      <c r="AA29" s="273"/>
      <c r="AB29" s="251"/>
      <c r="AD29" s="1513"/>
      <c r="AE29" s="1514"/>
      <c r="AF29" s="1514"/>
      <c r="AG29" s="1514"/>
      <c r="AH29" s="1514"/>
      <c r="AI29" s="1514"/>
      <c r="AJ29" s="1514"/>
      <c r="AK29" s="1514"/>
      <c r="AL29" s="1514"/>
      <c r="AM29" s="1514"/>
      <c r="AN29" s="1515"/>
      <c r="AU29" s="1012" t="s">
        <v>864</v>
      </c>
      <c r="AV29" s="904"/>
      <c r="AW29" s="904"/>
      <c r="AX29" s="904"/>
      <c r="AY29" s="918">
        <f>IF(AZ31=0,0,V19)</f>
        <v>0</v>
      </c>
      <c r="AZ29" s="905" t="s">
        <v>379</v>
      </c>
      <c r="BA29" s="904"/>
      <c r="BB29" s="904"/>
      <c r="BC29" s="906"/>
      <c r="BD29" s="247"/>
      <c r="BE29" s="401"/>
      <c r="BF29" s="247"/>
      <c r="BG29" s="401"/>
      <c r="BH29" s="247"/>
      <c r="BI29" s="247"/>
      <c r="BJ29" s="247"/>
      <c r="BK29" s="247"/>
      <c r="BL29" s="247"/>
      <c r="BM29" s="247"/>
      <c r="BN29" s="314"/>
    </row>
    <row r="30" spans="2:198" ht="3.2" customHeight="1">
      <c r="C30" s="1377"/>
      <c r="D30" s="283"/>
      <c r="E30" s="283"/>
      <c r="F30" s="259"/>
      <c r="G30" s="259"/>
      <c r="H30" s="259"/>
      <c r="I30" s="259"/>
      <c r="J30" s="259"/>
      <c r="K30" s="259"/>
      <c r="L30" s="259"/>
      <c r="M30" s="259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  <c r="Y30" s="259"/>
      <c r="Z30" s="259"/>
      <c r="AA30" s="259"/>
      <c r="AB30" s="251"/>
      <c r="AD30" s="1513"/>
      <c r="AE30" s="1514"/>
      <c r="AF30" s="1514"/>
      <c r="AG30" s="1514"/>
      <c r="AH30" s="1514"/>
      <c r="AI30" s="1514"/>
      <c r="AJ30" s="1514"/>
      <c r="AK30" s="1514"/>
      <c r="AL30" s="1514"/>
      <c r="AM30" s="1514"/>
      <c r="AN30" s="1515"/>
      <c r="AU30" s="913"/>
      <c r="AV30" s="914"/>
      <c r="AW30" s="914"/>
      <c r="AX30" s="914"/>
      <c r="AY30" s="914"/>
      <c r="AZ30" s="914"/>
      <c r="BA30" s="914"/>
      <c r="BB30" s="914"/>
      <c r="BC30" s="915"/>
      <c r="BD30" s="247"/>
      <c r="BE30" s="401"/>
      <c r="BF30" s="247"/>
      <c r="BG30" s="401"/>
      <c r="BH30" s="247"/>
      <c r="BI30" s="247"/>
      <c r="BJ30" s="247"/>
      <c r="BK30" s="247"/>
      <c r="BL30" s="247"/>
      <c r="BM30" s="247"/>
      <c r="BN30" s="314"/>
    </row>
    <row r="31" spans="2:198">
      <c r="D31" s="275"/>
      <c r="E31" s="275"/>
      <c r="F31" s="275" t="s">
        <v>396</v>
      </c>
      <c r="G31" s="275"/>
      <c r="H31" s="275"/>
      <c r="I31" s="275"/>
      <c r="J31" s="275"/>
      <c r="K31" s="275"/>
      <c r="L31" s="275"/>
      <c r="M31" s="275"/>
      <c r="N31" s="275"/>
      <c r="O31" s="275"/>
      <c r="P31" s="1732">
        <f>IF(AY29&gt;0,T33/AY29,0)</f>
        <v>0</v>
      </c>
      <c r="Q31" s="1732"/>
      <c r="R31" s="1732"/>
      <c r="S31" s="275" t="s">
        <v>465</v>
      </c>
      <c r="T31" s="275"/>
      <c r="U31" s="275"/>
      <c r="V31" s="275"/>
      <c r="W31" s="275"/>
      <c r="X31" s="275"/>
      <c r="Y31" s="275"/>
      <c r="Z31" s="275"/>
      <c r="AA31" s="275"/>
      <c r="AD31" s="1513"/>
      <c r="AE31" s="1514"/>
      <c r="AF31" s="1514"/>
      <c r="AG31" s="1514"/>
      <c r="AH31" s="1514"/>
      <c r="AI31" s="1514"/>
      <c r="AJ31" s="1514"/>
      <c r="AK31" s="1514"/>
      <c r="AL31" s="1514"/>
      <c r="AM31" s="1514"/>
      <c r="AN31" s="1515"/>
      <c r="AU31" s="916" t="s">
        <v>865</v>
      </c>
      <c r="AV31" s="402"/>
      <c r="AW31" s="402"/>
      <c r="AX31" s="402"/>
      <c r="AY31" s="402"/>
      <c r="AZ31" s="917">
        <f>IF(BG50=0,0,IF(V19&gt;AY25,0,1))</f>
        <v>1</v>
      </c>
      <c r="BA31" s="1508" t="str">
        <f>IF(AZ31=1,"Vergütungsanspruch o.k.","kein Vergütungsanspruch")</f>
        <v>Vergütungsanspruch o.k.</v>
      </c>
      <c r="BB31" s="1508"/>
      <c r="BC31" s="1509"/>
      <c r="BD31" s="247"/>
      <c r="BE31" s="401"/>
      <c r="BF31" s="247"/>
      <c r="BG31" s="401"/>
      <c r="BH31" s="247"/>
      <c r="BI31" s="247"/>
      <c r="BJ31" s="247"/>
      <c r="BK31" s="247"/>
      <c r="BL31" s="247"/>
      <c r="BM31" s="247"/>
      <c r="BN31" s="314"/>
    </row>
    <row r="32" spans="2:198" ht="3.2" customHeight="1">
      <c r="D32" s="275"/>
      <c r="E32" s="275"/>
      <c r="F32" s="275"/>
      <c r="G32" s="275"/>
      <c r="H32" s="275"/>
      <c r="I32" s="275"/>
      <c r="J32" s="275"/>
      <c r="K32" s="275"/>
      <c r="L32" s="275"/>
      <c r="M32" s="275"/>
      <c r="N32" s="275"/>
      <c r="O32" s="275"/>
      <c r="P32" s="284"/>
      <c r="Q32" s="284"/>
      <c r="R32" s="284"/>
      <c r="S32" s="275"/>
      <c r="T32" s="275"/>
      <c r="U32" s="275"/>
      <c r="V32" s="275"/>
      <c r="W32" s="275"/>
      <c r="X32" s="275"/>
      <c r="Y32" s="275"/>
      <c r="Z32" s="275"/>
      <c r="AA32" s="275"/>
      <c r="AD32" s="1513"/>
      <c r="AE32" s="1514"/>
      <c r="AF32" s="1514"/>
      <c r="AG32" s="1514"/>
      <c r="AH32" s="1514"/>
      <c r="AI32" s="1514"/>
      <c r="AJ32" s="1514"/>
      <c r="AK32" s="1514"/>
      <c r="AL32" s="1514"/>
      <c r="AM32" s="1514"/>
      <c r="AN32" s="1515"/>
      <c r="AU32" s="396"/>
      <c r="AV32" s="397"/>
      <c r="AW32" s="397"/>
      <c r="AX32" s="397"/>
      <c r="AY32" s="397"/>
      <c r="AZ32" s="397"/>
      <c r="BA32" s="397"/>
      <c r="BB32" s="397"/>
      <c r="BC32" s="399"/>
      <c r="BD32" s="247"/>
      <c r="BE32" s="401"/>
      <c r="BF32" s="247"/>
      <c r="BG32" s="401"/>
      <c r="BH32" s="247"/>
      <c r="BI32" s="247"/>
      <c r="BJ32" s="247"/>
      <c r="BK32" s="247"/>
      <c r="BL32" s="247"/>
      <c r="BM32" s="247"/>
      <c r="BN32" s="314"/>
    </row>
    <row r="33" spans="4:87" ht="12.75" customHeight="1">
      <c r="D33" s="275"/>
      <c r="E33" s="275"/>
      <c r="F33" s="241" t="s">
        <v>126</v>
      </c>
      <c r="G33" s="241"/>
      <c r="H33" s="241"/>
      <c r="I33" s="241"/>
      <c r="J33" s="241"/>
      <c r="K33" s="241"/>
      <c r="L33" s="241"/>
      <c r="M33" s="241"/>
      <c r="N33" s="241"/>
      <c r="O33" s="275"/>
      <c r="P33" s="275"/>
      <c r="Q33" s="275"/>
      <c r="R33" s="275"/>
      <c r="S33" s="275"/>
      <c r="T33" s="1506">
        <f>T38+T40+T42+T44+T46+T48+T50+T52+T54+T56</f>
        <v>0</v>
      </c>
      <c r="U33" s="1506"/>
      <c r="V33" s="1506"/>
      <c r="W33" s="1506"/>
      <c r="X33" s="1506"/>
      <c r="Y33" s="285" t="s">
        <v>380</v>
      </c>
      <c r="Z33" s="285"/>
      <c r="AA33" s="241"/>
      <c r="AB33" s="286"/>
      <c r="AC33" s="287"/>
      <c r="AD33" s="1513"/>
      <c r="AE33" s="1514"/>
      <c r="AF33" s="1514"/>
      <c r="AG33" s="1514"/>
      <c r="AH33" s="1514"/>
      <c r="AI33" s="1514"/>
      <c r="AJ33" s="1514"/>
      <c r="AK33" s="1514"/>
      <c r="AL33" s="1514"/>
      <c r="AM33" s="1514"/>
      <c r="AN33" s="1515"/>
      <c r="AO33" s="247"/>
      <c r="AP33" s="247"/>
      <c r="AQ33" s="247"/>
      <c r="AR33" s="247"/>
      <c r="AS33" s="247"/>
      <c r="AT33" s="247"/>
      <c r="AU33" s="919" t="str">
        <f>IF(BG50=0,"Keine Berechnung ausschreibungspflichtiger Anlagen möglich !",IF(AND(BC15&lt;41,AZ31=0),"Für die Anlage besteht aufgrund der Größe kein Anspruch auf Einspeisevergütung (Grenze = "&amp;ROUND(AY25,2)&amp;" kWp)",IF(AND(BC15&gt;40,AZ31=0),"Für die Anlage besteht aufgrund der Größe kein Anspruch auf Einspeisevergütung (Grenze = "&amp;ROUND(AY25,2)&amp;" kWp)","")))</f>
        <v/>
      </c>
      <c r="AV33" s="402"/>
      <c r="AW33" s="402"/>
      <c r="AX33" s="402"/>
      <c r="AY33" s="402"/>
      <c r="AZ33" s="402"/>
      <c r="BA33" s="402"/>
      <c r="BB33" s="402"/>
      <c r="BC33" s="528"/>
      <c r="BD33" s="402"/>
      <c r="BE33" s="403"/>
      <c r="BF33" s="402"/>
      <c r="BG33" s="403"/>
      <c r="BH33" s="402"/>
      <c r="BI33" s="402"/>
      <c r="BJ33" s="402"/>
      <c r="BK33" s="402"/>
      <c r="BL33" s="402"/>
      <c r="BM33" s="402"/>
      <c r="BN33" s="528"/>
    </row>
    <row r="34" spans="4:87" ht="3.2" customHeight="1">
      <c r="D34" s="354"/>
      <c r="E34" s="354"/>
      <c r="F34" s="354"/>
      <c r="G34" s="354"/>
      <c r="H34" s="354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4"/>
      <c r="Y34" s="354"/>
      <c r="Z34" s="354"/>
      <c r="AA34" s="354"/>
      <c r="AD34" s="1513"/>
      <c r="AE34" s="1514"/>
      <c r="AF34" s="1514"/>
      <c r="AG34" s="1514"/>
      <c r="AH34" s="1514"/>
      <c r="AI34" s="1514"/>
      <c r="AJ34" s="1514"/>
      <c r="AK34" s="1514"/>
      <c r="AL34" s="1514"/>
      <c r="AM34" s="1514"/>
      <c r="AN34" s="1515"/>
    </row>
    <row r="35" spans="4:87" ht="12.75" customHeight="1" thickBot="1">
      <c r="D35" s="275"/>
      <c r="E35" s="275"/>
      <c r="F35" s="275"/>
      <c r="G35" s="275"/>
      <c r="H35" s="275"/>
      <c r="I35" s="275"/>
      <c r="J35" s="275"/>
      <c r="K35" s="275"/>
      <c r="L35" s="275"/>
      <c r="M35" s="275"/>
      <c r="N35" s="275"/>
      <c r="O35" s="275"/>
      <c r="P35" s="275"/>
      <c r="Q35" s="275"/>
      <c r="R35" s="275"/>
      <c r="S35" s="275"/>
      <c r="T35" s="275"/>
      <c r="U35" s="275"/>
      <c r="V35" s="275"/>
      <c r="W35" s="275"/>
      <c r="X35" s="275"/>
      <c r="Y35" s="275"/>
      <c r="Z35" s="275"/>
      <c r="AA35" s="275"/>
      <c r="AD35" s="1513"/>
      <c r="AE35" s="1514"/>
      <c r="AF35" s="1514"/>
      <c r="AG35" s="1514"/>
      <c r="AH35" s="1514"/>
      <c r="AI35" s="1514"/>
      <c r="AJ35" s="1514"/>
      <c r="AK35" s="1514"/>
      <c r="AL35" s="1514"/>
      <c r="AM35" s="1514"/>
      <c r="AN35" s="1515"/>
    </row>
    <row r="36" spans="4:87" ht="12.75" customHeight="1" thickTop="1" thickBot="1">
      <c r="D36" s="275"/>
      <c r="E36" s="275"/>
      <c r="F36" s="337" t="s">
        <v>580</v>
      </c>
      <c r="G36" s="275"/>
      <c r="H36" s="275"/>
      <c r="I36" s="275"/>
      <c r="J36" s="275"/>
      <c r="K36" s="275"/>
      <c r="L36" s="275"/>
      <c r="M36" s="275"/>
      <c r="N36" s="275"/>
      <c r="O36" s="337" t="s">
        <v>581</v>
      </c>
      <c r="P36" s="275"/>
      <c r="Q36" s="275"/>
      <c r="R36" s="275"/>
      <c r="S36" s="275"/>
      <c r="T36" s="275"/>
      <c r="U36" s="275"/>
      <c r="V36" s="275"/>
      <c r="W36" s="275"/>
      <c r="X36" s="275"/>
      <c r="Y36" s="275"/>
      <c r="Z36" s="275"/>
      <c r="AA36" s="275"/>
      <c r="AD36" s="1533" t="s">
        <v>1448</v>
      </c>
      <c r="AE36" s="1534"/>
      <c r="AF36" s="1534"/>
      <c r="AG36" s="1534"/>
      <c r="AH36" s="1534"/>
      <c r="AI36" s="1534"/>
      <c r="AJ36" s="1534"/>
      <c r="AK36" s="1534"/>
      <c r="AL36" s="1534"/>
      <c r="AM36" s="1534"/>
      <c r="AN36" s="1535"/>
      <c r="AU36" s="1531">
        <f>VLOOKUP(B118,Vergütungen!A19:AM190,26,FALSE)</f>
        <v>100</v>
      </c>
      <c r="AV36" s="1532"/>
      <c r="AW36" s="386">
        <v>1</v>
      </c>
      <c r="AX36" s="1020">
        <v>0</v>
      </c>
      <c r="AY36" s="397" t="str">
        <f>IF(BC15&lt;41,"Einspeisevergütungs- Anlage (max. "&amp;AU36&amp;" kWp) (EEG 2012)",IF(BC15&lt;70,"Einspeisevergütungs - Anlage nach §37 EEG (max. "&amp;AU36&amp;" kWp) (EEG 2014)",IF(BC15&lt;118,"Einspeisevergütungs - Anlage (max. "&amp;AU36&amp;" kWp) (EEG 2017)",IF(BC15&lt;137,"Einspeisevergütungs - Anlage (max. "&amp;AU36&amp;" kWp) (EEG 2021)",IF(BC15&lt;142,"Einspeisevergütungs - Anlage (max. "&amp;AU36&amp;" kWp) (Osterpaket)","Einspeisevergütungs - Anlage (max. "&amp;AU36&amp;" kWp) (EEG 2023)")))))</f>
        <v>Einspeisevergütungs - Anlage (max. 100 kWp) (Osterpaket)</v>
      </c>
      <c r="AZ36" s="397"/>
      <c r="BA36" s="397"/>
      <c r="BB36" s="397"/>
      <c r="BC36" s="397"/>
      <c r="BD36" s="397"/>
      <c r="BE36" s="848"/>
      <c r="BF36" s="397"/>
      <c r="BG36" s="848"/>
      <c r="BH36" s="397"/>
      <c r="BI36" s="397"/>
      <c r="BJ36" s="397"/>
      <c r="BK36" s="397"/>
      <c r="BL36" s="397"/>
      <c r="BM36" s="397"/>
      <c r="BN36" s="399"/>
      <c r="BP36" s="1296" t="s">
        <v>1427</v>
      </c>
      <c r="BQ36" s="397"/>
      <c r="BR36" s="397"/>
      <c r="BS36" s="397"/>
      <c r="BT36" s="397"/>
      <c r="BU36" s="397"/>
      <c r="BV36" s="397"/>
      <c r="BW36" s="1344">
        <f>B17</f>
        <v>1</v>
      </c>
      <c r="BX36" s="1298" t="str">
        <f>VLOOKUP(BW36,BW38:BX40,2,FALSE)</f>
        <v>EIGENVERBRAUCHs - Anlage</v>
      </c>
      <c r="BY36" s="1298"/>
      <c r="BZ36" s="1298"/>
      <c r="CA36" s="1298"/>
      <c r="CB36" s="1298"/>
      <c r="CC36" s="1298"/>
      <c r="CD36" s="1298"/>
      <c r="CE36" s="1298"/>
      <c r="CF36" s="1298"/>
      <c r="CG36" s="1298"/>
      <c r="CH36" s="1298"/>
      <c r="CI36" s="1299"/>
    </row>
    <row r="37" spans="4:87" ht="3.2" customHeight="1" thickTop="1">
      <c r="D37" s="275"/>
      <c r="E37" s="275"/>
      <c r="F37" s="275"/>
      <c r="G37" s="275"/>
      <c r="H37" s="275"/>
      <c r="I37" s="275"/>
      <c r="J37" s="275"/>
      <c r="K37" s="275"/>
      <c r="L37" s="275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  <c r="Z37" s="275"/>
      <c r="AA37" s="275"/>
      <c r="AD37" s="1533"/>
      <c r="AE37" s="1534"/>
      <c r="AF37" s="1534"/>
      <c r="AG37" s="1534"/>
      <c r="AH37" s="1534"/>
      <c r="AI37" s="1534"/>
      <c r="AJ37" s="1534"/>
      <c r="AK37" s="1534"/>
      <c r="AL37" s="1534"/>
      <c r="AM37" s="1534"/>
      <c r="AN37" s="1535"/>
      <c r="AU37" s="427"/>
      <c r="AV37" s="763"/>
      <c r="AW37" s="318"/>
      <c r="AX37" s="1021"/>
      <c r="AY37" s="247"/>
      <c r="AZ37" s="247"/>
      <c r="BA37" s="247"/>
      <c r="BB37" s="247"/>
      <c r="BC37" s="247"/>
      <c r="BD37" s="247"/>
      <c r="BE37" s="401"/>
      <c r="BF37" s="247"/>
      <c r="BG37" s="401"/>
      <c r="BH37" s="247"/>
      <c r="BI37" s="247"/>
      <c r="BJ37" s="247"/>
      <c r="BK37" s="247"/>
      <c r="BL37" s="247"/>
      <c r="BM37" s="247"/>
      <c r="BN37" s="314"/>
      <c r="BP37" s="313"/>
      <c r="BQ37" s="247"/>
      <c r="BR37" s="247"/>
      <c r="BS37" s="247"/>
      <c r="BT37" s="247"/>
      <c r="BU37" s="247"/>
      <c r="BV37" s="247"/>
      <c r="BW37" s="247"/>
      <c r="BX37" s="247"/>
      <c r="BY37" s="247"/>
      <c r="BZ37" s="247"/>
      <c r="CA37" s="247"/>
      <c r="CB37" s="247"/>
      <c r="CC37" s="247"/>
      <c r="CD37" s="247"/>
      <c r="CE37" s="247"/>
      <c r="CF37" s="247"/>
      <c r="CG37" s="247"/>
      <c r="CH37" s="247"/>
      <c r="CI37" s="314"/>
    </row>
    <row r="38" spans="4:87" ht="12.75" customHeight="1" thickBot="1">
      <c r="D38" s="275"/>
      <c r="E38" s="275"/>
      <c r="F38" s="275"/>
      <c r="G38" s="275"/>
      <c r="H38" s="1836" t="s">
        <v>727</v>
      </c>
      <c r="I38" s="1547"/>
      <c r="J38" s="1547"/>
      <c r="K38" s="1547"/>
      <c r="L38" s="1547"/>
      <c r="M38" s="1547"/>
      <c r="N38" s="1547"/>
      <c r="O38" s="1547"/>
      <c r="P38" s="1547"/>
      <c r="Q38" s="1547"/>
      <c r="R38" s="1547"/>
      <c r="S38" s="1548"/>
      <c r="T38" s="1528"/>
      <c r="U38" s="1529"/>
      <c r="V38" s="1529"/>
      <c r="W38" s="1529"/>
      <c r="X38" s="1530"/>
      <c r="Y38" s="623" t="s">
        <v>380</v>
      </c>
      <c r="Z38" s="285"/>
      <c r="AA38" s="275"/>
      <c r="AD38" s="1533"/>
      <c r="AE38" s="1534"/>
      <c r="AF38" s="1534"/>
      <c r="AG38" s="1534"/>
      <c r="AH38" s="1534"/>
      <c r="AI38" s="1534"/>
      <c r="AJ38" s="1534"/>
      <c r="AK38" s="1534"/>
      <c r="AL38" s="1534"/>
      <c r="AM38" s="1534"/>
      <c r="AN38" s="1535"/>
      <c r="AU38" s="1541">
        <f>VLOOKUP(B118,Vergütungen!A19:AM190,27,FALSE)</f>
        <v>20000</v>
      </c>
      <c r="AV38" s="1542"/>
      <c r="AW38" s="1008">
        <v>2</v>
      </c>
      <c r="AX38" s="1021">
        <f>IF(BC15&lt;41,0,1)</f>
        <v>1</v>
      </c>
      <c r="AY38" s="1009" t="str">
        <f>IF(BC15&lt;41,"Einspeisevergütungs- Anlage (max. "&amp;AU38&amp;" kWp) (EEG 2012)",IF(BC15&lt;70,"MARKTPRÄMIEN-Modell - Anlage (EEG 2014)",IF(BC15&lt;118,"MARKTPRÄMIEN-Modell - Anlage (&lt;= "&amp;AY54&amp;" kWp) (EEG 2017)",IF(BC15&lt;137,"MARKTPRÄMIEN-Modell - Anlage (&lt;= "&amp;AY54&amp;" kWp) (EEG 2021)",IF(BC15&lt;142,"MARKTPRÄMIEN-Modell - Anlage (&lt;= "&amp;AY54&amp;" kWp) (Osterpaket)","MARKTPRÄMIEN-Modell - Anlage (&lt;= "&amp;AY54&amp;" kWp) (EEG 2023)")))))</f>
        <v>MARKTPRÄMIEN-Modell - Anlage (&lt;= 750 kWp) (Osterpaket)</v>
      </c>
      <c r="AZ38" s="1009"/>
      <c r="BA38" s="1009"/>
      <c r="BB38" s="1009"/>
      <c r="BC38" s="1009"/>
      <c r="BD38" s="1009"/>
      <c r="BE38" s="1010"/>
      <c r="BF38" s="1009"/>
      <c r="BG38" s="1010"/>
      <c r="BH38" s="1009"/>
      <c r="BI38" s="1009"/>
      <c r="BJ38" s="1009"/>
      <c r="BK38" s="1009"/>
      <c r="BL38" s="1009"/>
      <c r="BM38" s="1009"/>
      <c r="BN38" s="1011"/>
      <c r="BP38" s="313"/>
      <c r="BQ38" s="247"/>
      <c r="BR38" s="247"/>
      <c r="BS38" s="247"/>
      <c r="BT38" s="247"/>
      <c r="BU38" s="247"/>
      <c r="BV38" s="247"/>
      <c r="BW38" s="1021">
        <v>1</v>
      </c>
      <c r="BX38" s="247" t="str">
        <f>IF(BC15&lt;137,"(nur für Anlagen mit IB ab August 2022 zu erfassen)","EIGENVERBRAUCHs - Anlage")</f>
        <v>EIGENVERBRAUCHs - Anlage</v>
      </c>
      <c r="BY38" s="247"/>
      <c r="BZ38" s="247"/>
      <c r="CA38" s="247"/>
      <c r="CB38" s="247"/>
      <c r="CC38" s="247"/>
      <c r="CD38" s="247"/>
      <c r="CE38" s="247"/>
      <c r="CF38" s="247"/>
      <c r="CG38" s="247"/>
      <c r="CH38" s="247"/>
      <c r="CI38" s="314"/>
    </row>
    <row r="39" spans="4:87" ht="3.2" customHeight="1" thickTop="1">
      <c r="D39" s="275"/>
      <c r="E39" s="275"/>
      <c r="F39" s="275"/>
      <c r="G39" s="275"/>
      <c r="H39" s="275"/>
      <c r="I39" s="275"/>
      <c r="J39" s="275"/>
      <c r="K39" s="275"/>
      <c r="L39" s="275"/>
      <c r="M39" s="275"/>
      <c r="N39" s="275"/>
      <c r="O39" s="275"/>
      <c r="P39" s="275"/>
      <c r="Q39" s="275"/>
      <c r="R39" s="275"/>
      <c r="S39" s="275"/>
      <c r="T39" s="337"/>
      <c r="U39" s="337"/>
      <c r="V39" s="337"/>
      <c r="W39" s="337"/>
      <c r="X39" s="337"/>
      <c r="Y39" s="275"/>
      <c r="Z39" s="275"/>
      <c r="AA39" s="275"/>
      <c r="AD39" s="1533"/>
      <c r="AE39" s="1534"/>
      <c r="AF39" s="1534"/>
      <c r="AG39" s="1534"/>
      <c r="AH39" s="1534"/>
      <c r="AI39" s="1534"/>
      <c r="AJ39" s="1534"/>
      <c r="AK39" s="1534"/>
      <c r="AL39" s="1534"/>
      <c r="AM39" s="1534"/>
      <c r="AN39" s="1535"/>
      <c r="AU39" s="313"/>
      <c r="AV39" s="247"/>
      <c r="AW39" s="247"/>
      <c r="AX39" s="1345"/>
      <c r="AY39" s="247"/>
      <c r="AZ39" s="247"/>
      <c r="BA39" s="247"/>
      <c r="BB39" s="247"/>
      <c r="BC39" s="247"/>
      <c r="BD39" s="247"/>
      <c r="BE39" s="401"/>
      <c r="BF39" s="247"/>
      <c r="BG39" s="401"/>
      <c r="BH39" s="247"/>
      <c r="BI39" s="247"/>
      <c r="BJ39" s="247"/>
      <c r="BK39" s="247"/>
      <c r="BL39" s="247"/>
      <c r="BM39" s="247"/>
      <c r="BN39" s="314"/>
      <c r="BP39" s="313"/>
      <c r="BQ39" s="247"/>
      <c r="BR39" s="247"/>
      <c r="BS39" s="247"/>
      <c r="BT39" s="247"/>
      <c r="BU39" s="247"/>
      <c r="BV39" s="247"/>
      <c r="BW39" s="1021"/>
      <c r="BX39" s="247"/>
      <c r="BY39" s="247"/>
      <c r="BZ39" s="247"/>
      <c r="CA39" s="247"/>
      <c r="CB39" s="247"/>
      <c r="CC39" s="247"/>
      <c r="CD39" s="247"/>
      <c r="CE39" s="247"/>
      <c r="CF39" s="247"/>
      <c r="CG39" s="247"/>
      <c r="CH39" s="247"/>
      <c r="CI39" s="314"/>
    </row>
    <row r="40" spans="4:87" ht="12.75" customHeight="1" thickBot="1">
      <c r="D40" s="275"/>
      <c r="E40" s="275"/>
      <c r="F40" s="275"/>
      <c r="G40" s="275"/>
      <c r="H40" s="1836"/>
      <c r="I40" s="1547"/>
      <c r="J40" s="1547"/>
      <c r="K40" s="1547"/>
      <c r="L40" s="1547"/>
      <c r="M40" s="1547"/>
      <c r="N40" s="1547"/>
      <c r="O40" s="1547"/>
      <c r="P40" s="1547"/>
      <c r="Q40" s="1547"/>
      <c r="R40" s="1547"/>
      <c r="S40" s="1548"/>
      <c r="T40" s="1528"/>
      <c r="U40" s="1529"/>
      <c r="V40" s="1529"/>
      <c r="W40" s="1529"/>
      <c r="X40" s="1530"/>
      <c r="Y40" s="623" t="s">
        <v>380</v>
      </c>
      <c r="Z40" s="285"/>
      <c r="AA40" s="275"/>
      <c r="AD40" s="1533"/>
      <c r="AE40" s="1534"/>
      <c r="AF40" s="1534"/>
      <c r="AG40" s="1534"/>
      <c r="AH40" s="1534"/>
      <c r="AI40" s="1534"/>
      <c r="AJ40" s="1534"/>
      <c r="AK40" s="1534"/>
      <c r="AL40" s="1534"/>
      <c r="AM40" s="1534"/>
      <c r="AN40" s="1535"/>
      <c r="AU40" s="324"/>
      <c r="AV40" s="402"/>
      <c r="AW40" s="402"/>
      <c r="AX40" s="1346">
        <f>VLOOKUP($B$15,$AW$36:$AY$38,2,FALSE)</f>
        <v>0</v>
      </c>
      <c r="AY40" s="402" t="s">
        <v>1080</v>
      </c>
      <c r="AZ40" s="402"/>
      <c r="BA40" s="402"/>
      <c r="BB40" s="402"/>
      <c r="BC40" s="402"/>
      <c r="BD40" s="402"/>
      <c r="BE40" s="403"/>
      <c r="BF40" s="402"/>
      <c r="BG40" s="403"/>
      <c r="BH40" s="402"/>
      <c r="BI40" s="402"/>
      <c r="BJ40" s="402"/>
      <c r="BK40" s="402"/>
      <c r="BL40" s="402"/>
      <c r="BM40" s="402"/>
      <c r="BN40" s="528"/>
      <c r="BP40" s="324"/>
      <c r="BQ40" s="402"/>
      <c r="BR40" s="402"/>
      <c r="BS40" s="402"/>
      <c r="BT40" s="402"/>
      <c r="BU40" s="402"/>
      <c r="BV40" s="402"/>
      <c r="BW40" s="1297">
        <v>2</v>
      </c>
      <c r="BX40" s="402" t="str">
        <f>IF(BC15&lt;137,"(nur für Anlagen mit IB ab August 2022 zu erfassen)","VOLLEINSPEISUNGs - Anlage")</f>
        <v>VOLLEINSPEISUNGs - Anlage</v>
      </c>
      <c r="BY40" s="402"/>
      <c r="BZ40" s="402"/>
      <c r="CA40" s="402"/>
      <c r="CB40" s="402"/>
      <c r="CC40" s="402"/>
      <c r="CD40" s="402"/>
      <c r="CE40" s="402"/>
      <c r="CF40" s="402"/>
      <c r="CG40" s="402"/>
      <c r="CH40" s="402"/>
      <c r="CI40" s="528"/>
    </row>
    <row r="41" spans="4:87" ht="3.2" customHeight="1" thickTop="1">
      <c r="D41" s="275"/>
      <c r="E41" s="275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337"/>
      <c r="U41" s="337"/>
      <c r="V41" s="337"/>
      <c r="W41" s="337"/>
      <c r="X41" s="337"/>
      <c r="Y41" s="275"/>
      <c r="Z41" s="275"/>
      <c r="AA41" s="275"/>
      <c r="AD41" s="1533"/>
      <c r="AE41" s="1534"/>
      <c r="AF41" s="1534"/>
      <c r="AG41" s="1534"/>
      <c r="AH41" s="1534"/>
      <c r="AI41" s="1534"/>
      <c r="AJ41" s="1534"/>
      <c r="AK41" s="1534"/>
      <c r="AL41" s="1534"/>
      <c r="AM41" s="1534"/>
      <c r="AN41" s="1535"/>
    </row>
    <row r="42" spans="4:87" ht="12.75" customHeight="1">
      <c r="D42" s="275"/>
      <c r="E42" s="275"/>
      <c r="F42" s="275"/>
      <c r="G42" s="275"/>
      <c r="H42" s="1836"/>
      <c r="I42" s="1547"/>
      <c r="J42" s="1547"/>
      <c r="K42" s="1547"/>
      <c r="L42" s="1547"/>
      <c r="M42" s="1547"/>
      <c r="N42" s="1547"/>
      <c r="O42" s="1547"/>
      <c r="P42" s="1547"/>
      <c r="Q42" s="1547"/>
      <c r="R42" s="1547"/>
      <c r="S42" s="1548"/>
      <c r="T42" s="1528"/>
      <c r="U42" s="1529"/>
      <c r="V42" s="1529"/>
      <c r="W42" s="1529"/>
      <c r="X42" s="1530"/>
      <c r="Y42" s="623" t="s">
        <v>380</v>
      </c>
      <c r="Z42" s="285"/>
      <c r="AA42" s="275"/>
      <c r="AD42" s="1533"/>
      <c r="AE42" s="1534"/>
      <c r="AF42" s="1534"/>
      <c r="AG42" s="1534"/>
      <c r="AH42" s="1534"/>
      <c r="AI42" s="1534"/>
      <c r="AJ42" s="1534"/>
      <c r="AK42" s="1534"/>
      <c r="AL42" s="1534"/>
      <c r="AM42" s="1534"/>
      <c r="AN42" s="1535"/>
    </row>
    <row r="43" spans="4:87" ht="3.2" customHeight="1">
      <c r="D43" s="275"/>
      <c r="E43" s="275"/>
      <c r="F43" s="275"/>
      <c r="G43" s="275"/>
      <c r="H43" s="275"/>
      <c r="I43" s="275"/>
      <c r="J43" s="275"/>
      <c r="K43" s="275"/>
      <c r="L43" s="275"/>
      <c r="M43" s="275"/>
      <c r="N43" s="275"/>
      <c r="O43" s="275"/>
      <c r="P43" s="275"/>
      <c r="Q43" s="275"/>
      <c r="R43" s="275"/>
      <c r="S43" s="275"/>
      <c r="T43" s="337"/>
      <c r="U43" s="337"/>
      <c r="V43" s="337"/>
      <c r="W43" s="337"/>
      <c r="X43" s="337"/>
      <c r="Y43" s="275"/>
      <c r="Z43" s="275"/>
      <c r="AA43" s="275"/>
      <c r="AD43" s="1533"/>
      <c r="AE43" s="1534"/>
      <c r="AF43" s="1534"/>
      <c r="AG43" s="1534"/>
      <c r="AH43" s="1534"/>
      <c r="AI43" s="1534"/>
      <c r="AJ43" s="1534"/>
      <c r="AK43" s="1534"/>
      <c r="AL43" s="1534"/>
      <c r="AM43" s="1534"/>
      <c r="AN43" s="1535"/>
    </row>
    <row r="44" spans="4:87" ht="12.75" customHeight="1">
      <c r="D44" s="275"/>
      <c r="E44" s="275"/>
      <c r="F44" s="275"/>
      <c r="G44" s="275"/>
      <c r="H44" s="1836"/>
      <c r="I44" s="1547"/>
      <c r="J44" s="1547"/>
      <c r="K44" s="1547"/>
      <c r="L44" s="1547"/>
      <c r="M44" s="1547"/>
      <c r="N44" s="1547"/>
      <c r="O44" s="1547"/>
      <c r="P44" s="1547"/>
      <c r="Q44" s="1547"/>
      <c r="R44" s="1547"/>
      <c r="S44" s="1548"/>
      <c r="T44" s="1528"/>
      <c r="U44" s="1529"/>
      <c r="V44" s="1529"/>
      <c r="W44" s="1529"/>
      <c r="X44" s="1530"/>
      <c r="Y44" s="623" t="s">
        <v>380</v>
      </c>
      <c r="Z44" s="285"/>
      <c r="AA44" s="275"/>
      <c r="AD44" s="1533"/>
      <c r="AE44" s="1534"/>
      <c r="AF44" s="1534"/>
      <c r="AG44" s="1534"/>
      <c r="AH44" s="1534"/>
      <c r="AI44" s="1534"/>
      <c r="AJ44" s="1534"/>
      <c r="AK44" s="1534"/>
      <c r="AL44" s="1534"/>
      <c r="AM44" s="1534"/>
      <c r="AN44" s="1535"/>
      <c r="AU44" s="1062" t="s">
        <v>1153</v>
      </c>
      <c r="AV44" s="777"/>
      <c r="AW44" s="777"/>
      <c r="AX44" s="777"/>
      <c r="AY44" s="777"/>
      <c r="AZ44" s="777"/>
      <c r="BA44" s="777"/>
      <c r="BB44" s="777"/>
      <c r="BC44" s="777"/>
      <c r="BD44" s="777"/>
      <c r="BE44" s="1063"/>
      <c r="BF44" s="777"/>
      <c r="BG44" s="848"/>
      <c r="BH44" s="397"/>
      <c r="BI44" s="1470" t="str">
        <f>IF(BG50=0,"Für die Anlage besteht Ausschreibungspflicht", "Für die Anlage besteht keine Ausschreibungspflicht")</f>
        <v>Für die Anlage besteht keine Ausschreibungspflicht</v>
      </c>
      <c r="BJ44" s="1471"/>
      <c r="BK44" s="1471"/>
      <c r="BL44" s="1471"/>
      <c r="BM44" s="1471"/>
      <c r="BN44" s="1472"/>
    </row>
    <row r="45" spans="4:87" ht="3.2" customHeight="1">
      <c r="D45" s="275"/>
      <c r="E45" s="275"/>
      <c r="F45" s="275"/>
      <c r="G45" s="275"/>
      <c r="H45" s="275"/>
      <c r="I45" s="275"/>
      <c r="J45" s="275"/>
      <c r="K45" s="275"/>
      <c r="L45" s="275"/>
      <c r="M45" s="275"/>
      <c r="N45" s="275"/>
      <c r="O45" s="275"/>
      <c r="P45" s="275"/>
      <c r="Q45" s="275"/>
      <c r="R45" s="275"/>
      <c r="S45" s="275"/>
      <c r="T45" s="337"/>
      <c r="U45" s="337"/>
      <c r="V45" s="337"/>
      <c r="W45" s="337"/>
      <c r="X45" s="337"/>
      <c r="Y45" s="275"/>
      <c r="Z45" s="275"/>
      <c r="AA45" s="275"/>
      <c r="AD45" s="1533"/>
      <c r="AE45" s="1534"/>
      <c r="AF45" s="1534"/>
      <c r="AG45" s="1534"/>
      <c r="AH45" s="1534"/>
      <c r="AI45" s="1534"/>
      <c r="AJ45" s="1534"/>
      <c r="AK45" s="1534"/>
      <c r="AL45" s="1534"/>
      <c r="AM45" s="1534"/>
      <c r="AN45" s="1535"/>
      <c r="AU45" s="722"/>
      <c r="AV45" s="767"/>
      <c r="AW45" s="767"/>
      <c r="AX45" s="767"/>
      <c r="AY45" s="767"/>
      <c r="AZ45" s="767"/>
      <c r="BA45" s="767"/>
      <c r="BB45" s="767"/>
      <c r="BC45" s="767"/>
      <c r="BD45" s="767"/>
      <c r="BE45" s="791"/>
      <c r="BF45" s="767"/>
      <c r="BG45" s="401"/>
      <c r="BH45" s="247"/>
      <c r="BI45" s="1473"/>
      <c r="BJ45" s="1474"/>
      <c r="BK45" s="1474"/>
      <c r="BL45" s="1474"/>
      <c r="BM45" s="1474"/>
      <c r="BN45" s="1475"/>
    </row>
    <row r="46" spans="4:87" ht="12.75" customHeight="1">
      <c r="D46" s="275"/>
      <c r="E46" s="275"/>
      <c r="F46" s="275"/>
      <c r="G46" s="275"/>
      <c r="H46" s="1836"/>
      <c r="I46" s="1547"/>
      <c r="J46" s="1547"/>
      <c r="K46" s="1547"/>
      <c r="L46" s="1547"/>
      <c r="M46" s="1547"/>
      <c r="N46" s="1547"/>
      <c r="O46" s="1547"/>
      <c r="P46" s="1547"/>
      <c r="Q46" s="1547"/>
      <c r="R46" s="1547"/>
      <c r="S46" s="1548"/>
      <c r="T46" s="1528"/>
      <c r="U46" s="1529"/>
      <c r="V46" s="1529"/>
      <c r="W46" s="1529"/>
      <c r="X46" s="1530"/>
      <c r="Y46" s="623" t="s">
        <v>380</v>
      </c>
      <c r="Z46" s="285"/>
      <c r="AA46" s="275"/>
      <c r="AD46" s="1533"/>
      <c r="AE46" s="1534"/>
      <c r="AF46" s="1534"/>
      <c r="AG46" s="1534"/>
      <c r="AH46" s="1534"/>
      <c r="AI46" s="1534"/>
      <c r="AJ46" s="1534"/>
      <c r="AK46" s="1534"/>
      <c r="AL46" s="1534"/>
      <c r="AM46" s="1534"/>
      <c r="AN46" s="1535"/>
      <c r="AP46" s="653"/>
      <c r="AQ46" s="653"/>
      <c r="AR46" s="653"/>
      <c r="AS46" s="653"/>
      <c r="AT46" s="653"/>
      <c r="AU46" s="1064" t="s">
        <v>1154</v>
      </c>
      <c r="AV46" s="767"/>
      <c r="AW46" s="767"/>
      <c r="AX46" s="767"/>
      <c r="AY46" s="767"/>
      <c r="AZ46" s="767"/>
      <c r="BA46" s="767"/>
      <c r="BB46" s="767"/>
      <c r="BC46" s="767"/>
      <c r="BD46" s="767"/>
      <c r="BE46" s="791"/>
      <c r="BF46" s="767"/>
      <c r="BG46" s="401"/>
      <c r="BH46" s="247"/>
      <c r="BI46" s="1473"/>
      <c r="BJ46" s="1474"/>
      <c r="BK46" s="1474"/>
      <c r="BL46" s="1474"/>
      <c r="BM46" s="1474"/>
      <c r="BN46" s="1475"/>
    </row>
    <row r="47" spans="4:87" ht="3.2" customHeight="1">
      <c r="D47" s="275"/>
      <c r="E47" s="275"/>
      <c r="F47" s="275"/>
      <c r="G47" s="275"/>
      <c r="H47" s="275"/>
      <c r="I47" s="275"/>
      <c r="J47" s="275"/>
      <c r="K47" s="275"/>
      <c r="L47" s="275"/>
      <c r="M47" s="275"/>
      <c r="N47" s="275"/>
      <c r="O47" s="275"/>
      <c r="P47" s="275"/>
      <c r="Q47" s="275"/>
      <c r="R47" s="275"/>
      <c r="S47" s="275"/>
      <c r="T47" s="337"/>
      <c r="U47" s="337"/>
      <c r="V47" s="337"/>
      <c r="W47" s="337"/>
      <c r="X47" s="337"/>
      <c r="Y47" s="275"/>
      <c r="Z47" s="275"/>
      <c r="AA47" s="275"/>
      <c r="AD47" s="1533"/>
      <c r="AE47" s="1534"/>
      <c r="AF47" s="1534"/>
      <c r="AG47" s="1534"/>
      <c r="AH47" s="1534"/>
      <c r="AI47" s="1534"/>
      <c r="AJ47" s="1534"/>
      <c r="AK47" s="1534"/>
      <c r="AL47" s="1534"/>
      <c r="AM47" s="1534"/>
      <c r="AN47" s="1535"/>
      <c r="AU47" s="722"/>
      <c r="AV47" s="767"/>
      <c r="AW47" s="767"/>
      <c r="AX47" s="767"/>
      <c r="AY47" s="767"/>
      <c r="AZ47" s="767"/>
      <c r="BA47" s="767"/>
      <c r="BB47" s="767"/>
      <c r="BC47" s="767"/>
      <c r="BD47" s="767"/>
      <c r="BE47" s="791"/>
      <c r="BF47" s="767"/>
      <c r="BG47" s="401"/>
      <c r="BH47" s="247"/>
      <c r="BI47" s="1473"/>
      <c r="BJ47" s="1474"/>
      <c r="BK47" s="1474"/>
      <c r="BL47" s="1474"/>
      <c r="BM47" s="1474"/>
      <c r="BN47" s="1475"/>
    </row>
    <row r="48" spans="4:87" ht="12.75" customHeight="1" thickBot="1">
      <c r="D48" s="275"/>
      <c r="E48" s="275"/>
      <c r="F48" s="275"/>
      <c r="G48" s="275"/>
      <c r="H48" s="1547"/>
      <c r="I48" s="1547"/>
      <c r="J48" s="1547"/>
      <c r="K48" s="1547"/>
      <c r="L48" s="1547"/>
      <c r="M48" s="1547"/>
      <c r="N48" s="1547"/>
      <c r="O48" s="1547"/>
      <c r="P48" s="1547"/>
      <c r="Q48" s="1547"/>
      <c r="R48" s="1547"/>
      <c r="S48" s="1548"/>
      <c r="T48" s="1528"/>
      <c r="U48" s="1529"/>
      <c r="V48" s="1529"/>
      <c r="W48" s="1529"/>
      <c r="X48" s="1530"/>
      <c r="Y48" s="623" t="s">
        <v>380</v>
      </c>
      <c r="Z48" s="285"/>
      <c r="AA48" s="275"/>
      <c r="AD48" s="1536"/>
      <c r="AE48" s="1537"/>
      <c r="AF48" s="1537"/>
      <c r="AG48" s="1537"/>
      <c r="AH48" s="1537"/>
      <c r="AI48" s="1537"/>
      <c r="AJ48" s="1537"/>
      <c r="AK48" s="1537"/>
      <c r="AL48" s="1537"/>
      <c r="AM48" s="1537"/>
      <c r="AN48" s="1538"/>
      <c r="AU48" s="1064" t="s">
        <v>1155</v>
      </c>
      <c r="AV48" s="767"/>
      <c r="AW48" s="767"/>
      <c r="AX48" s="767"/>
      <c r="AY48" s="767"/>
      <c r="AZ48" s="767"/>
      <c r="BA48" s="767"/>
      <c r="BB48" s="767"/>
      <c r="BC48" s="767"/>
      <c r="BD48" s="767"/>
      <c r="BE48" s="791"/>
      <c r="BF48" s="767"/>
      <c r="BG48" s="401"/>
      <c r="BH48" s="247"/>
      <c r="BI48" s="1473"/>
      <c r="BJ48" s="1474"/>
      <c r="BK48" s="1474"/>
      <c r="BL48" s="1474"/>
      <c r="BM48" s="1474"/>
      <c r="BN48" s="1475"/>
    </row>
    <row r="49" spans="3:66" ht="3.2" customHeight="1" thickTop="1">
      <c r="D49" s="275"/>
      <c r="E49" s="275"/>
      <c r="F49" s="275"/>
      <c r="G49" s="275"/>
      <c r="H49" s="275"/>
      <c r="I49" s="275"/>
      <c r="J49" s="275"/>
      <c r="K49" s="275"/>
      <c r="L49" s="275"/>
      <c r="M49" s="275"/>
      <c r="N49" s="275"/>
      <c r="O49" s="275"/>
      <c r="P49" s="275"/>
      <c r="Q49" s="275"/>
      <c r="R49" s="275"/>
      <c r="S49" s="275"/>
      <c r="T49" s="337"/>
      <c r="U49" s="337"/>
      <c r="V49" s="337"/>
      <c r="W49" s="337"/>
      <c r="X49" s="337"/>
      <c r="Y49" s="275"/>
      <c r="Z49" s="275"/>
      <c r="AA49" s="275"/>
      <c r="AU49" s="722"/>
      <c r="AV49" s="767"/>
      <c r="AW49" s="767"/>
      <c r="AX49" s="767"/>
      <c r="AY49" s="767"/>
      <c r="AZ49" s="767"/>
      <c r="BA49" s="767"/>
      <c r="BB49" s="767"/>
      <c r="BC49" s="767"/>
      <c r="BD49" s="767"/>
      <c r="BE49" s="791"/>
      <c r="BF49" s="767"/>
      <c r="BG49" s="401"/>
      <c r="BH49" s="247"/>
      <c r="BI49" s="1473"/>
      <c r="BJ49" s="1474"/>
      <c r="BK49" s="1474"/>
      <c r="BL49" s="1474"/>
      <c r="BM49" s="1474"/>
      <c r="BN49" s="1475"/>
    </row>
    <row r="50" spans="3:66" ht="12.75" customHeight="1">
      <c r="D50" s="275"/>
      <c r="E50" s="275"/>
      <c r="F50" s="275"/>
      <c r="G50" s="275"/>
      <c r="H50" s="1547"/>
      <c r="I50" s="1547"/>
      <c r="J50" s="1547"/>
      <c r="K50" s="1547"/>
      <c r="L50" s="1547"/>
      <c r="M50" s="1547"/>
      <c r="N50" s="1547"/>
      <c r="O50" s="1547"/>
      <c r="P50" s="1547"/>
      <c r="Q50" s="1547"/>
      <c r="R50" s="1547"/>
      <c r="S50" s="1548"/>
      <c r="T50" s="1528"/>
      <c r="U50" s="1529"/>
      <c r="V50" s="1529"/>
      <c r="W50" s="1529"/>
      <c r="X50" s="1530"/>
      <c r="Y50" s="623" t="s">
        <v>380</v>
      </c>
      <c r="Z50" s="285"/>
      <c r="AA50" s="275"/>
      <c r="AU50" s="313"/>
      <c r="AV50" s="247"/>
      <c r="AW50" s="247"/>
      <c r="AX50" s="247"/>
      <c r="AY50" s="247"/>
      <c r="AZ50" s="247"/>
      <c r="BA50" s="247"/>
      <c r="BB50" s="247"/>
      <c r="BC50" s="308"/>
      <c r="BD50" s="1073"/>
      <c r="BE50" s="1074" t="s">
        <v>383</v>
      </c>
      <c r="BF50" s="1073"/>
      <c r="BG50" s="1075">
        <f>IF(B118&lt;54,1,BG52+BG56)</f>
        <v>1</v>
      </c>
      <c r="BH50" s="247"/>
      <c r="BI50" s="1473"/>
      <c r="BJ50" s="1474"/>
      <c r="BK50" s="1474"/>
      <c r="BL50" s="1474"/>
      <c r="BM50" s="1474"/>
      <c r="BN50" s="1475"/>
    </row>
    <row r="51" spans="3:66" ht="3.2" customHeight="1">
      <c r="D51" s="275"/>
      <c r="E51" s="275"/>
      <c r="F51" s="275"/>
      <c r="G51" s="275"/>
      <c r="H51" s="275"/>
      <c r="I51" s="275"/>
      <c r="J51" s="275"/>
      <c r="K51" s="275"/>
      <c r="L51" s="275"/>
      <c r="M51" s="275"/>
      <c r="N51" s="275"/>
      <c r="O51" s="275"/>
      <c r="P51" s="275"/>
      <c r="Q51" s="275"/>
      <c r="R51" s="275"/>
      <c r="S51" s="275"/>
      <c r="T51" s="275"/>
      <c r="U51" s="275"/>
      <c r="V51" s="275"/>
      <c r="W51" s="275"/>
      <c r="X51" s="275"/>
      <c r="Y51" s="275"/>
      <c r="Z51" s="275"/>
      <c r="AA51" s="275"/>
      <c r="AU51" s="722"/>
      <c r="AV51" s="767"/>
      <c r="AW51" s="767"/>
      <c r="AX51" s="767"/>
      <c r="AY51" s="767"/>
      <c r="AZ51" s="767"/>
      <c r="BA51" s="767"/>
      <c r="BB51" s="767"/>
      <c r="BC51" s="767"/>
      <c r="BD51" s="767"/>
      <c r="BE51" s="791"/>
      <c r="BF51" s="767"/>
      <c r="BG51" s="401"/>
      <c r="BH51" s="247"/>
      <c r="BI51" s="1473"/>
      <c r="BJ51" s="1474"/>
      <c r="BK51" s="1474"/>
      <c r="BL51" s="1474"/>
      <c r="BM51" s="1474"/>
      <c r="BN51" s="1475"/>
    </row>
    <row r="52" spans="3:66" ht="12.75" customHeight="1">
      <c r="D52" s="275"/>
      <c r="E52" s="275"/>
      <c r="F52" s="275"/>
      <c r="G52" s="275"/>
      <c r="H52" s="1547"/>
      <c r="I52" s="1547"/>
      <c r="J52" s="1547"/>
      <c r="K52" s="1547"/>
      <c r="L52" s="1547"/>
      <c r="M52" s="1547"/>
      <c r="N52" s="1547"/>
      <c r="O52" s="1547"/>
      <c r="P52" s="1547"/>
      <c r="Q52" s="1547"/>
      <c r="R52" s="1547"/>
      <c r="S52" s="1548"/>
      <c r="T52" s="1528"/>
      <c r="U52" s="1529"/>
      <c r="V52" s="1529"/>
      <c r="W52" s="1529"/>
      <c r="X52" s="1530"/>
      <c r="Y52" s="623" t="s">
        <v>380</v>
      </c>
      <c r="Z52" s="285"/>
      <c r="AA52" s="275"/>
      <c r="AU52" s="1065" t="s">
        <v>97</v>
      </c>
      <c r="AV52" s="767"/>
      <c r="AW52" s="767"/>
      <c r="AX52" s="767"/>
      <c r="AY52" s="1468">
        <f>V19</f>
        <v>0</v>
      </c>
      <c r="AZ52" s="1468"/>
      <c r="BA52" s="1468"/>
      <c r="BB52" s="1468"/>
      <c r="BC52" s="1468"/>
      <c r="BD52" s="1468"/>
      <c r="BE52" s="1468"/>
      <c r="BF52" s="767"/>
      <c r="BG52" s="1071">
        <f>IF(AY52&gt;AY54,0,1)</f>
        <v>1</v>
      </c>
      <c r="BH52" s="247"/>
      <c r="BI52" s="1473"/>
      <c r="BJ52" s="1474"/>
      <c r="BK52" s="1474"/>
      <c r="BL52" s="1474"/>
      <c r="BM52" s="1474"/>
      <c r="BN52" s="1475"/>
    </row>
    <row r="53" spans="3:66" ht="3.2" customHeight="1">
      <c r="D53" s="275"/>
      <c r="E53" s="275"/>
      <c r="F53" s="275"/>
      <c r="G53" s="275"/>
      <c r="H53" s="275"/>
      <c r="I53" s="275"/>
      <c r="J53" s="275"/>
      <c r="K53" s="275"/>
      <c r="L53" s="275"/>
      <c r="M53" s="275"/>
      <c r="N53" s="275"/>
      <c r="O53" s="275"/>
      <c r="P53" s="275"/>
      <c r="Q53" s="275"/>
      <c r="R53" s="275"/>
      <c r="S53" s="275"/>
      <c r="T53" s="337"/>
      <c r="U53" s="337"/>
      <c r="V53" s="337"/>
      <c r="W53" s="337"/>
      <c r="X53" s="337"/>
      <c r="Y53" s="275"/>
      <c r="Z53" s="275"/>
      <c r="AA53" s="275"/>
      <c r="AU53" s="722"/>
      <c r="AV53" s="767"/>
      <c r="AW53" s="767"/>
      <c r="AX53" s="767"/>
      <c r="AY53" s="767"/>
      <c r="AZ53" s="767"/>
      <c r="BA53" s="767"/>
      <c r="BB53" s="767"/>
      <c r="BC53" s="767"/>
      <c r="BD53" s="767"/>
      <c r="BE53" s="791"/>
      <c r="BF53" s="767"/>
      <c r="BG53" s="1030"/>
      <c r="BH53" s="247"/>
      <c r="BI53" s="1473"/>
      <c r="BJ53" s="1474"/>
      <c r="BK53" s="1474"/>
      <c r="BL53" s="1474"/>
      <c r="BM53" s="1474"/>
      <c r="BN53" s="1475"/>
    </row>
    <row r="54" spans="3:66" ht="12.75" customHeight="1">
      <c r="D54" s="275"/>
      <c r="E54" s="275"/>
      <c r="F54" s="275"/>
      <c r="G54" s="275"/>
      <c r="H54" s="1547"/>
      <c r="I54" s="1547"/>
      <c r="J54" s="1547"/>
      <c r="K54" s="1547"/>
      <c r="L54" s="1547"/>
      <c r="M54" s="1547"/>
      <c r="N54" s="1547"/>
      <c r="O54" s="1547"/>
      <c r="P54" s="1547"/>
      <c r="Q54" s="1547"/>
      <c r="R54" s="1547"/>
      <c r="S54" s="1548"/>
      <c r="T54" s="1528"/>
      <c r="U54" s="1529"/>
      <c r="V54" s="1529"/>
      <c r="W54" s="1529"/>
      <c r="X54" s="1530"/>
      <c r="Y54" s="623" t="s">
        <v>380</v>
      </c>
      <c r="Z54" s="285"/>
      <c r="AA54" s="275"/>
      <c r="AU54" s="722"/>
      <c r="AV54" s="767"/>
      <c r="AW54" s="767"/>
      <c r="AX54" s="767"/>
      <c r="AY54" s="1467">
        <f>VLOOKUP($B$118,Vergütungen!$A$32:$AQ$190,41,FALSE)</f>
        <v>750</v>
      </c>
      <c r="AZ54" s="1467"/>
      <c r="BA54" s="1467"/>
      <c r="BB54" s="1467"/>
      <c r="BC54" s="1467"/>
      <c r="BD54" s="1467"/>
      <c r="BE54" s="1467"/>
      <c r="BF54" s="767"/>
      <c r="BG54" s="1030"/>
      <c r="BH54" s="247"/>
      <c r="BI54" s="1473"/>
      <c r="BJ54" s="1474"/>
      <c r="BK54" s="1474"/>
      <c r="BL54" s="1474"/>
      <c r="BM54" s="1474"/>
      <c r="BN54" s="1475"/>
    </row>
    <row r="55" spans="3:66" ht="3.2" customHeight="1">
      <c r="D55" s="275"/>
      <c r="E55" s="275"/>
      <c r="F55" s="275"/>
      <c r="G55" s="275"/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75"/>
      <c r="S55" s="275"/>
      <c r="T55" s="337"/>
      <c r="U55" s="337"/>
      <c r="V55" s="337"/>
      <c r="W55" s="337"/>
      <c r="X55" s="337"/>
      <c r="Y55" s="275"/>
      <c r="Z55" s="275"/>
      <c r="AA55" s="275"/>
      <c r="AU55" s="722"/>
      <c r="AV55" s="767"/>
      <c r="AW55" s="767"/>
      <c r="AX55" s="767"/>
      <c r="AY55" s="1066"/>
      <c r="AZ55" s="1066"/>
      <c r="BA55" s="1066"/>
      <c r="BB55" s="1066"/>
      <c r="BC55" s="1066"/>
      <c r="BD55" s="1067"/>
      <c r="BE55" s="1068"/>
      <c r="BF55" s="767"/>
      <c r="BG55" s="1030"/>
      <c r="BH55" s="247"/>
      <c r="BI55" s="1473"/>
      <c r="BJ55" s="1474"/>
      <c r="BK55" s="1474"/>
      <c r="BL55" s="1474"/>
      <c r="BM55" s="1474"/>
      <c r="BN55" s="1475"/>
    </row>
    <row r="56" spans="3:66" ht="12.75" customHeight="1">
      <c r="D56" s="275"/>
      <c r="E56" s="275"/>
      <c r="F56" s="275"/>
      <c r="G56" s="275"/>
      <c r="H56" s="1547"/>
      <c r="I56" s="1547"/>
      <c r="J56" s="1547"/>
      <c r="K56" s="1547"/>
      <c r="L56" s="1547"/>
      <c r="M56" s="1547"/>
      <c r="N56" s="1547"/>
      <c r="O56" s="1547"/>
      <c r="P56" s="1547"/>
      <c r="Q56" s="1547"/>
      <c r="R56" s="1547"/>
      <c r="S56" s="1548"/>
      <c r="T56" s="1528"/>
      <c r="U56" s="1529"/>
      <c r="V56" s="1529"/>
      <c r="W56" s="1529"/>
      <c r="X56" s="1530"/>
      <c r="Y56" s="623" t="s">
        <v>380</v>
      </c>
      <c r="Z56" s="285"/>
      <c r="AA56" s="275"/>
      <c r="AU56" s="1065" t="s">
        <v>1156</v>
      </c>
      <c r="AV56" s="767"/>
      <c r="AW56" s="767"/>
      <c r="AX56" s="767"/>
      <c r="AY56" s="1468" t="str">
        <f>"erfasst: "&amp;B116&amp;" = "&amp;J116&amp;""</f>
        <v>erfasst: 3 = Anlage "an und auf Gebäuden"</v>
      </c>
      <c r="AZ56" s="1468"/>
      <c r="BA56" s="1468"/>
      <c r="BB56" s="1468"/>
      <c r="BC56" s="1468"/>
      <c r="BD56" s="1468"/>
      <c r="BE56" s="1468"/>
      <c r="BF56" s="767"/>
      <c r="BG56" s="1071">
        <f>IF(B116&lt;=AY58,0,1)</f>
        <v>0</v>
      </c>
      <c r="BH56" s="247"/>
      <c r="BI56" s="1473"/>
      <c r="BJ56" s="1474"/>
      <c r="BK56" s="1474"/>
      <c r="BL56" s="1474"/>
      <c r="BM56" s="1474"/>
      <c r="BN56" s="1475"/>
    </row>
    <row r="57" spans="3:66" ht="3.2" customHeight="1">
      <c r="D57" s="275"/>
      <c r="E57" s="275"/>
      <c r="F57" s="275"/>
      <c r="G57" s="275"/>
      <c r="H57" s="275"/>
      <c r="I57" s="275"/>
      <c r="J57" s="275"/>
      <c r="K57" s="275"/>
      <c r="L57" s="275"/>
      <c r="M57" s="275"/>
      <c r="N57" s="275"/>
      <c r="O57" s="275"/>
      <c r="P57" s="275"/>
      <c r="Q57" s="275"/>
      <c r="R57" s="275"/>
      <c r="S57" s="275"/>
      <c r="T57" s="275"/>
      <c r="U57" s="275"/>
      <c r="V57" s="275"/>
      <c r="W57" s="275"/>
      <c r="X57" s="275"/>
      <c r="Y57" s="275"/>
      <c r="Z57" s="275"/>
      <c r="AA57" s="275"/>
      <c r="AU57" s="722"/>
      <c r="AV57" s="767"/>
      <c r="AW57" s="767"/>
      <c r="AX57" s="767"/>
      <c r="AY57" s="1067"/>
      <c r="AZ57" s="1067"/>
      <c r="BA57" s="1067"/>
      <c r="BB57" s="1067"/>
      <c r="BC57" s="1067"/>
      <c r="BD57" s="1067"/>
      <c r="BE57" s="1068"/>
      <c r="BF57" s="767"/>
      <c r="BG57" s="1030"/>
      <c r="BH57" s="247"/>
      <c r="BI57" s="1473"/>
      <c r="BJ57" s="1474"/>
      <c r="BK57" s="1474"/>
      <c r="BL57" s="1474"/>
      <c r="BM57" s="1474"/>
      <c r="BN57" s="1475"/>
    </row>
    <row r="58" spans="3:66" ht="12.75" customHeight="1">
      <c r="AU58" s="1069"/>
      <c r="AV58" s="1070"/>
      <c r="AW58" s="1070"/>
      <c r="AX58" s="1070"/>
      <c r="AY58" s="1469">
        <f>VLOOKUP($B$118,Vergütungen!$A$32:$AQ$190,42,FALSE)</f>
        <v>4</v>
      </c>
      <c r="AZ58" s="1469"/>
      <c r="BA58" s="1469"/>
      <c r="BB58" s="1469"/>
      <c r="BC58" s="1469"/>
      <c r="BD58" s="1469"/>
      <c r="BE58" s="1469"/>
      <c r="BF58" s="1070"/>
      <c r="BG58" s="1072"/>
      <c r="BH58" s="402"/>
      <c r="BI58" s="1476"/>
      <c r="BJ58" s="1477"/>
      <c r="BK58" s="1477"/>
      <c r="BL58" s="1477"/>
      <c r="BM58" s="1477"/>
      <c r="BN58" s="1478"/>
    </row>
    <row r="59" spans="3:66" ht="3.2" customHeight="1">
      <c r="C59" s="1375" t="s">
        <v>501</v>
      </c>
      <c r="D59" s="296"/>
      <c r="E59" s="297"/>
      <c r="F59" s="297"/>
      <c r="G59" s="297"/>
      <c r="H59" s="297"/>
      <c r="I59" s="297"/>
      <c r="J59" s="297"/>
      <c r="K59" s="297"/>
      <c r="L59" s="297"/>
      <c r="M59" s="297"/>
      <c r="N59" s="297"/>
      <c r="O59" s="297"/>
      <c r="P59" s="297"/>
      <c r="Q59" s="297"/>
      <c r="R59" s="297"/>
      <c r="S59" s="297"/>
      <c r="T59" s="297"/>
      <c r="U59" s="297"/>
      <c r="V59" s="297"/>
      <c r="W59" s="297"/>
      <c r="X59" s="297"/>
      <c r="Y59" s="297"/>
      <c r="Z59" s="297"/>
      <c r="AA59" s="297"/>
      <c r="AB59" s="297"/>
      <c r="AC59" s="269"/>
      <c r="AD59" s="269"/>
      <c r="AE59" s="269"/>
      <c r="AF59" s="269"/>
      <c r="AG59" s="269"/>
      <c r="AH59" s="269"/>
      <c r="AI59" s="269"/>
      <c r="AJ59" s="269"/>
      <c r="AK59" s="269"/>
      <c r="AL59" s="269"/>
      <c r="AM59" s="269"/>
      <c r="AN59" s="269"/>
      <c r="AO59" s="270"/>
      <c r="AU59" s="768"/>
      <c r="AV59" s="768"/>
      <c r="AW59" s="768"/>
      <c r="AX59" s="768"/>
      <c r="AY59" s="768"/>
      <c r="AZ59" s="768"/>
      <c r="BA59" s="768"/>
      <c r="BB59" s="768"/>
      <c r="BC59" s="768"/>
      <c r="BD59" s="768"/>
      <c r="BE59" s="805"/>
      <c r="BF59" s="768"/>
    </row>
    <row r="60" spans="3:66" ht="24.95" customHeight="1">
      <c r="C60" s="1376"/>
      <c r="D60" s="271" t="s">
        <v>386</v>
      </c>
      <c r="E60" s="624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3"/>
      <c r="AU60" s="768"/>
      <c r="AV60" s="768"/>
      <c r="AW60" s="768"/>
      <c r="AX60" s="768"/>
      <c r="AY60" s="768"/>
      <c r="AZ60" s="768"/>
      <c r="BA60" s="768"/>
      <c r="BB60" s="768"/>
      <c r="BC60" s="768"/>
      <c r="BD60" s="768"/>
      <c r="BE60" s="805"/>
      <c r="BF60" s="768"/>
    </row>
    <row r="61" spans="3:66" ht="3.2" customHeight="1">
      <c r="C61" s="1377"/>
      <c r="D61" s="283"/>
      <c r="E61" s="283"/>
      <c r="F61" s="259"/>
      <c r="G61" s="259"/>
      <c r="H61" s="259"/>
      <c r="I61" s="259"/>
      <c r="J61" s="259"/>
      <c r="K61" s="259"/>
      <c r="L61" s="259"/>
      <c r="M61" s="259"/>
      <c r="N61" s="259"/>
      <c r="O61" s="259"/>
      <c r="P61" s="259"/>
      <c r="Q61" s="259"/>
      <c r="R61" s="259"/>
      <c r="S61" s="259"/>
      <c r="T61" s="259"/>
      <c r="U61" s="259"/>
      <c r="V61" s="259"/>
      <c r="W61" s="259"/>
      <c r="X61" s="259"/>
      <c r="Y61" s="259"/>
      <c r="Z61" s="259"/>
      <c r="AA61" s="259"/>
      <c r="AB61" s="259"/>
      <c r="AC61" s="259"/>
      <c r="AD61" s="259"/>
      <c r="AE61" s="259"/>
      <c r="AF61" s="259"/>
      <c r="AG61" s="259"/>
      <c r="AH61" s="259"/>
      <c r="AI61" s="259"/>
      <c r="AJ61" s="259"/>
      <c r="AK61" s="259"/>
      <c r="AL61" s="259"/>
      <c r="AM61" s="259"/>
      <c r="AN61" s="259"/>
      <c r="AO61" s="259"/>
    </row>
    <row r="62" spans="3:66" ht="14.1" customHeight="1">
      <c r="D62" s="275"/>
      <c r="E62" s="275"/>
      <c r="F62" s="275" t="s">
        <v>582</v>
      </c>
      <c r="G62" s="275"/>
      <c r="H62" s="275"/>
      <c r="I62" s="275"/>
      <c r="J62" s="275"/>
      <c r="K62" s="275"/>
      <c r="L62" s="275"/>
      <c r="M62" s="275"/>
      <c r="N62" s="275"/>
      <c r="O62" s="275"/>
      <c r="P62" s="1692">
        <v>930</v>
      </c>
      <c r="Q62" s="1692"/>
      <c r="R62" s="1692"/>
      <c r="S62" s="275" t="s">
        <v>59</v>
      </c>
      <c r="T62" s="275"/>
      <c r="U62" s="275"/>
      <c r="V62" s="275"/>
      <c r="W62" s="275"/>
      <c r="X62" s="275"/>
      <c r="Y62" s="275"/>
      <c r="Z62" s="275"/>
      <c r="AA62" s="275"/>
      <c r="AB62" s="275"/>
      <c r="AC62" s="275"/>
      <c r="AD62" s="275"/>
      <c r="AE62" s="275"/>
      <c r="AF62" s="275"/>
      <c r="AG62" s="275"/>
      <c r="AH62" s="275"/>
      <c r="AI62" s="275"/>
      <c r="AJ62" s="275"/>
      <c r="AK62" s="275"/>
      <c r="AL62" s="275"/>
      <c r="AM62" s="275"/>
      <c r="AN62" s="275"/>
      <c r="AO62" s="275"/>
    </row>
    <row r="63" spans="3:66" ht="3.2" customHeight="1"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75"/>
      <c r="O63" s="275"/>
      <c r="P63" s="1245" t="s">
        <v>1369</v>
      </c>
      <c r="Q63" s="284"/>
      <c r="R63" s="284"/>
      <c r="S63" s="275"/>
      <c r="T63" s="275"/>
      <c r="U63" s="275"/>
      <c r="V63" s="275"/>
      <c r="W63" s="275"/>
      <c r="X63" s="275"/>
      <c r="Y63" s="275"/>
      <c r="Z63" s="275"/>
      <c r="AA63" s="275"/>
      <c r="AB63" s="275"/>
      <c r="AC63" s="275"/>
      <c r="AD63" s="275"/>
      <c r="AE63" s="275"/>
      <c r="AF63" s="275"/>
      <c r="AG63" s="275"/>
      <c r="AH63" s="275"/>
      <c r="AI63" s="275"/>
      <c r="AJ63" s="275"/>
      <c r="AK63" s="275"/>
      <c r="AL63" s="275"/>
      <c r="AM63" s="275"/>
      <c r="AN63" s="275"/>
      <c r="AO63" s="275"/>
    </row>
    <row r="64" spans="3:66">
      <c r="D64" s="275"/>
      <c r="E64" s="275"/>
      <c r="F64" s="275" t="s">
        <v>628</v>
      </c>
      <c r="G64" s="275"/>
      <c r="H64" s="275"/>
      <c r="I64" s="275"/>
      <c r="J64" s="275"/>
      <c r="K64" s="275"/>
      <c r="L64" s="275"/>
      <c r="M64" s="275"/>
      <c r="N64" s="275"/>
      <c r="O64" s="275"/>
      <c r="P64" s="1693">
        <v>0.5</v>
      </c>
      <c r="Q64" s="1693"/>
      <c r="R64" s="1693"/>
      <c r="S64" s="275" t="s">
        <v>392</v>
      </c>
      <c r="T64" s="275"/>
      <c r="U64" s="275"/>
      <c r="V64" s="275"/>
      <c r="W64" s="275"/>
      <c r="X64" s="275"/>
      <c r="Y64" s="275"/>
      <c r="Z64" s="275"/>
      <c r="AA64" s="275"/>
      <c r="AB64" s="275"/>
      <c r="AC64" s="275"/>
      <c r="AD64" s="275"/>
      <c r="AE64" s="275"/>
      <c r="AF64" s="275"/>
      <c r="AG64" s="275"/>
      <c r="AH64" s="275"/>
      <c r="AI64" s="275"/>
      <c r="AJ64" s="275"/>
      <c r="AK64" s="275"/>
      <c r="AL64" s="275"/>
      <c r="AM64" s="275"/>
      <c r="AN64" s="275"/>
      <c r="AO64" s="275"/>
    </row>
    <row r="65" spans="2:198" ht="3.2" customHeight="1">
      <c r="D65" s="275"/>
      <c r="E65" s="275"/>
      <c r="F65" s="275"/>
      <c r="G65" s="275"/>
      <c r="H65" s="275"/>
      <c r="I65" s="275"/>
      <c r="J65" s="275"/>
      <c r="K65" s="275"/>
      <c r="L65" s="275"/>
      <c r="M65" s="275"/>
      <c r="N65" s="275"/>
      <c r="O65" s="275"/>
      <c r="P65" s="288"/>
      <c r="Q65" s="288"/>
      <c r="R65" s="288"/>
      <c r="S65" s="275"/>
      <c r="T65" s="275"/>
      <c r="U65" s="275"/>
      <c r="V65" s="275"/>
      <c r="W65" s="275"/>
      <c r="X65" s="275"/>
      <c r="Y65" s="275"/>
      <c r="Z65" s="275"/>
      <c r="AA65" s="275"/>
      <c r="AB65" s="275"/>
      <c r="AC65" s="275"/>
      <c r="AD65" s="275"/>
      <c r="AE65" s="275"/>
      <c r="AF65" s="275"/>
      <c r="AG65" s="275"/>
      <c r="AH65" s="275"/>
      <c r="AI65" s="275"/>
      <c r="AJ65" s="275"/>
      <c r="AK65" s="275"/>
      <c r="AL65" s="275"/>
      <c r="AM65" s="275"/>
      <c r="AN65" s="275"/>
      <c r="AO65" s="275"/>
    </row>
    <row r="66" spans="2:198">
      <c r="D66" s="275"/>
      <c r="E66" s="275"/>
      <c r="F66" s="275" t="s">
        <v>626</v>
      </c>
      <c r="G66" s="275"/>
      <c r="H66" s="275"/>
      <c r="I66" s="275"/>
      <c r="J66" s="275"/>
      <c r="K66" s="275"/>
      <c r="L66" s="275"/>
      <c r="M66" s="275"/>
      <c r="N66" s="275"/>
      <c r="O66" s="275"/>
      <c r="P66" s="288"/>
      <c r="Q66" s="675"/>
      <c r="R66" s="676">
        <f>VLOOKUP(B118,Vergütungen!A32:C190,2,FALSE)</f>
        <v>8</v>
      </c>
      <c r="S66" s="289" t="s">
        <v>659</v>
      </c>
      <c r="T66" s="275"/>
      <c r="U66" s="275"/>
      <c r="V66" s="275"/>
      <c r="W66" s="275"/>
      <c r="X66" s="275"/>
      <c r="Y66" s="275"/>
      <c r="Z66" s="275"/>
      <c r="AA66" s="275"/>
      <c r="AB66" s="275"/>
      <c r="AC66" s="275"/>
      <c r="AD66" s="275"/>
      <c r="AE66" s="275"/>
      <c r="AF66" s="275"/>
      <c r="AG66" s="275"/>
      <c r="AH66" s="275"/>
      <c r="AI66" s="275"/>
      <c r="AJ66" s="275"/>
      <c r="AK66" s="275"/>
      <c r="AL66" s="275"/>
      <c r="AM66" s="275"/>
      <c r="AN66" s="275"/>
      <c r="AO66" s="275"/>
    </row>
    <row r="67" spans="2:198" ht="3.2" customHeight="1">
      <c r="D67" s="275"/>
      <c r="E67" s="275"/>
      <c r="F67" s="275"/>
      <c r="G67" s="275"/>
      <c r="H67" s="275"/>
      <c r="I67" s="275"/>
      <c r="J67" s="275"/>
      <c r="K67" s="275"/>
      <c r="L67" s="275"/>
      <c r="M67" s="275"/>
      <c r="N67" s="275"/>
      <c r="O67" s="275"/>
      <c r="P67" s="290"/>
      <c r="Q67" s="290"/>
      <c r="R67" s="290"/>
      <c r="S67" s="275"/>
      <c r="T67" s="275"/>
      <c r="U67" s="275"/>
      <c r="V67" s="275"/>
      <c r="W67" s="275"/>
      <c r="X67" s="275"/>
      <c r="Y67" s="275"/>
      <c r="Z67" s="275"/>
      <c r="AA67" s="275"/>
      <c r="AB67" s="275"/>
      <c r="AC67" s="275"/>
      <c r="AD67" s="275"/>
      <c r="AE67" s="275"/>
      <c r="AF67" s="275"/>
      <c r="AG67" s="275"/>
      <c r="AH67" s="275"/>
      <c r="AI67" s="275"/>
      <c r="AJ67" s="275"/>
      <c r="AK67" s="275"/>
      <c r="AL67" s="275"/>
      <c r="AM67" s="275"/>
      <c r="AN67" s="275"/>
      <c r="AO67" s="275"/>
    </row>
    <row r="68" spans="2:198" ht="14.1" customHeight="1">
      <c r="D68" s="275"/>
      <c r="E68" s="275"/>
      <c r="F68" s="241" t="s">
        <v>390</v>
      </c>
      <c r="G68" s="275"/>
      <c r="H68" s="275"/>
      <c r="I68" s="275"/>
      <c r="J68" s="275"/>
      <c r="K68" s="291" t="s">
        <v>470</v>
      </c>
      <c r="L68" s="292"/>
      <c r="M68" s="275"/>
      <c r="N68" s="275"/>
      <c r="O68" s="275"/>
      <c r="P68" s="275"/>
      <c r="Q68" s="275"/>
      <c r="R68" s="275"/>
      <c r="S68" s="275"/>
      <c r="T68" s="1738">
        <f>SUM(EX338:FB349)</f>
        <v>0</v>
      </c>
      <c r="U68" s="1738"/>
      <c r="V68" s="1738"/>
      <c r="W68" s="1738"/>
      <c r="X68" s="1738"/>
      <c r="Y68" s="285" t="s">
        <v>60</v>
      </c>
      <c r="Z68" s="285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</row>
    <row r="69" spans="2:198" ht="3.2" customHeight="1">
      <c r="D69" s="275"/>
      <c r="E69" s="275"/>
      <c r="F69" s="275"/>
      <c r="G69" s="275"/>
      <c r="H69" s="275"/>
      <c r="I69" s="275"/>
      <c r="J69" s="275"/>
      <c r="K69" s="275"/>
      <c r="L69" s="275"/>
      <c r="M69" s="275"/>
      <c r="N69" s="275"/>
      <c r="O69" s="275"/>
      <c r="P69" s="290"/>
      <c r="Q69" s="290"/>
      <c r="R69" s="290"/>
      <c r="S69" s="275"/>
      <c r="T69" s="275"/>
      <c r="U69" s="275"/>
      <c r="V69" s="275"/>
      <c r="W69" s="275"/>
      <c r="X69" s="275"/>
      <c r="Y69" s="275"/>
      <c r="Z69" s="275"/>
      <c r="AA69" s="275"/>
      <c r="AB69" s="275"/>
      <c r="AC69" s="275"/>
      <c r="AD69" s="275"/>
      <c r="AE69" s="275"/>
      <c r="AF69" s="275"/>
      <c r="AG69" s="275"/>
      <c r="AH69" s="275"/>
      <c r="AI69" s="275"/>
      <c r="AJ69" s="275"/>
      <c r="AK69" s="275"/>
      <c r="AL69" s="275"/>
      <c r="AM69" s="275"/>
      <c r="AN69" s="275"/>
      <c r="AO69" s="275"/>
    </row>
    <row r="70" spans="2:198">
      <c r="D70" s="275"/>
      <c r="E70" s="275"/>
      <c r="F70" s="241" t="s">
        <v>390</v>
      </c>
      <c r="G70" s="275"/>
      <c r="H70" s="275"/>
      <c r="I70" s="275"/>
      <c r="J70" s="275"/>
      <c r="K70" s="293">
        <v>1</v>
      </c>
      <c r="L70" s="292" t="s">
        <v>391</v>
      </c>
      <c r="M70" s="275"/>
      <c r="N70" s="275"/>
      <c r="O70" s="275"/>
      <c r="P70" s="275"/>
      <c r="Q70" s="275"/>
      <c r="R70" s="275"/>
      <c r="S70" s="275"/>
      <c r="T70" s="1506">
        <f>AY29*P62</f>
        <v>0</v>
      </c>
      <c r="U70" s="1506"/>
      <c r="V70" s="1506"/>
      <c r="W70" s="1506"/>
      <c r="X70" s="1506"/>
      <c r="Y70" s="285" t="s">
        <v>60</v>
      </c>
      <c r="Z70" s="285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</row>
    <row r="71" spans="2:198" ht="3.2" customHeight="1">
      <c r="D71" s="275"/>
      <c r="E71" s="275"/>
      <c r="F71" s="241"/>
      <c r="G71" s="275"/>
      <c r="H71" s="275"/>
      <c r="I71" s="275"/>
      <c r="J71" s="275"/>
      <c r="K71" s="293"/>
      <c r="L71" s="292"/>
      <c r="M71" s="275"/>
      <c r="N71" s="275"/>
      <c r="O71" s="275"/>
      <c r="P71" s="275"/>
      <c r="Q71" s="275"/>
      <c r="R71" s="275"/>
      <c r="S71" s="275"/>
      <c r="T71" s="294"/>
      <c r="U71" s="295"/>
      <c r="V71" s="295"/>
      <c r="W71" s="295"/>
      <c r="X71" s="295"/>
      <c r="Y71" s="241"/>
      <c r="Z71" s="241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</row>
    <row r="72" spans="2:198">
      <c r="D72" s="275"/>
      <c r="E72" s="275"/>
      <c r="F72" s="241" t="s">
        <v>390</v>
      </c>
      <c r="G72" s="275"/>
      <c r="H72" s="275"/>
      <c r="I72" s="275"/>
      <c r="J72" s="275"/>
      <c r="K72" s="293">
        <f>V21</f>
        <v>20</v>
      </c>
      <c r="L72" s="292" t="s">
        <v>391</v>
      </c>
      <c r="M72" s="275"/>
      <c r="N72" s="275"/>
      <c r="O72" s="275"/>
      <c r="P72" s="275"/>
      <c r="Q72" s="275"/>
      <c r="R72" s="275"/>
      <c r="S72" s="275"/>
      <c r="T72" s="1506">
        <f>IF(V21&lt;1,"Nutzungsdauer?",POWER((100-$P$64)/100,V21-1)*T70)</f>
        <v>0</v>
      </c>
      <c r="U72" s="1506"/>
      <c r="V72" s="1506"/>
      <c r="W72" s="1506"/>
      <c r="X72" s="1506"/>
      <c r="Y72" s="285" t="s">
        <v>60</v>
      </c>
      <c r="Z72" s="285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</row>
    <row r="73" spans="2:198" ht="8.1" customHeight="1"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275"/>
      <c r="R73" s="275"/>
      <c r="S73" s="275"/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</row>
    <row r="74" spans="2:198" s="246" customFormat="1" ht="10.15" customHeight="1">
      <c r="B74" s="707"/>
      <c r="F74" s="246" t="s">
        <v>583</v>
      </c>
      <c r="AB74" s="263"/>
      <c r="AC74" s="625"/>
      <c r="FP74" s="956"/>
      <c r="FR74" s="626"/>
      <c r="FS74" s="379"/>
      <c r="GP74" s="401"/>
    </row>
    <row r="75" spans="2:198" s="246" customFormat="1" ht="10.15" customHeight="1">
      <c r="B75" s="707"/>
      <c r="F75" s="246" t="s">
        <v>586</v>
      </c>
      <c r="AB75" s="263"/>
      <c r="AC75" s="625"/>
      <c r="FP75" s="956"/>
      <c r="FR75" s="626"/>
      <c r="FS75" s="379"/>
      <c r="GP75" s="401"/>
    </row>
    <row r="76" spans="2:198" s="246" customFormat="1" ht="10.15" customHeight="1">
      <c r="B76" s="707"/>
      <c r="F76" s="246" t="s">
        <v>584</v>
      </c>
      <c r="AB76" s="263"/>
      <c r="AC76" s="625"/>
      <c r="FP76" s="956"/>
      <c r="FR76" s="626"/>
      <c r="FS76" s="379"/>
      <c r="GP76" s="401"/>
    </row>
    <row r="77" spans="2:198" s="246" customFormat="1" ht="10.15" customHeight="1">
      <c r="B77" s="707"/>
      <c r="F77" s="246" t="s">
        <v>585</v>
      </c>
      <c r="AB77" s="263"/>
      <c r="AC77" s="625"/>
      <c r="FP77" s="956"/>
      <c r="FR77" s="626"/>
      <c r="FS77" s="379"/>
      <c r="GP77" s="401"/>
    </row>
    <row r="78" spans="2:198" ht="12.75" customHeight="1"/>
    <row r="79" spans="2:198" s="245" customFormat="1" ht="3.2" customHeight="1">
      <c r="B79" s="706"/>
      <c r="C79" s="1375" t="s">
        <v>501</v>
      </c>
      <c r="D79" s="296"/>
      <c r="E79" s="297"/>
      <c r="F79" s="297"/>
      <c r="G79" s="297"/>
      <c r="H79" s="297"/>
      <c r="I79" s="297"/>
      <c r="J79" s="297"/>
      <c r="K79" s="297"/>
      <c r="L79" s="297"/>
      <c r="M79" s="297"/>
      <c r="N79" s="297"/>
      <c r="O79" s="297"/>
      <c r="P79" s="297"/>
      <c r="Q79" s="297"/>
      <c r="R79" s="297"/>
      <c r="S79" s="297"/>
      <c r="T79" s="297"/>
      <c r="U79" s="297"/>
      <c r="V79" s="297"/>
      <c r="W79" s="297"/>
      <c r="X79" s="297"/>
      <c r="Y79" s="297"/>
      <c r="Z79" s="297"/>
      <c r="AA79" s="297"/>
      <c r="AB79" s="297"/>
      <c r="AC79" s="269"/>
      <c r="AD79" s="269"/>
      <c r="AE79" s="269"/>
      <c r="AF79" s="269"/>
      <c r="AG79" s="269"/>
      <c r="AH79" s="269"/>
      <c r="AI79" s="269"/>
      <c r="AJ79" s="269"/>
      <c r="AK79" s="269"/>
      <c r="AL79" s="269"/>
      <c r="AM79" s="269"/>
      <c r="AN79" s="269"/>
      <c r="AO79" s="270"/>
      <c r="AP79" s="192"/>
      <c r="AQ79" s="192"/>
      <c r="AR79" s="192"/>
      <c r="AS79" s="192"/>
      <c r="AT79" s="192"/>
      <c r="BE79" s="263"/>
      <c r="BG79" s="263"/>
      <c r="BW79" s="263"/>
      <c r="CM79" s="263"/>
      <c r="DC79" s="263"/>
      <c r="DP79" s="263"/>
      <c r="FO79" s="263"/>
      <c r="FP79" s="958"/>
      <c r="FR79" s="619"/>
      <c r="FS79" s="375"/>
      <c r="GP79" s="251"/>
    </row>
    <row r="80" spans="2:198" s="245" customFormat="1" ht="24.95" customHeight="1">
      <c r="B80" s="706"/>
      <c r="C80" s="1376"/>
      <c r="D80" s="271" t="s">
        <v>395</v>
      </c>
      <c r="E80" s="624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  <c r="AA80" s="272"/>
      <c r="AB80" s="272"/>
      <c r="AC80" s="272"/>
      <c r="AD80" s="272"/>
      <c r="AE80" s="272"/>
      <c r="AF80" s="272"/>
      <c r="AG80" s="272"/>
      <c r="AH80" s="272"/>
      <c r="AI80" s="272"/>
      <c r="AJ80" s="272"/>
      <c r="AK80" s="272"/>
      <c r="AL80" s="272"/>
      <c r="AM80" s="272"/>
      <c r="AN80" s="272"/>
      <c r="AO80" s="273"/>
      <c r="AP80" s="604"/>
      <c r="AQ80" s="604"/>
      <c r="AR80" s="604"/>
      <c r="AS80" s="604"/>
      <c r="AT80" s="604"/>
      <c r="AU80" s="308" t="s">
        <v>428</v>
      </c>
      <c r="AV80" s="309"/>
      <c r="AW80" s="309"/>
      <c r="AX80" s="309"/>
      <c r="AY80" s="309"/>
      <c r="AZ80" s="309"/>
      <c r="BA80" s="309"/>
      <c r="BB80" s="309"/>
      <c r="BC80" s="310"/>
      <c r="BE80" s="263"/>
      <c r="BG80" s="263"/>
      <c r="BW80" s="263"/>
      <c r="CM80" s="263"/>
      <c r="DC80" s="263"/>
      <c r="DP80" s="263"/>
      <c r="FO80" s="263"/>
      <c r="FP80" s="958"/>
      <c r="FR80" s="619"/>
      <c r="FS80" s="375"/>
      <c r="GP80" s="251"/>
    </row>
    <row r="81" spans="2:198" s="245" customFormat="1" ht="3.2" customHeight="1">
      <c r="B81" s="706"/>
      <c r="C81" s="1377"/>
      <c r="D81" s="275"/>
      <c r="E81" s="275"/>
      <c r="F81" s="275"/>
      <c r="G81" s="275"/>
      <c r="H81" s="275"/>
      <c r="I81" s="275"/>
      <c r="J81" s="275"/>
      <c r="K81" s="275"/>
      <c r="L81" s="275"/>
      <c r="M81" s="275"/>
      <c r="N81" s="275"/>
      <c r="O81" s="275"/>
      <c r="P81" s="275"/>
      <c r="Q81" s="275"/>
      <c r="R81" s="275"/>
      <c r="S81" s="275"/>
      <c r="T81" s="275"/>
      <c r="U81" s="275"/>
      <c r="V81" s="275"/>
      <c r="W81" s="275"/>
      <c r="X81" s="275"/>
      <c r="Y81" s="275"/>
      <c r="Z81" s="275"/>
      <c r="AA81" s="275"/>
      <c r="AB81" s="275"/>
      <c r="AC81" s="259"/>
      <c r="AD81" s="275"/>
      <c r="AE81" s="275"/>
      <c r="AF81" s="275"/>
      <c r="AG81" s="275"/>
      <c r="AH81" s="275"/>
      <c r="AI81" s="275"/>
      <c r="AJ81" s="275"/>
      <c r="AK81" s="275"/>
      <c r="AL81" s="275"/>
      <c r="AM81" s="275"/>
      <c r="AN81" s="275"/>
      <c r="AO81" s="275"/>
      <c r="AP81" s="192"/>
      <c r="AQ81" s="192"/>
      <c r="AR81" s="192"/>
      <c r="AS81" s="192"/>
      <c r="AT81" s="192"/>
      <c r="AU81" s="321"/>
      <c r="AV81" s="251"/>
      <c r="AW81" s="251"/>
      <c r="AX81" s="251"/>
      <c r="AY81" s="251"/>
      <c r="AZ81" s="251"/>
      <c r="BA81" s="251"/>
      <c r="BB81" s="251"/>
      <c r="BC81" s="322"/>
      <c r="BE81" s="263"/>
      <c r="BG81" s="263"/>
      <c r="BW81" s="263"/>
      <c r="CM81" s="263"/>
      <c r="DC81" s="263"/>
      <c r="DP81" s="263"/>
      <c r="FO81" s="263"/>
      <c r="FP81" s="958"/>
      <c r="FR81" s="619"/>
      <c r="FS81" s="375"/>
      <c r="GP81" s="251"/>
    </row>
    <row r="82" spans="2:198">
      <c r="D82" s="275"/>
      <c r="E82" s="275"/>
      <c r="F82" s="241" t="s">
        <v>397</v>
      </c>
      <c r="G82" s="275"/>
      <c r="H82" s="275"/>
      <c r="I82" s="275"/>
      <c r="J82" s="275"/>
      <c r="K82" s="275"/>
      <c r="L82" s="275"/>
      <c r="M82" s="275"/>
      <c r="N82" s="275"/>
      <c r="O82" s="275"/>
      <c r="P82" s="275"/>
      <c r="Q82" s="275"/>
      <c r="R82" s="298"/>
      <c r="S82" s="299"/>
      <c r="T82" s="1506">
        <f>T33</f>
        <v>0</v>
      </c>
      <c r="U82" s="1506"/>
      <c r="V82" s="1506"/>
      <c r="W82" s="1506"/>
      <c r="X82" s="1506"/>
      <c r="Y82" s="300" t="s">
        <v>380</v>
      </c>
      <c r="Z82" s="300"/>
      <c r="AA82" s="299"/>
      <c r="AB82" s="275"/>
      <c r="AC82" s="259"/>
      <c r="AD82" s="275"/>
      <c r="AE82" s="275"/>
      <c r="AF82" s="275"/>
      <c r="AG82" s="275"/>
      <c r="AH82" s="275"/>
      <c r="AI82" s="275"/>
      <c r="AJ82" s="275"/>
      <c r="AK82" s="275"/>
      <c r="AL82" s="275"/>
      <c r="AM82" s="275"/>
      <c r="AN82" s="275"/>
      <c r="AO82" s="275"/>
      <c r="AU82" s="645" t="s">
        <v>20</v>
      </c>
      <c r="AV82" s="247"/>
      <c r="AW82" s="247"/>
      <c r="AX82" s="247"/>
      <c r="AY82" s="247"/>
      <c r="AZ82" s="247"/>
      <c r="BA82" s="247"/>
      <c r="BB82" s="247"/>
      <c r="BC82" s="314"/>
    </row>
    <row r="83" spans="2:198" s="245" customFormat="1" ht="3.2" customHeight="1">
      <c r="B83" s="706"/>
      <c r="D83" s="275"/>
      <c r="E83" s="275"/>
      <c r="F83" s="275"/>
      <c r="G83" s="275"/>
      <c r="H83" s="275"/>
      <c r="I83" s="275"/>
      <c r="J83" s="275"/>
      <c r="K83" s="275"/>
      <c r="L83" s="275"/>
      <c r="M83" s="275"/>
      <c r="N83" s="275"/>
      <c r="O83" s="275"/>
      <c r="P83" s="275"/>
      <c r="Q83" s="275"/>
      <c r="R83" s="275"/>
      <c r="S83" s="275"/>
      <c r="T83" s="275"/>
      <c r="U83" s="275"/>
      <c r="V83" s="275"/>
      <c r="W83" s="275"/>
      <c r="X83" s="275"/>
      <c r="Y83" s="275"/>
      <c r="Z83" s="275"/>
      <c r="AA83" s="275"/>
      <c r="AB83" s="275"/>
      <c r="AC83" s="259"/>
      <c r="AD83" s="275"/>
      <c r="AE83" s="275"/>
      <c r="AF83" s="275"/>
      <c r="AG83" s="275"/>
      <c r="AH83" s="275"/>
      <c r="AI83" s="275"/>
      <c r="AJ83" s="275"/>
      <c r="AK83" s="275"/>
      <c r="AL83" s="275"/>
      <c r="AM83" s="275"/>
      <c r="AN83" s="275"/>
      <c r="AO83" s="275"/>
      <c r="AP83" s="192"/>
      <c r="AQ83" s="192"/>
      <c r="AR83" s="192"/>
      <c r="AS83" s="192"/>
      <c r="AT83" s="192"/>
      <c r="AU83" s="321"/>
      <c r="AV83" s="251"/>
      <c r="AW83" s="251"/>
      <c r="AX83" s="251"/>
      <c r="AY83" s="251"/>
      <c r="AZ83" s="251"/>
      <c r="BA83" s="251"/>
      <c r="BB83" s="251"/>
      <c r="BC83" s="322"/>
      <c r="BE83" s="263"/>
      <c r="BG83" s="263"/>
      <c r="BW83" s="263"/>
      <c r="CM83" s="263"/>
      <c r="DC83" s="263"/>
      <c r="DP83" s="263"/>
      <c r="FO83" s="263"/>
      <c r="FP83" s="958"/>
      <c r="FR83" s="619"/>
      <c r="FS83" s="375"/>
      <c r="GP83" s="251"/>
    </row>
    <row r="84" spans="2:198" ht="12.75" customHeight="1">
      <c r="D84" s="1650" t="s">
        <v>399</v>
      </c>
      <c r="E84" s="275"/>
      <c r="F84" s="301" t="s">
        <v>142</v>
      </c>
      <c r="G84" s="302"/>
      <c r="H84" s="302"/>
      <c r="I84" s="302"/>
      <c r="J84" s="302"/>
      <c r="K84" s="302"/>
      <c r="L84" s="302"/>
      <c r="M84" s="302"/>
      <c r="N84" s="302"/>
      <c r="O84" s="302"/>
      <c r="P84" s="302"/>
      <c r="Q84" s="302"/>
      <c r="R84" s="302"/>
      <c r="S84" s="302"/>
      <c r="T84" s="302"/>
      <c r="U84" s="302"/>
      <c r="V84" s="302"/>
      <c r="W84" s="302"/>
      <c r="X84" s="302"/>
      <c r="Y84" s="302"/>
      <c r="Z84" s="302"/>
      <c r="AA84" s="1857">
        <f>IF((AA92+AA94+AA96+AA102)&gt;T33,T33,T82-AA92-AA94-AA96-AA102)</f>
        <v>0</v>
      </c>
      <c r="AB84" s="1858"/>
      <c r="AC84" s="1858"/>
      <c r="AD84" s="1858"/>
      <c r="AE84" s="1858"/>
      <c r="AF84" s="1858"/>
      <c r="AG84" s="1858"/>
      <c r="AH84" s="1858"/>
      <c r="AI84" s="1858"/>
      <c r="AJ84" s="303" t="s">
        <v>380</v>
      </c>
      <c r="AK84" s="303"/>
      <c r="AL84" s="303"/>
      <c r="AM84" s="303"/>
      <c r="AN84" s="275"/>
      <c r="AO84" s="275"/>
      <c r="AU84" s="1516">
        <v>10</v>
      </c>
      <c r="AV84" s="1517"/>
      <c r="AW84" s="1517"/>
      <c r="AX84" s="1517"/>
      <c r="AY84" s="247">
        <f>VLOOKUP($X$116,Vergütungen!C32:AM190,36,FALSE)</f>
        <v>100</v>
      </c>
      <c r="AZ84" s="655" t="s">
        <v>381</v>
      </c>
      <c r="BA84" s="247"/>
      <c r="BB84" s="247"/>
      <c r="BC84" s="314"/>
    </row>
    <row r="85" spans="2:198" ht="3.2" customHeight="1">
      <c r="D85" s="1651"/>
      <c r="E85" s="275"/>
      <c r="F85" s="259"/>
      <c r="G85" s="259"/>
      <c r="H85" s="259"/>
      <c r="I85" s="259"/>
      <c r="J85" s="259"/>
      <c r="K85" s="259"/>
      <c r="L85" s="259"/>
      <c r="M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47"/>
      <c r="AQ85" s="247"/>
      <c r="AR85" s="247"/>
      <c r="AS85" s="247"/>
      <c r="AT85" s="247"/>
      <c r="AU85" s="313"/>
      <c r="AV85" s="247"/>
      <c r="AW85" s="247"/>
      <c r="AX85" s="247"/>
      <c r="AY85" s="247"/>
      <c r="AZ85" s="655"/>
      <c r="BA85" s="247"/>
      <c r="BB85" s="247"/>
      <c r="BC85" s="314"/>
    </row>
    <row r="86" spans="2:198" ht="12.75" customHeight="1">
      <c r="D86" s="1651"/>
      <c r="E86" s="275"/>
      <c r="F86" s="274" t="s">
        <v>406</v>
      </c>
      <c r="G86" s="259"/>
      <c r="H86" s="259"/>
      <c r="I86" s="259"/>
      <c r="J86" s="259"/>
      <c r="K86" s="259"/>
      <c r="L86" s="259"/>
      <c r="M86" s="259"/>
      <c r="N86" s="259"/>
      <c r="O86" s="1550"/>
      <c r="P86" s="1550"/>
      <c r="Q86" s="1550"/>
      <c r="R86" s="1729" t="s">
        <v>153</v>
      </c>
      <c r="S86" s="259"/>
      <c r="T86" s="1589" t="s">
        <v>180</v>
      </c>
      <c r="U86" s="1550"/>
      <c r="V86" s="259"/>
      <c r="W86" s="259"/>
      <c r="X86" s="259"/>
      <c r="Y86" s="259"/>
      <c r="Z86" s="1589" t="s">
        <v>181</v>
      </c>
      <c r="AA86" s="1855" t="str">
        <f>IF((AY92*BB92+AY94*BB94+AY96*BB96+AY102)&gt;T33,"Summe der Fremdmittel übersteigt die Herstellungskosten !! 
Bitte korrigieren !!","")</f>
        <v/>
      </c>
      <c r="AB86" s="1855"/>
      <c r="AC86" s="1855"/>
      <c r="AD86" s="1855"/>
      <c r="AE86" s="1855"/>
      <c r="AF86" s="1855"/>
      <c r="AG86" s="1855"/>
      <c r="AH86" s="1855"/>
      <c r="AI86" s="1855"/>
      <c r="AJ86" s="1855"/>
      <c r="AK86" s="1855"/>
      <c r="AL86" s="1855"/>
      <c r="AM86" s="1855"/>
      <c r="AN86" s="259"/>
      <c r="AO86" s="259"/>
      <c r="AP86" s="247"/>
      <c r="AQ86" s="247"/>
      <c r="AR86" s="247"/>
      <c r="AS86" s="247"/>
      <c r="AT86" s="247"/>
      <c r="AU86" s="1539">
        <v>1000</v>
      </c>
      <c r="AV86" s="1540"/>
      <c r="AW86" s="1540"/>
      <c r="AX86" s="1540"/>
      <c r="AY86" s="247">
        <f>VLOOKUP($X$116,Vergütungen!C32:AM190,37,FALSE)</f>
        <v>100</v>
      </c>
      <c r="AZ86" s="655" t="s">
        <v>381</v>
      </c>
      <c r="BA86" s="247"/>
      <c r="BB86" s="247"/>
      <c r="BC86" s="314"/>
    </row>
    <row r="87" spans="2:198" ht="3.2" customHeight="1">
      <c r="D87" s="1651"/>
      <c r="E87" s="275"/>
      <c r="F87" s="275"/>
      <c r="G87" s="275"/>
      <c r="H87" s="275"/>
      <c r="I87" s="275"/>
      <c r="J87" s="275"/>
      <c r="K87" s="275"/>
      <c r="L87" s="275"/>
      <c r="M87" s="275"/>
      <c r="N87" s="275"/>
      <c r="O87" s="275"/>
      <c r="P87" s="275"/>
      <c r="Q87" s="275"/>
      <c r="R87" s="1729"/>
      <c r="S87" s="275"/>
      <c r="T87" s="1550"/>
      <c r="U87" s="1550"/>
      <c r="V87" s="275"/>
      <c r="W87" s="275"/>
      <c r="X87" s="275"/>
      <c r="Y87" s="275"/>
      <c r="Z87" s="1589"/>
      <c r="AA87" s="1855"/>
      <c r="AB87" s="1855"/>
      <c r="AC87" s="1855"/>
      <c r="AD87" s="1855"/>
      <c r="AE87" s="1855"/>
      <c r="AF87" s="1855"/>
      <c r="AG87" s="1855"/>
      <c r="AH87" s="1855"/>
      <c r="AI87" s="1855"/>
      <c r="AJ87" s="1855"/>
      <c r="AK87" s="1855"/>
      <c r="AL87" s="1855"/>
      <c r="AM87" s="1855"/>
      <c r="AN87" s="275"/>
      <c r="AO87" s="275"/>
      <c r="AU87" s="313"/>
      <c r="AV87" s="247"/>
      <c r="AW87" s="247"/>
      <c r="AX87" s="247"/>
      <c r="AY87" s="247"/>
      <c r="AZ87" s="655"/>
      <c r="BA87" s="247"/>
      <c r="BB87" s="247"/>
      <c r="BC87" s="314"/>
    </row>
    <row r="88" spans="2:198" ht="12.75" customHeight="1">
      <c r="D88" s="1651"/>
      <c r="E88" s="275"/>
      <c r="F88" s="275" t="s">
        <v>143</v>
      </c>
      <c r="G88" s="275"/>
      <c r="H88" s="275"/>
      <c r="I88" s="275"/>
      <c r="J88" s="275"/>
      <c r="K88" s="275"/>
      <c r="L88" s="275"/>
      <c r="M88" s="275"/>
      <c r="N88" s="275"/>
      <c r="O88" s="1550" t="s">
        <v>407</v>
      </c>
      <c r="P88" s="1550"/>
      <c r="Q88" s="1550"/>
      <c r="R88" s="1729"/>
      <c r="S88" s="305" t="s">
        <v>408</v>
      </c>
      <c r="T88" s="1550"/>
      <c r="U88" s="1550"/>
      <c r="V88" s="1550" t="s">
        <v>409</v>
      </c>
      <c r="W88" s="1550"/>
      <c r="X88" s="1550" t="s">
        <v>410</v>
      </c>
      <c r="Y88" s="1550"/>
      <c r="Z88" s="1589"/>
      <c r="AA88" s="1855"/>
      <c r="AB88" s="1855"/>
      <c r="AC88" s="1855"/>
      <c r="AD88" s="1855"/>
      <c r="AE88" s="1855"/>
      <c r="AF88" s="1855"/>
      <c r="AG88" s="1855"/>
      <c r="AH88" s="1855"/>
      <c r="AI88" s="1855"/>
      <c r="AJ88" s="1855"/>
      <c r="AK88" s="1855"/>
      <c r="AL88" s="1855"/>
      <c r="AM88" s="1855"/>
      <c r="AN88" s="275"/>
      <c r="AO88" s="275"/>
      <c r="AU88" s="1554">
        <f>AU86</f>
        <v>1000</v>
      </c>
      <c r="AV88" s="1555"/>
      <c r="AW88" s="1555"/>
      <c r="AX88" s="1555"/>
      <c r="AY88" s="247">
        <v>100</v>
      </c>
      <c r="AZ88" s="656" t="s">
        <v>381</v>
      </c>
      <c r="BA88" s="247"/>
      <c r="BB88" s="247"/>
      <c r="BC88" s="314"/>
    </row>
    <row r="89" spans="2:198" ht="3.2" customHeight="1">
      <c r="D89" s="1651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275"/>
      <c r="P89" s="275"/>
      <c r="Q89" s="275"/>
      <c r="R89" s="1729"/>
      <c r="S89" s="275"/>
      <c r="T89" s="275"/>
      <c r="U89" s="275"/>
      <c r="V89" s="275"/>
      <c r="W89" s="275"/>
      <c r="X89" s="275"/>
      <c r="Y89" s="275"/>
      <c r="Z89" s="304"/>
      <c r="AA89" s="1855"/>
      <c r="AB89" s="1855"/>
      <c r="AC89" s="1855"/>
      <c r="AD89" s="1855"/>
      <c r="AE89" s="1855"/>
      <c r="AF89" s="1855"/>
      <c r="AG89" s="1855"/>
      <c r="AH89" s="1855"/>
      <c r="AI89" s="1855"/>
      <c r="AJ89" s="1855"/>
      <c r="AK89" s="1855"/>
      <c r="AL89" s="1855"/>
      <c r="AM89" s="1855"/>
      <c r="AN89" s="275"/>
      <c r="AO89" s="275"/>
      <c r="AU89" s="313"/>
      <c r="AV89" s="247"/>
      <c r="AW89" s="247"/>
      <c r="AX89" s="247"/>
      <c r="AY89" s="247"/>
      <c r="AZ89" s="247"/>
      <c r="BA89" s="247"/>
      <c r="BB89" s="247"/>
      <c r="BC89" s="314"/>
    </row>
    <row r="90" spans="2:198" ht="12.75" customHeight="1">
      <c r="D90" s="1651"/>
      <c r="E90" s="275"/>
      <c r="F90" s="1657" t="s">
        <v>411</v>
      </c>
      <c r="G90" s="1658"/>
      <c r="H90" s="1658"/>
      <c r="I90" s="1658"/>
      <c r="J90" s="1695" t="s">
        <v>398</v>
      </c>
      <c r="K90" s="1657"/>
      <c r="L90" s="1657"/>
      <c r="M90" s="1657"/>
      <c r="N90" s="1696"/>
      <c r="O90" s="1526" t="s">
        <v>429</v>
      </c>
      <c r="P90" s="1549"/>
      <c r="Q90" s="1527"/>
      <c r="R90" s="1730"/>
      <c r="S90" s="306" t="s">
        <v>412</v>
      </c>
      <c r="T90" s="1720" t="s">
        <v>413</v>
      </c>
      <c r="U90" s="1721"/>
      <c r="V90" s="1720" t="s">
        <v>414</v>
      </c>
      <c r="W90" s="1721"/>
      <c r="X90" s="1526" t="s">
        <v>377</v>
      </c>
      <c r="Y90" s="1527"/>
      <c r="Z90" s="307" t="s">
        <v>413</v>
      </c>
      <c r="AA90" s="1855"/>
      <c r="AB90" s="1855"/>
      <c r="AC90" s="1855"/>
      <c r="AD90" s="1855"/>
      <c r="AE90" s="1855"/>
      <c r="AF90" s="1855"/>
      <c r="AG90" s="1855"/>
      <c r="AH90" s="1855"/>
      <c r="AI90" s="1855"/>
      <c r="AJ90" s="1855"/>
      <c r="AK90" s="1855"/>
      <c r="AL90" s="1855"/>
      <c r="AM90" s="1855"/>
      <c r="AN90" s="275"/>
      <c r="AO90" s="275"/>
      <c r="AU90" s="829" t="s">
        <v>23</v>
      </c>
      <c r="AV90" s="402"/>
      <c r="AW90" s="402"/>
      <c r="AX90" s="402"/>
      <c r="AY90" s="402">
        <f>IF(B116&lt;=2,100,IF(AY29&lt;=AU84,AY84,IF(AY29&gt;AU86,100,AY86)))</f>
        <v>100</v>
      </c>
      <c r="AZ90" s="830" t="s">
        <v>381</v>
      </c>
      <c r="BA90" s="402"/>
      <c r="BB90" s="402"/>
      <c r="BC90" s="528"/>
    </row>
    <row r="91" spans="2:198" s="245" customFormat="1" ht="3.2" customHeight="1">
      <c r="B91" s="706"/>
      <c r="D91" s="1651"/>
      <c r="E91" s="275"/>
      <c r="F91" s="275"/>
      <c r="G91" s="275"/>
      <c r="H91" s="275"/>
      <c r="I91" s="275"/>
      <c r="J91" s="258"/>
      <c r="K91" s="259"/>
      <c r="L91" s="259"/>
      <c r="M91" s="259"/>
      <c r="N91" s="260"/>
      <c r="O91" s="258"/>
      <c r="P91" s="259"/>
      <c r="Q91" s="260"/>
      <c r="R91" s="275"/>
      <c r="S91" s="311"/>
      <c r="T91" s="258"/>
      <c r="U91" s="260"/>
      <c r="V91" s="258"/>
      <c r="W91" s="260"/>
      <c r="X91" s="258"/>
      <c r="Y91" s="260"/>
      <c r="Z91" s="312"/>
      <c r="AA91" s="1855"/>
      <c r="AB91" s="1855"/>
      <c r="AC91" s="1855"/>
      <c r="AD91" s="1855"/>
      <c r="AE91" s="1855"/>
      <c r="AF91" s="1855"/>
      <c r="AG91" s="1855"/>
      <c r="AH91" s="1855"/>
      <c r="AI91" s="1855"/>
      <c r="AJ91" s="1855"/>
      <c r="AK91" s="1855"/>
      <c r="AL91" s="1855"/>
      <c r="AM91" s="1855"/>
      <c r="AN91" s="275"/>
      <c r="AO91" s="275"/>
      <c r="AP91" s="192"/>
      <c r="AQ91" s="192"/>
      <c r="AR91" s="192"/>
      <c r="AS91" s="192"/>
      <c r="AT91" s="192"/>
      <c r="AU91" s="313"/>
      <c r="AV91" s="247"/>
      <c r="AW91" s="247"/>
      <c r="AX91" s="247"/>
      <c r="AY91" s="247"/>
      <c r="AZ91" s="247"/>
      <c r="BA91" s="247"/>
      <c r="BB91" s="247"/>
      <c r="BC91" s="314"/>
      <c r="BE91" s="263"/>
      <c r="BG91" s="263"/>
      <c r="BW91" s="263"/>
      <c r="CM91" s="263"/>
      <c r="DC91" s="263"/>
      <c r="DP91" s="263"/>
      <c r="FO91" s="263"/>
      <c r="FP91" s="958"/>
      <c r="FR91" s="619"/>
      <c r="FS91" s="375"/>
      <c r="GP91" s="251"/>
    </row>
    <row r="92" spans="2:198" ht="12.75" customHeight="1">
      <c r="D92" s="1651"/>
      <c r="E92" s="275"/>
      <c r="F92" s="1731" t="s">
        <v>135</v>
      </c>
      <c r="G92" s="1731"/>
      <c r="H92" s="1731"/>
      <c r="I92" s="1731"/>
      <c r="J92" s="1708"/>
      <c r="K92" s="1709"/>
      <c r="L92" s="1709"/>
      <c r="M92" s="1709"/>
      <c r="N92" s="1710"/>
      <c r="O92" s="1559"/>
      <c r="P92" s="1560"/>
      <c r="Q92" s="1561"/>
      <c r="R92" s="710" t="s">
        <v>139</v>
      </c>
      <c r="S92" s="461"/>
      <c r="T92" s="1575"/>
      <c r="U92" s="1576"/>
      <c r="V92" s="1840"/>
      <c r="W92" s="1841"/>
      <c r="X92" s="1662"/>
      <c r="Y92" s="1663"/>
      <c r="Z92" s="315"/>
      <c r="AA92" s="1506">
        <f>IF(($AY$92*BB92+$AY$94*BB94+$AY$96*BB96+$AY$102)&gt;$T$33,0,AY92*BB92)</f>
        <v>0</v>
      </c>
      <c r="AB92" s="1507"/>
      <c r="AC92" s="1507"/>
      <c r="AD92" s="1507"/>
      <c r="AE92" s="1507"/>
      <c r="AF92" s="1507"/>
      <c r="AG92" s="1507"/>
      <c r="AH92" s="1507"/>
      <c r="AI92" s="1507"/>
      <c r="AJ92" s="300" t="s">
        <v>380</v>
      </c>
      <c r="AK92" s="285"/>
      <c r="AL92" s="285"/>
      <c r="AM92" s="285"/>
      <c r="AN92" s="275"/>
      <c r="AO92" s="275"/>
      <c r="AU92" s="313" t="str">
        <f>F92</f>
        <v>Darlehen 1</v>
      </c>
      <c r="AV92" s="530"/>
      <c r="AW92" s="530"/>
      <c r="AX92" s="530"/>
      <c r="AY92" s="1481">
        <f>IF(R92="A",IF(OR(T92=0,V92&lt;T92),0,O92),IF(OR(T92=0,S92&lt;1),0,O92))</f>
        <v>0</v>
      </c>
      <c r="AZ92" s="1481"/>
      <c r="BA92" s="1481"/>
      <c r="BB92" s="1479">
        <f>IF(ISNUMBER(Z92),Z92,1)</f>
        <v>1</v>
      </c>
      <c r="BC92" s="1480"/>
    </row>
    <row r="93" spans="2:198" s="245" customFormat="1" ht="3.2" customHeight="1">
      <c r="B93" s="706"/>
      <c r="D93" s="1651"/>
      <c r="E93" s="275"/>
      <c r="F93" s="275"/>
      <c r="G93" s="275"/>
      <c r="H93" s="275"/>
      <c r="I93" s="275"/>
      <c r="J93" s="258"/>
      <c r="K93" s="259"/>
      <c r="L93" s="259"/>
      <c r="M93" s="259"/>
      <c r="N93" s="260"/>
      <c r="O93" s="258"/>
      <c r="P93" s="259"/>
      <c r="Q93" s="260"/>
      <c r="R93" s="275"/>
      <c r="S93" s="311"/>
      <c r="T93" s="258"/>
      <c r="U93" s="260"/>
      <c r="V93" s="258"/>
      <c r="W93" s="260"/>
      <c r="X93" s="258"/>
      <c r="Y93" s="260"/>
      <c r="Z93" s="311"/>
      <c r="AA93" s="241"/>
      <c r="AB93" s="241"/>
      <c r="AC93" s="316"/>
      <c r="AD93" s="241"/>
      <c r="AE93" s="241"/>
      <c r="AF93" s="241"/>
      <c r="AG93" s="241"/>
      <c r="AH93" s="241"/>
      <c r="AI93" s="241"/>
      <c r="AJ93" s="241"/>
      <c r="AK93" s="241"/>
      <c r="AL93" s="241"/>
      <c r="AM93" s="241"/>
      <c r="AN93" s="275"/>
      <c r="AO93" s="275"/>
      <c r="AP93" s="192"/>
      <c r="AQ93" s="192"/>
      <c r="AR93" s="192"/>
      <c r="AS93" s="192"/>
      <c r="AT93" s="192"/>
      <c r="AU93" s="313"/>
      <c r="AV93" s="317"/>
      <c r="AW93" s="317"/>
      <c r="AX93" s="318"/>
      <c r="AY93" s="247"/>
      <c r="AZ93" s="247"/>
      <c r="BA93" s="247"/>
      <c r="BB93" s="247"/>
      <c r="BC93" s="314"/>
      <c r="BE93" s="263"/>
      <c r="BG93" s="263"/>
      <c r="BW93" s="263"/>
      <c r="CM93" s="263"/>
      <c r="DC93" s="263"/>
      <c r="DP93" s="263"/>
      <c r="FO93" s="263"/>
      <c r="FP93" s="958"/>
      <c r="FR93" s="619"/>
      <c r="FS93" s="375"/>
      <c r="GP93" s="251"/>
    </row>
    <row r="94" spans="2:198">
      <c r="D94" s="1651"/>
      <c r="E94" s="275"/>
      <c r="F94" s="1731" t="s">
        <v>136</v>
      </c>
      <c r="G94" s="1731"/>
      <c r="H94" s="1731"/>
      <c r="I94" s="1731"/>
      <c r="J94" s="1708"/>
      <c r="K94" s="1709"/>
      <c r="L94" s="1709"/>
      <c r="M94" s="1709"/>
      <c r="N94" s="1710"/>
      <c r="O94" s="1559"/>
      <c r="P94" s="1560"/>
      <c r="Q94" s="1561"/>
      <c r="R94" s="710" t="s">
        <v>139</v>
      </c>
      <c r="S94" s="461"/>
      <c r="T94" s="1575"/>
      <c r="U94" s="1576"/>
      <c r="V94" s="1840"/>
      <c r="W94" s="1841"/>
      <c r="X94" s="1662"/>
      <c r="Y94" s="1663"/>
      <c r="Z94" s="315"/>
      <c r="AA94" s="1506">
        <f>IF(($AY$92*BB92+$AY$94*BB94+$AY$96*BB96+$AY$102)&gt;$T$33,0,AY94*BB94)</f>
        <v>0</v>
      </c>
      <c r="AB94" s="1507"/>
      <c r="AC94" s="1507"/>
      <c r="AD94" s="1507"/>
      <c r="AE94" s="1507"/>
      <c r="AF94" s="1507"/>
      <c r="AG94" s="1507"/>
      <c r="AH94" s="1507"/>
      <c r="AI94" s="1507"/>
      <c r="AJ94" s="300" t="s">
        <v>380</v>
      </c>
      <c r="AK94" s="285"/>
      <c r="AL94" s="285"/>
      <c r="AM94" s="285"/>
      <c r="AN94" s="275"/>
      <c r="AO94" s="275"/>
      <c r="AU94" s="313" t="str">
        <f>F94</f>
        <v>Darlehen 2</v>
      </c>
      <c r="AV94" s="530"/>
      <c r="AW94" s="530"/>
      <c r="AX94" s="530"/>
      <c r="AY94" s="1481">
        <f>IF(R94="A",IF(OR(T94=0,V94&lt;T94),0,O94),IF(OR(T94=0,S94&lt;1),0,O94))</f>
        <v>0</v>
      </c>
      <c r="AZ94" s="1481"/>
      <c r="BA94" s="1481"/>
      <c r="BB94" s="1479">
        <f>IF(ISNUMBER(Z94),Z94,1)</f>
        <v>1</v>
      </c>
      <c r="BC94" s="1480"/>
    </row>
    <row r="95" spans="2:198" s="245" customFormat="1" ht="3.2" customHeight="1">
      <c r="B95" s="706"/>
      <c r="D95" s="1651"/>
      <c r="E95" s="275"/>
      <c r="F95" s="275"/>
      <c r="G95" s="275"/>
      <c r="H95" s="275"/>
      <c r="I95" s="275"/>
      <c r="J95" s="258"/>
      <c r="K95" s="259"/>
      <c r="L95" s="259"/>
      <c r="M95" s="259"/>
      <c r="N95" s="260"/>
      <c r="O95" s="258"/>
      <c r="P95" s="259"/>
      <c r="Q95" s="260"/>
      <c r="R95" s="275"/>
      <c r="S95" s="311"/>
      <c r="T95" s="258"/>
      <c r="U95" s="260"/>
      <c r="V95" s="258"/>
      <c r="W95" s="260"/>
      <c r="X95" s="258"/>
      <c r="Y95" s="260"/>
      <c r="Z95" s="311"/>
      <c r="AA95" s="241"/>
      <c r="AB95" s="241"/>
      <c r="AC95" s="316"/>
      <c r="AD95" s="241"/>
      <c r="AE95" s="241"/>
      <c r="AF95" s="241"/>
      <c r="AG95" s="241"/>
      <c r="AH95" s="241"/>
      <c r="AI95" s="241"/>
      <c r="AJ95" s="241"/>
      <c r="AK95" s="241"/>
      <c r="AL95" s="241"/>
      <c r="AM95" s="241"/>
      <c r="AN95" s="275"/>
      <c r="AO95" s="275"/>
      <c r="AP95" s="192"/>
      <c r="AQ95" s="192"/>
      <c r="AR95" s="192"/>
      <c r="AS95" s="192"/>
      <c r="AT95" s="192"/>
      <c r="AU95" s="313"/>
      <c r="AV95" s="317"/>
      <c r="AW95" s="317"/>
      <c r="AX95" s="318"/>
      <c r="AY95" s="247"/>
      <c r="AZ95" s="247"/>
      <c r="BA95" s="247"/>
      <c r="BB95" s="247"/>
      <c r="BC95" s="314"/>
      <c r="BE95" s="263"/>
      <c r="BG95" s="263"/>
      <c r="BW95" s="263"/>
      <c r="CM95" s="263"/>
      <c r="DC95" s="263"/>
      <c r="DP95" s="263"/>
      <c r="FO95" s="263"/>
      <c r="FP95" s="958"/>
      <c r="FR95" s="619"/>
      <c r="FS95" s="375"/>
      <c r="GP95" s="251"/>
    </row>
    <row r="96" spans="2:198">
      <c r="D96" s="1651"/>
      <c r="E96" s="275"/>
      <c r="F96" s="1713" t="s">
        <v>137</v>
      </c>
      <c r="G96" s="1713"/>
      <c r="H96" s="1713"/>
      <c r="I96" s="1713"/>
      <c r="J96" s="1712"/>
      <c r="K96" s="1713"/>
      <c r="L96" s="1713"/>
      <c r="M96" s="1713"/>
      <c r="N96" s="1714"/>
      <c r="O96" s="1716"/>
      <c r="P96" s="1717"/>
      <c r="Q96" s="1718"/>
      <c r="R96" s="713" t="s">
        <v>139</v>
      </c>
      <c r="S96" s="462"/>
      <c r="T96" s="1544"/>
      <c r="U96" s="1545"/>
      <c r="V96" s="1844"/>
      <c r="W96" s="1845"/>
      <c r="X96" s="1853"/>
      <c r="Y96" s="1854"/>
      <c r="Z96" s="319"/>
      <c r="AA96" s="1740">
        <f>IF(($AY$92*BB92+$AY$94*BB94+$AY$96*BB96+$AY$102)&gt;$T$33,0,AY96*BB96)</f>
        <v>0</v>
      </c>
      <c r="AB96" s="1741"/>
      <c r="AC96" s="1741"/>
      <c r="AD96" s="1741"/>
      <c r="AE96" s="1741"/>
      <c r="AF96" s="1741"/>
      <c r="AG96" s="1741"/>
      <c r="AH96" s="1741"/>
      <c r="AI96" s="1741"/>
      <c r="AJ96" s="320" t="s">
        <v>380</v>
      </c>
      <c r="AK96" s="320"/>
      <c r="AL96" s="320"/>
      <c r="AM96" s="320"/>
      <c r="AN96" s="275"/>
      <c r="AO96" s="275"/>
      <c r="AU96" s="324" t="str">
        <f>F96</f>
        <v>Darlehen 3</v>
      </c>
      <c r="AV96" s="325"/>
      <c r="AW96" s="325"/>
      <c r="AX96" s="325"/>
      <c r="AY96" s="1490">
        <f>IF(R96="A",IF(OR(T96=0,V96&lt;T96),0,O96),IF(OR(T96=0,S96&lt;1),0,O96))</f>
        <v>0</v>
      </c>
      <c r="AZ96" s="1490"/>
      <c r="BA96" s="1490"/>
      <c r="BB96" s="1556">
        <f>IF(ISNUMBER(Z96),Z96,1)</f>
        <v>1</v>
      </c>
      <c r="BC96" s="1557"/>
    </row>
    <row r="97" spans="2:198" s="245" customFormat="1" ht="3.2" customHeight="1">
      <c r="B97" s="706"/>
      <c r="D97" s="1651"/>
      <c r="E97" s="275"/>
      <c r="F97" s="259"/>
      <c r="G97" s="259"/>
      <c r="H97" s="259"/>
      <c r="I97" s="259"/>
      <c r="J97" s="259"/>
      <c r="K97" s="259"/>
      <c r="L97" s="259"/>
      <c r="M97" s="259"/>
      <c r="N97" s="259"/>
      <c r="O97" s="259"/>
      <c r="P97" s="259"/>
      <c r="Q97" s="259"/>
      <c r="R97" s="259"/>
      <c r="S97" s="259">
        <v>0</v>
      </c>
      <c r="T97" s="259"/>
      <c r="U97" s="259"/>
      <c r="V97" s="259"/>
      <c r="W97" s="259"/>
      <c r="X97" s="259"/>
      <c r="Y97" s="259"/>
      <c r="Z97" s="259"/>
      <c r="AA97" s="316"/>
      <c r="AB97" s="316"/>
      <c r="AC97" s="316"/>
      <c r="AD97" s="316"/>
      <c r="AE97" s="316"/>
      <c r="AF97" s="316"/>
      <c r="AG97" s="316"/>
      <c r="AH97" s="316"/>
      <c r="AI97" s="316"/>
      <c r="AJ97" s="316"/>
      <c r="AK97" s="316"/>
      <c r="AL97" s="316"/>
      <c r="AM97" s="316"/>
      <c r="AN97" s="259"/>
      <c r="AO97" s="259"/>
      <c r="AP97" s="192"/>
      <c r="AQ97" s="192"/>
      <c r="AR97" s="192"/>
      <c r="AS97" s="192"/>
      <c r="AT97" s="192"/>
      <c r="AU97" s="321"/>
      <c r="AV97" s="251"/>
      <c r="AW97" s="251"/>
      <c r="AX97" s="251"/>
      <c r="AY97" s="251"/>
      <c r="AZ97" s="251"/>
      <c r="BA97" s="251"/>
      <c r="BB97" s="251"/>
      <c r="BC97" s="322"/>
      <c r="BE97" s="263"/>
      <c r="BG97" s="263"/>
      <c r="BW97" s="263"/>
      <c r="CM97" s="263"/>
      <c r="DC97" s="263"/>
      <c r="DP97" s="263"/>
      <c r="FO97" s="263"/>
      <c r="FP97" s="958"/>
      <c r="FR97" s="619"/>
      <c r="FS97" s="375"/>
      <c r="GP97" s="251"/>
    </row>
    <row r="98" spans="2:198" ht="12.75" customHeight="1">
      <c r="D98" s="1651"/>
      <c r="E98" s="275"/>
      <c r="F98" s="259" t="s">
        <v>144</v>
      </c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U98" s="313"/>
      <c r="AV98" s="247"/>
      <c r="AW98" s="247"/>
      <c r="AX98" s="247"/>
      <c r="AY98" s="247"/>
      <c r="AZ98" s="247"/>
      <c r="BA98" s="247"/>
      <c r="BB98" s="247"/>
      <c r="BC98" s="314"/>
    </row>
    <row r="99" spans="2:198" s="245" customFormat="1" ht="3.2" customHeight="1">
      <c r="B99" s="706"/>
      <c r="D99" s="1651"/>
      <c r="E99" s="275"/>
      <c r="F99" s="259"/>
      <c r="G99" s="259"/>
      <c r="H99" s="259"/>
      <c r="I99" s="259"/>
      <c r="J99" s="259"/>
      <c r="K99" s="259"/>
      <c r="L99" s="259"/>
      <c r="M99" s="259"/>
      <c r="N99" s="259"/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192"/>
      <c r="AQ99" s="192"/>
      <c r="AR99" s="192"/>
      <c r="AS99" s="192"/>
      <c r="AT99" s="192"/>
      <c r="AU99" s="321"/>
      <c r="AV99" s="251"/>
      <c r="AW99" s="251"/>
      <c r="AX99" s="251"/>
      <c r="AY99" s="251"/>
      <c r="AZ99" s="251"/>
      <c r="BA99" s="251"/>
      <c r="BB99" s="251"/>
      <c r="BC99" s="322"/>
      <c r="BE99" s="263"/>
      <c r="BF99" s="192"/>
      <c r="BG99" s="246"/>
      <c r="BH99" s="192"/>
      <c r="BI99" s="192"/>
      <c r="BJ99" s="192"/>
      <c r="BK99" s="192"/>
      <c r="BL99" s="192"/>
      <c r="BM99" s="192"/>
      <c r="BN99" s="192"/>
      <c r="BO99" s="192"/>
      <c r="BP99" s="192"/>
      <c r="BQ99" s="192"/>
      <c r="BR99" s="192"/>
      <c r="BS99" s="192"/>
      <c r="BT99" s="192"/>
      <c r="BW99" s="263"/>
      <c r="CM99" s="263"/>
      <c r="DC99" s="263"/>
      <c r="DP99" s="263"/>
      <c r="FO99" s="263"/>
      <c r="FP99" s="958"/>
      <c r="FR99" s="619"/>
      <c r="FS99" s="375"/>
      <c r="GP99" s="251"/>
    </row>
    <row r="100" spans="2:198" ht="12.75" customHeight="1">
      <c r="D100" s="1651"/>
      <c r="E100" s="275"/>
      <c r="F100" s="1657" t="s">
        <v>411</v>
      </c>
      <c r="G100" s="1658"/>
      <c r="H100" s="1658"/>
      <c r="I100" s="1658"/>
      <c r="J100" s="1695" t="s">
        <v>398</v>
      </c>
      <c r="K100" s="1657"/>
      <c r="L100" s="1657"/>
      <c r="M100" s="1657"/>
      <c r="N100" s="1696"/>
      <c r="O100" s="1720" t="s">
        <v>430</v>
      </c>
      <c r="P100" s="1549"/>
      <c r="Q100" s="1527"/>
      <c r="R100" s="267"/>
      <c r="S100" s="267"/>
      <c r="T100" s="267"/>
      <c r="U100" s="267"/>
      <c r="V100" s="267"/>
      <c r="W100" s="267"/>
      <c r="X100" s="267"/>
      <c r="Y100" s="267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75"/>
      <c r="AU100" s="313"/>
      <c r="AV100" s="247"/>
      <c r="AW100" s="247"/>
      <c r="AX100" s="247"/>
      <c r="AY100" s="247"/>
      <c r="AZ100" s="247"/>
      <c r="BA100" s="247"/>
      <c r="BB100" s="247"/>
      <c r="BC100" s="314"/>
    </row>
    <row r="101" spans="2:198" s="245" customFormat="1" ht="3.2" customHeight="1">
      <c r="B101" s="706"/>
      <c r="D101" s="1651"/>
      <c r="E101" s="275"/>
      <c r="F101" s="275"/>
      <c r="G101" s="275"/>
      <c r="H101" s="275"/>
      <c r="I101" s="275"/>
      <c r="J101" s="258"/>
      <c r="K101" s="259"/>
      <c r="L101" s="259"/>
      <c r="M101" s="259"/>
      <c r="N101" s="260"/>
      <c r="O101" s="258"/>
      <c r="P101" s="259"/>
      <c r="Q101" s="260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75"/>
      <c r="AP101" s="192"/>
      <c r="AQ101" s="192"/>
      <c r="AR101" s="192"/>
      <c r="AS101" s="192"/>
      <c r="AT101" s="192"/>
      <c r="AU101" s="321"/>
      <c r="AV101" s="251"/>
      <c r="AW101" s="251"/>
      <c r="AX101" s="251"/>
      <c r="AY101" s="251"/>
      <c r="AZ101" s="251"/>
      <c r="BA101" s="251"/>
      <c r="BB101" s="251"/>
      <c r="BC101" s="322"/>
      <c r="BE101" s="263"/>
      <c r="BF101" s="192"/>
      <c r="BG101" s="246"/>
      <c r="BH101" s="192"/>
      <c r="BI101" s="192"/>
      <c r="BJ101" s="192"/>
      <c r="BK101" s="192"/>
      <c r="BL101" s="192"/>
      <c r="BM101" s="192"/>
      <c r="BN101" s="192"/>
      <c r="BO101" s="192"/>
      <c r="BP101" s="192"/>
      <c r="BQ101" s="192"/>
      <c r="BR101" s="192"/>
      <c r="BS101" s="192"/>
      <c r="BT101" s="192"/>
      <c r="BW101" s="263"/>
      <c r="CM101" s="263"/>
      <c r="DC101" s="263"/>
      <c r="DP101" s="263"/>
      <c r="FO101" s="263"/>
      <c r="FP101" s="958"/>
      <c r="FR101" s="619"/>
      <c r="FS101" s="375"/>
      <c r="GP101" s="251"/>
    </row>
    <row r="102" spans="2:198" ht="12.75" customHeight="1">
      <c r="D102" s="1651"/>
      <c r="E102" s="275"/>
      <c r="F102" s="1655">
        <f>'Endfälliges Darlehen'!D15:J15</f>
        <v>0</v>
      </c>
      <c r="G102" s="1655"/>
      <c r="H102" s="1655"/>
      <c r="I102" s="1656"/>
      <c r="J102" s="1711" t="str">
        <f>'Endfälliges Darlehen'!D17</f>
        <v>Institut</v>
      </c>
      <c r="K102" s="1655"/>
      <c r="L102" s="1655"/>
      <c r="M102" s="1655"/>
      <c r="N102" s="1656"/>
      <c r="O102" s="1669">
        <f>'Endfälliges Darlehen'!R13</f>
        <v>0</v>
      </c>
      <c r="P102" s="1670"/>
      <c r="Q102" s="1671"/>
      <c r="R102" s="323"/>
      <c r="S102" s="323" t="str">
        <f>IF(AA102&gt;0," Darlehens-Zinssatz:","")</f>
        <v/>
      </c>
      <c r="T102" s="323"/>
      <c r="U102" s="323"/>
      <c r="V102" s="323"/>
      <c r="W102" s="1856" t="str">
        <f>IF(AA102&gt;0,N474,"")</f>
        <v/>
      </c>
      <c r="X102" s="1856"/>
      <c r="Y102" s="323" t="str">
        <f>IF(AA102&gt;0,"%","")</f>
        <v/>
      </c>
      <c r="Z102" s="259"/>
      <c r="AA102" s="1506">
        <f>IF(($AY$92+$AY$94+$AY$96+$AY$102)&gt;$T$33,0,AY102)</f>
        <v>0</v>
      </c>
      <c r="AB102" s="1507"/>
      <c r="AC102" s="1507"/>
      <c r="AD102" s="1507"/>
      <c r="AE102" s="1507"/>
      <c r="AF102" s="1507"/>
      <c r="AG102" s="1507"/>
      <c r="AH102" s="1507"/>
      <c r="AI102" s="1507"/>
      <c r="AJ102" s="300" t="s">
        <v>380</v>
      </c>
      <c r="AK102" s="285"/>
      <c r="AL102" s="285"/>
      <c r="AM102" s="285"/>
      <c r="AN102" s="275"/>
      <c r="AO102" s="275"/>
      <c r="AU102" s="324">
        <f>F102</f>
        <v>0</v>
      </c>
      <c r="AV102" s="325"/>
      <c r="AW102" s="325"/>
      <c r="AX102" s="325"/>
      <c r="AY102" s="1490">
        <f>IF(AND('Endfälliges Darlehen'!T27&gt;'Endfälliges Darlehen'!T17,'Endfälliges Darlehen'!T27&gt;0,'Endfälliges Darlehen'!T17&gt;0,'Endfälliges Darlehen'!T25&gt;0),IF('Endfälliges Darlehen'!R13&gt;0,'Endfälliges Darlehen'!R13,0),0)</f>
        <v>0</v>
      </c>
      <c r="AZ102" s="1490"/>
      <c r="BA102" s="1490"/>
      <c r="BB102" s="1556"/>
      <c r="BC102" s="1557"/>
    </row>
    <row r="103" spans="2:198" s="245" customFormat="1" ht="3.2" customHeight="1">
      <c r="B103" s="706"/>
      <c r="D103" s="1651"/>
      <c r="E103" s="275"/>
      <c r="F103" s="275"/>
      <c r="G103" s="275"/>
      <c r="H103" s="275"/>
      <c r="I103" s="275"/>
      <c r="J103" s="258"/>
      <c r="K103" s="259"/>
      <c r="L103" s="259"/>
      <c r="M103" s="259"/>
      <c r="N103" s="260"/>
      <c r="O103" s="259"/>
      <c r="P103" s="259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41"/>
      <c r="AB103" s="241"/>
      <c r="AC103" s="316"/>
      <c r="AD103" s="241"/>
      <c r="AE103" s="241"/>
      <c r="AF103" s="241"/>
      <c r="AG103" s="241"/>
      <c r="AH103" s="241"/>
      <c r="AI103" s="241"/>
      <c r="AJ103" s="241"/>
      <c r="AK103" s="241"/>
      <c r="AL103" s="241"/>
      <c r="AM103" s="241"/>
      <c r="AN103" s="275"/>
      <c r="AO103" s="275"/>
      <c r="BE103" s="263"/>
      <c r="BF103" s="192"/>
      <c r="BG103" s="246"/>
      <c r="BH103" s="192"/>
      <c r="BI103" s="192"/>
      <c r="BJ103" s="192"/>
      <c r="BK103" s="192"/>
      <c r="BL103" s="192"/>
      <c r="BM103" s="192"/>
      <c r="BN103" s="192"/>
      <c r="BO103" s="192"/>
      <c r="BP103" s="192"/>
      <c r="BQ103" s="192"/>
      <c r="BR103" s="192"/>
      <c r="BS103" s="192"/>
      <c r="BT103" s="192"/>
      <c r="BW103" s="263"/>
      <c r="CM103" s="263"/>
      <c r="DC103" s="263"/>
      <c r="DP103" s="263"/>
      <c r="FO103" s="263"/>
      <c r="FP103" s="958"/>
      <c r="FR103" s="619"/>
      <c r="FS103" s="375"/>
      <c r="GP103" s="251"/>
    </row>
    <row r="104" spans="2:198">
      <c r="D104" s="1651"/>
      <c r="E104" s="275"/>
      <c r="F104" s="1653">
        <f>'Endfälliges Darlehen'!D21:J21</f>
        <v>0</v>
      </c>
      <c r="G104" s="1653"/>
      <c r="H104" s="1653"/>
      <c r="I104" s="1654"/>
      <c r="J104" s="1715" t="str">
        <f>'Endfälliges Darlehen'!D23</f>
        <v>Institut</v>
      </c>
      <c r="K104" s="1653"/>
      <c r="L104" s="1653"/>
      <c r="M104" s="1653"/>
      <c r="N104" s="1654"/>
      <c r="O104" s="305" t="str">
        <f>IF(AA102&gt;0," Ansparrate ("&amp;N475&amp;"%):","")</f>
        <v/>
      </c>
      <c r="P104" s="305"/>
      <c r="Q104" s="305"/>
      <c r="R104" s="305"/>
      <c r="S104" s="326" t="str">
        <f>IF(AA102&gt;0,'Endfälliges Darlehen'!W21,"")</f>
        <v/>
      </c>
      <c r="T104" s="327" t="str">
        <f>IF(AA102&gt;0,"€   /","")</f>
        <v/>
      </c>
      <c r="U104" s="305" t="str">
        <f>IF(AA102&gt;0,"Verzinsung (Progn.):","")</f>
        <v/>
      </c>
      <c r="V104" s="305"/>
      <c r="W104" s="305"/>
      <c r="X104" s="305"/>
      <c r="Y104" s="1574" t="str">
        <f>IF(AA102&gt;0,'Endfälliges Darlehen'!T25/100,"")</f>
        <v/>
      </c>
      <c r="Z104" s="1574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75"/>
      <c r="AO104" s="275"/>
    </row>
    <row r="105" spans="2:198" s="245" customFormat="1" ht="3.2" customHeight="1">
      <c r="B105" s="706"/>
      <c r="D105" s="1651"/>
      <c r="E105" s="275"/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BE105" s="263"/>
      <c r="BF105" s="192"/>
      <c r="BG105" s="246"/>
      <c r="BH105" s="192"/>
      <c r="BI105" s="192"/>
      <c r="BJ105" s="192"/>
      <c r="BK105" s="192"/>
      <c r="BL105" s="192"/>
      <c r="BM105" s="192"/>
      <c r="BN105" s="192"/>
      <c r="BO105" s="192"/>
      <c r="BP105" s="192"/>
      <c r="BQ105" s="192"/>
      <c r="BR105" s="192"/>
      <c r="BS105" s="192"/>
      <c r="BT105" s="192"/>
      <c r="BW105" s="263"/>
      <c r="CM105" s="263"/>
      <c r="DC105" s="263"/>
      <c r="DP105" s="263"/>
      <c r="FO105" s="263"/>
      <c r="FP105" s="958"/>
      <c r="FR105" s="619"/>
      <c r="FS105" s="375"/>
      <c r="GP105" s="251"/>
    </row>
    <row r="106" spans="2:198" ht="12.75" customHeight="1">
      <c r="D106" s="1651"/>
      <c r="E106" s="275"/>
      <c r="F106" s="328" t="str">
        <f>IF(AA102&gt;0,"  Zur Finanzierung der Photovoltaikanlage wurde ein Endfälliges Darlehen (mit Gegenfinanzierung) eingeplant.","")</f>
        <v/>
      </c>
      <c r="G106" s="329"/>
      <c r="H106" s="329"/>
      <c r="I106" s="329"/>
      <c r="J106" s="329"/>
      <c r="K106" s="329"/>
      <c r="L106" s="329"/>
      <c r="M106" s="329"/>
      <c r="N106" s="329"/>
      <c r="O106" s="329"/>
      <c r="P106" s="329"/>
      <c r="Q106" s="329"/>
      <c r="R106" s="329"/>
      <c r="S106" s="329"/>
      <c r="T106" s="329"/>
      <c r="U106" s="329"/>
      <c r="V106" s="329"/>
      <c r="W106" s="329"/>
      <c r="X106" s="329"/>
      <c r="Y106" s="329"/>
      <c r="Z106" s="329"/>
      <c r="AA106" s="329"/>
      <c r="AB106" s="329"/>
      <c r="AC106" s="329"/>
      <c r="AD106" s="329"/>
      <c r="AE106" s="329"/>
      <c r="AF106" s="329"/>
      <c r="AG106" s="329"/>
      <c r="AH106" s="329"/>
      <c r="AI106" s="329"/>
      <c r="AJ106" s="329"/>
      <c r="AK106" s="329"/>
      <c r="AL106" s="329"/>
      <c r="AM106" s="330"/>
      <c r="AN106" s="275"/>
      <c r="AO106" s="275"/>
      <c r="AU106" s="1359" t="s">
        <v>1441</v>
      </c>
      <c r="AV106" s="397"/>
      <c r="AW106" s="397"/>
      <c r="AX106" s="397"/>
      <c r="AY106" s="397"/>
      <c r="AZ106" s="397"/>
      <c r="BA106" s="397"/>
      <c r="BB106" s="397"/>
      <c r="BC106" s="397"/>
      <c r="BD106" s="397"/>
      <c r="BE106" s="848"/>
      <c r="BF106" s="397"/>
      <c r="BG106" s="848"/>
      <c r="BH106" s="397"/>
      <c r="BI106" s="397"/>
      <c r="BJ106" s="397"/>
      <c r="BK106" s="397"/>
      <c r="BL106" s="397"/>
      <c r="BM106" s="397"/>
      <c r="BN106" s="397"/>
      <c r="BO106" s="397"/>
      <c r="BP106" s="397"/>
      <c r="BQ106" s="397"/>
      <c r="BR106" s="397"/>
      <c r="BS106" s="397"/>
      <c r="BT106" s="397"/>
      <c r="BU106" s="397"/>
      <c r="BV106" s="397"/>
      <c r="BW106" s="848"/>
      <c r="BX106" s="397"/>
      <c r="BY106" s="397"/>
      <c r="BZ106" s="397"/>
      <c r="CA106" s="397"/>
      <c r="CB106" s="397"/>
      <c r="CC106" s="397"/>
      <c r="CD106" s="399"/>
    </row>
    <row r="107" spans="2:198" ht="12.75" customHeight="1">
      <c r="D107" s="1651"/>
      <c r="E107" s="275"/>
      <c r="F107" s="142"/>
      <c r="G107" s="331" t="str">
        <f>IF(AA102&gt;0,"Darlehenshöhe: "&amp;AA102&amp;",- €;      Den Darlehenszins für das Endfällige Darlehen haben Sie auf "&amp;N474&amp;"% p.a. veranschlagt.","")</f>
        <v/>
      </c>
      <c r="H107" s="142"/>
      <c r="I107" s="142"/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2"/>
      <c r="AK107" s="142"/>
      <c r="AL107" s="142"/>
      <c r="AM107" s="332"/>
      <c r="AN107" s="275"/>
      <c r="AO107" s="275"/>
      <c r="AU107" s="722"/>
      <c r="AV107" s="767"/>
      <c r="AW107" s="767"/>
      <c r="AX107" s="767"/>
      <c r="AY107" s="767"/>
      <c r="AZ107" s="767"/>
      <c r="BA107" s="767"/>
      <c r="BB107" s="767"/>
      <c r="BC107" s="767"/>
      <c r="BD107" s="767"/>
      <c r="BE107" s="791"/>
      <c r="BF107" s="767"/>
      <c r="BG107" s="791"/>
      <c r="BH107" s="767"/>
      <c r="BI107" s="767"/>
      <c r="BJ107" s="1175" t="s">
        <v>1443</v>
      </c>
      <c r="BK107" s="1437">
        <v>0</v>
      </c>
      <c r="BL107" s="1438"/>
      <c r="BM107" s="1355" t="s">
        <v>426</v>
      </c>
      <c r="BN107" s="1435">
        <f>IF(Kalkulation!$B$118&lt;137,VLOOKUP($B$118,Vergütungen!$A$32:$BM$190,50,FALSE),IF(AU110=1,VLOOKUP($B$118,Vergütungen!$A$32:$BM$190,50,FALSE),VLOOKUP($B$118,Vergütungen!$A$32:$BM$190,58,FALSE)))</f>
        <v>10</v>
      </c>
      <c r="BO107" s="1436"/>
      <c r="BP107" s="1175" t="s">
        <v>379</v>
      </c>
      <c r="BQ107" s="247"/>
      <c r="BR107" s="1439">
        <f>IF($AX$40=1,VLOOKUP($B$118,Vergütungen!A32:X190,N471-1,FALSE),VLOOKUP($B$118,Vergütungen!A32:X190,N471,FALSE))</f>
        <v>8.199999999999999E-2</v>
      </c>
      <c r="BS107" s="1440"/>
      <c r="BT107" s="1175" t="s">
        <v>61</v>
      </c>
      <c r="BU107" s="247"/>
      <c r="BV107" s="247"/>
      <c r="BW107" s="401"/>
      <c r="BX107" s="247"/>
      <c r="BY107" s="247"/>
      <c r="BZ107" s="247"/>
      <c r="CA107" s="247"/>
      <c r="CB107" s="247"/>
      <c r="CC107" s="247"/>
      <c r="CD107" s="314"/>
    </row>
    <row r="108" spans="2:198" ht="12.75" customHeight="1">
      <c r="D108" s="1651"/>
      <c r="E108" s="275"/>
      <c r="F108" s="142"/>
      <c r="G108" s="331" t="str">
        <f>IF(AA102&gt;0,"Gegenfinanzierung:    Als Ansparrate haben Sie "&amp;N475&amp;"% p.a. vorgesehen;       Als Renditeprognose haben Sie "&amp;N476&amp;"% p.a. veranschlagt.","")</f>
        <v/>
      </c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  <c r="AK108" s="142"/>
      <c r="AL108" s="142"/>
      <c r="AM108" s="332"/>
      <c r="AN108" s="275"/>
      <c r="AO108" s="275"/>
      <c r="AU108" s="722">
        <f>B118</f>
        <v>137</v>
      </c>
      <c r="AV108" s="1356" t="str">
        <f>X116</f>
        <v>Aug 2022 (ab 29.7.22)</v>
      </c>
      <c r="AW108" s="767"/>
      <c r="AX108" s="767"/>
      <c r="AY108" s="767"/>
      <c r="AZ108" s="767"/>
      <c r="BA108" s="767"/>
      <c r="BB108" s="767"/>
      <c r="BC108" s="767"/>
      <c r="BD108" s="767"/>
      <c r="BE108" s="791"/>
      <c r="BF108" s="767"/>
      <c r="BG108" s="791"/>
      <c r="BH108" s="767"/>
      <c r="BI108" s="767"/>
      <c r="BJ108" s="1175" t="s">
        <v>1444</v>
      </c>
      <c r="BK108" s="1441">
        <f>BN107</f>
        <v>10</v>
      </c>
      <c r="BL108" s="1442"/>
      <c r="BM108" s="1355" t="s">
        <v>426</v>
      </c>
      <c r="BN108" s="1435">
        <f>IF(Kalkulation!$B$118&lt;137,VLOOKUP($B$118,Vergütungen!$A$32:$BM$190,52,FALSE),IF(AU110=1,VLOOKUP($B$118,Vergütungen!$A$32:$BM$190,52,FALSE),VLOOKUP($B$118,Vergütungen!$A$32:$BM$190,60,FALSE)))</f>
        <v>40</v>
      </c>
      <c r="BO108" s="1436"/>
      <c r="BP108" s="1175" t="s">
        <v>379</v>
      </c>
      <c r="BQ108" s="247"/>
      <c r="BR108" s="1439">
        <f>IF($AX$40=1,VLOOKUP($B$118,Vergütungen!A32:X190,O471-1,FALSE),VLOOKUP($B$118,Vergütungen!A32:X190,O471,FALSE))</f>
        <v>7.0999999999999994E-2</v>
      </c>
      <c r="BS108" s="1440"/>
      <c r="BT108" s="1175" t="s">
        <v>61</v>
      </c>
      <c r="BU108" s="247"/>
      <c r="BV108" s="247"/>
      <c r="BW108" s="401"/>
      <c r="BX108" s="247"/>
      <c r="BY108" s="247"/>
      <c r="BZ108" s="247"/>
      <c r="CA108" s="247"/>
      <c r="CB108" s="247"/>
      <c r="CC108" s="247"/>
      <c r="CD108" s="314"/>
    </row>
    <row r="109" spans="2:198" ht="12.75" customHeight="1">
      <c r="D109" s="1651"/>
      <c r="E109" s="275"/>
      <c r="F109" s="331" t="str">
        <f>IF(N477&gt;20,"  Achtung: Das Endfällige Darlehen läuft länger als 20 Jahre. Finanzierung überprüfen und korrigierren !!!",IF(AA102&gt;0,"  Bei Eintreffen der Prognose könnte das Endfällige Darlehen nach rund "&amp;N477&amp;" Jahren durch die Gegenfinanzierung getilgt/abgelöst werden.",""))</f>
        <v/>
      </c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  <c r="AK109" s="142"/>
      <c r="AL109" s="142"/>
      <c r="AM109" s="332"/>
      <c r="AN109" s="275"/>
      <c r="AO109" s="275"/>
      <c r="AU109" s="1357">
        <f>AX40</f>
        <v>0</v>
      </c>
      <c r="AV109" s="767" t="str">
        <f>J15</f>
        <v>Einspeisevergütungs - Anlage (max. 100 kWp) (Osterpaket)</v>
      </c>
      <c r="AW109" s="767"/>
      <c r="AX109" s="767"/>
      <c r="AY109" s="767"/>
      <c r="AZ109" s="767"/>
      <c r="BA109" s="767"/>
      <c r="BB109" s="767"/>
      <c r="BC109" s="767"/>
      <c r="BD109" s="767"/>
      <c r="BE109" s="791"/>
      <c r="BF109" s="767"/>
      <c r="BG109" s="791"/>
      <c r="BH109" s="767"/>
      <c r="BI109" s="767"/>
      <c r="BJ109" s="1175" t="s">
        <v>1445</v>
      </c>
      <c r="BK109" s="1441">
        <f>BN108</f>
        <v>40</v>
      </c>
      <c r="BL109" s="1442"/>
      <c r="BM109" s="1355" t="s">
        <v>426</v>
      </c>
      <c r="BN109" s="1435">
        <f>IF(Kalkulation!$B$118&lt;137,VLOOKUP($B$118,Vergütungen!$A$32:$BM$190,54,FALSE),IF(AU110=1,VLOOKUP($B$118,Vergütungen!$A$32:$BM$190,54,FALSE),VLOOKUP($B$118,Vergütungen!$A$32:$BM$190,62,FALSE)))</f>
        <v>750</v>
      </c>
      <c r="BO109" s="1436"/>
      <c r="BP109" s="1175" t="s">
        <v>379</v>
      </c>
      <c r="BQ109" s="247"/>
      <c r="BR109" s="1439">
        <f>IF($AX$40=1,VLOOKUP($B$118,Vergütungen!A32:X190,P471-1,FALSE),VLOOKUP($B$118,Vergütungen!A32:X190,P471,FALSE))</f>
        <v>5.7999999999999996E-2</v>
      </c>
      <c r="BS109" s="1440"/>
      <c r="BT109" s="1175" t="s">
        <v>61</v>
      </c>
      <c r="BU109" s="247"/>
      <c r="BV109" s="247"/>
      <c r="BW109" s="401"/>
      <c r="BX109" s="247"/>
      <c r="BY109" s="247"/>
      <c r="BZ109" s="247"/>
      <c r="CA109" s="247"/>
      <c r="CB109" s="247"/>
      <c r="CC109" s="247"/>
      <c r="CD109" s="314"/>
    </row>
    <row r="110" spans="2:198" ht="12.75" customHeight="1">
      <c r="D110" s="1651"/>
      <c r="E110" s="275"/>
      <c r="F110" s="333" t="str">
        <f>IF(AA102&gt;0,"  Weitere Informationen zum Endfälligen Darlehen mit Gegenfinanzierung finden Sie im Registerblatt 'Endfälliges Darlehen'","")</f>
        <v/>
      </c>
      <c r="G110" s="334"/>
      <c r="H110" s="334"/>
      <c r="I110" s="334"/>
      <c r="J110" s="334"/>
      <c r="K110" s="334"/>
      <c r="L110" s="334"/>
      <c r="M110" s="334"/>
      <c r="N110" s="334"/>
      <c r="O110" s="334"/>
      <c r="P110" s="334"/>
      <c r="Q110" s="334"/>
      <c r="R110" s="334"/>
      <c r="S110" s="334"/>
      <c r="T110" s="334"/>
      <c r="U110" s="334"/>
      <c r="V110" s="334"/>
      <c r="W110" s="334"/>
      <c r="X110" s="334"/>
      <c r="Y110" s="334"/>
      <c r="Z110" s="334"/>
      <c r="AA110" s="334"/>
      <c r="AB110" s="334"/>
      <c r="AC110" s="334"/>
      <c r="AD110" s="334"/>
      <c r="AE110" s="334"/>
      <c r="AF110" s="334"/>
      <c r="AG110" s="334"/>
      <c r="AH110" s="334"/>
      <c r="AI110" s="334"/>
      <c r="AJ110" s="334"/>
      <c r="AK110" s="334"/>
      <c r="AL110" s="334"/>
      <c r="AM110" s="335"/>
      <c r="AN110" s="275"/>
      <c r="AO110" s="275"/>
      <c r="AU110" s="1357">
        <f>BW36</f>
        <v>1</v>
      </c>
      <c r="AV110" s="767" t="str">
        <f>J17</f>
        <v>EIGENVERBRAUCHs - Anlage</v>
      </c>
      <c r="AW110" s="767"/>
      <c r="AX110" s="767"/>
      <c r="AY110" s="767"/>
      <c r="AZ110" s="767"/>
      <c r="BA110" s="767"/>
      <c r="BB110" s="767"/>
      <c r="BC110" s="767"/>
      <c r="BD110" s="767"/>
      <c r="BE110" s="791"/>
      <c r="BF110" s="767"/>
      <c r="BG110" s="791"/>
      <c r="BH110" s="767"/>
      <c r="BI110" s="767"/>
      <c r="BJ110" s="1175" t="s">
        <v>1446</v>
      </c>
      <c r="BK110" s="1441">
        <f>BN109</f>
        <v>750</v>
      </c>
      <c r="BL110" s="1442"/>
      <c r="BM110" s="1355" t="s">
        <v>426</v>
      </c>
      <c r="BN110" s="1435">
        <f>IF(Kalkulation!$B$118&lt;137,VLOOKUP($B$118,Vergütungen!$A$32:$BM$190,56,FALSE),IF(AU110=1,VLOOKUP($B$118,Vergütungen!$A$32:$BM$190,56,FALSE),VLOOKUP($B$118,Vergütungen!$A$32:$BM$190,64,FALSE)))</f>
        <v>0</v>
      </c>
      <c r="BO110" s="1436"/>
      <c r="BP110" s="1175" t="s">
        <v>379</v>
      </c>
      <c r="BQ110" s="247"/>
      <c r="BR110" s="1439">
        <f>IF($AX$40=1,VLOOKUP($B$118,Vergütungen!A32:X190,Q471-1,FALSE),VLOOKUP($B$118,Vergütungen!A32:X190,Q471,FALSE))</f>
        <v>0</v>
      </c>
      <c r="BS110" s="1440"/>
      <c r="BT110" s="1175" t="s">
        <v>61</v>
      </c>
      <c r="BU110" s="247"/>
      <c r="BV110" s="247"/>
      <c r="BW110" s="401"/>
      <c r="BX110" s="247"/>
      <c r="BY110" s="247"/>
      <c r="BZ110" s="247"/>
      <c r="CA110" s="247"/>
      <c r="CB110" s="247"/>
      <c r="CC110" s="247"/>
      <c r="CD110" s="314"/>
    </row>
    <row r="111" spans="2:198" ht="3.2" customHeight="1">
      <c r="D111" s="1652"/>
      <c r="E111" s="275"/>
      <c r="F111" s="275"/>
      <c r="G111" s="275"/>
      <c r="H111" s="275"/>
      <c r="I111" s="275"/>
      <c r="J111" s="275"/>
      <c r="K111" s="275"/>
      <c r="L111" s="275"/>
      <c r="M111" s="275"/>
      <c r="N111" s="275"/>
      <c r="O111" s="275"/>
      <c r="P111" s="275"/>
      <c r="Q111" s="275"/>
      <c r="R111" s="275"/>
      <c r="S111" s="275"/>
      <c r="T111" s="275"/>
      <c r="U111" s="275"/>
      <c r="V111" s="275"/>
      <c r="W111" s="275"/>
      <c r="X111" s="275"/>
      <c r="Y111" s="275"/>
      <c r="Z111" s="275"/>
      <c r="AA111" s="275"/>
      <c r="AB111" s="275"/>
      <c r="AC111" s="275"/>
      <c r="AD111" s="275"/>
      <c r="AE111" s="275"/>
      <c r="AF111" s="275"/>
      <c r="AG111" s="275"/>
      <c r="AH111" s="275"/>
      <c r="AI111" s="275"/>
      <c r="AJ111" s="275"/>
      <c r="AK111" s="275"/>
      <c r="AL111" s="275"/>
      <c r="AM111" s="275"/>
      <c r="AN111" s="275"/>
      <c r="AO111" s="275"/>
      <c r="AU111" s="1069"/>
      <c r="AV111" s="1070"/>
      <c r="AW111" s="1070"/>
      <c r="AX111" s="1070"/>
      <c r="AY111" s="1070"/>
      <c r="AZ111" s="1070"/>
      <c r="BA111" s="1070"/>
      <c r="BB111" s="1070"/>
      <c r="BC111" s="1070"/>
      <c r="BD111" s="1070"/>
      <c r="BE111" s="1358"/>
      <c r="BF111" s="1070"/>
      <c r="BG111" s="1070"/>
      <c r="BH111" s="1070"/>
      <c r="BI111" s="1070"/>
      <c r="BJ111" s="1070"/>
      <c r="BK111" s="1070"/>
      <c r="BL111" s="1070"/>
      <c r="BM111" s="1070"/>
      <c r="BN111" s="1070"/>
      <c r="BO111" s="1070"/>
      <c r="BP111" s="1070"/>
      <c r="BQ111" s="1070"/>
      <c r="BR111" s="1070"/>
      <c r="BS111" s="1070"/>
      <c r="BT111" s="1070"/>
      <c r="BU111" s="1070"/>
      <c r="BV111" s="1070"/>
      <c r="BW111" s="1070"/>
      <c r="BX111" s="1070"/>
      <c r="BY111" s="1070"/>
      <c r="BZ111" s="402"/>
      <c r="CA111" s="402"/>
      <c r="CB111" s="402"/>
      <c r="CC111" s="402"/>
      <c r="CD111" s="528"/>
    </row>
    <row r="112" spans="2:198" ht="12.75" customHeight="1"/>
    <row r="113" spans="2:82" ht="3.2" customHeight="1">
      <c r="C113" s="1375" t="s">
        <v>501</v>
      </c>
      <c r="D113" s="336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  <c r="W113" s="269"/>
      <c r="X113" s="269"/>
      <c r="Y113" s="269"/>
      <c r="Z113" s="269"/>
      <c r="AA113" s="269"/>
      <c r="AB113" s="269"/>
      <c r="AC113" s="269"/>
      <c r="AD113" s="269"/>
      <c r="AE113" s="269"/>
      <c r="AF113" s="269"/>
      <c r="AG113" s="269"/>
      <c r="AH113" s="269"/>
      <c r="AI113" s="269"/>
      <c r="AJ113" s="269"/>
      <c r="AK113" s="269"/>
      <c r="AL113" s="269"/>
      <c r="AM113" s="269"/>
      <c r="AN113" s="269"/>
      <c r="AO113" s="270"/>
    </row>
    <row r="114" spans="2:82" ht="24.95" customHeight="1">
      <c r="C114" s="1376"/>
      <c r="D114" s="271" t="s">
        <v>388</v>
      </c>
      <c r="E114" s="624"/>
      <c r="F114" s="272"/>
      <c r="G114" s="272"/>
      <c r="H114" s="272"/>
      <c r="I114" s="272"/>
      <c r="J114" s="272"/>
      <c r="K114" s="272"/>
      <c r="L114" s="272"/>
      <c r="M114" s="272"/>
      <c r="N114" s="272"/>
      <c r="O114" s="272"/>
      <c r="P114" s="272"/>
      <c r="Q114" s="742" t="str">
        <f>AU19</f>
        <v>Einspeisevergütungs - Anlage (max. 100 kWp) (Osterpaket)</v>
      </c>
      <c r="R114" s="272"/>
      <c r="S114" s="272"/>
      <c r="T114" s="272"/>
      <c r="U114" s="272"/>
      <c r="V114" s="272"/>
      <c r="W114" s="272"/>
      <c r="X114" s="272"/>
      <c r="Y114" s="272"/>
      <c r="Z114" s="272"/>
      <c r="AA114" s="272"/>
      <c r="AB114" s="272"/>
      <c r="AC114" s="272"/>
      <c r="AD114" s="272"/>
      <c r="AE114" s="272"/>
      <c r="AF114" s="272"/>
      <c r="AG114" s="272"/>
      <c r="AH114" s="272"/>
      <c r="AI114" s="272"/>
      <c r="AJ114" s="272"/>
      <c r="AK114" s="272"/>
      <c r="AL114" s="272"/>
      <c r="AM114" s="272"/>
      <c r="AN114" s="272"/>
      <c r="AO114" s="272"/>
      <c r="AU114" s="1524">
        <f>AY29</f>
        <v>0</v>
      </c>
      <c r="AV114" s="1525"/>
      <c r="AW114" s="1525"/>
      <c r="AX114" s="847" t="s">
        <v>763</v>
      </c>
      <c r="AY114" s="397"/>
      <c r="AZ114" s="397"/>
      <c r="BA114" s="397"/>
      <c r="BB114" s="397"/>
      <c r="BC114" s="397"/>
      <c r="BD114" s="397"/>
      <c r="BE114" s="848"/>
      <c r="BF114" s="397"/>
      <c r="BG114" s="848"/>
      <c r="BH114" s="397"/>
      <c r="BI114" s="397"/>
      <c r="BJ114" s="397"/>
      <c r="BK114" s="397"/>
      <c r="BL114" s="397"/>
      <c r="BM114" s="397"/>
      <c r="BN114" s="397"/>
      <c r="BO114" s="397"/>
      <c r="BP114" s="397"/>
      <c r="BQ114" s="397"/>
      <c r="BR114" s="397"/>
      <c r="BS114" s="397"/>
      <c r="BT114" s="397"/>
      <c r="BU114" s="397"/>
      <c r="BV114" s="397"/>
      <c r="BW114" s="848"/>
      <c r="BX114" s="397"/>
      <c r="BY114" s="397"/>
      <c r="BZ114" s="397"/>
      <c r="CA114" s="397"/>
      <c r="CB114" s="397"/>
      <c r="CC114" s="397"/>
      <c r="CD114" s="399"/>
    </row>
    <row r="115" spans="2:82" ht="2.1" customHeight="1">
      <c r="C115" s="1377"/>
      <c r="D115" s="275"/>
      <c r="E115" s="275"/>
      <c r="F115" s="275"/>
      <c r="G115" s="275"/>
      <c r="H115" s="275"/>
      <c r="I115" s="275"/>
      <c r="J115" s="275"/>
      <c r="K115" s="275"/>
      <c r="L115" s="275"/>
      <c r="M115" s="275"/>
      <c r="N115" s="275"/>
      <c r="O115" s="275"/>
      <c r="P115" s="275"/>
      <c r="Q115" s="275"/>
      <c r="R115" s="275"/>
      <c r="S115" s="275"/>
      <c r="T115" s="275"/>
      <c r="U115" s="275"/>
      <c r="V115" s="275"/>
      <c r="W115" s="275"/>
      <c r="X115" s="275"/>
      <c r="Y115" s="275"/>
      <c r="Z115" s="275"/>
      <c r="AA115" s="275"/>
      <c r="AB115" s="275"/>
      <c r="AC115" s="259"/>
      <c r="AD115" s="275"/>
      <c r="AE115" s="275"/>
      <c r="AF115" s="275"/>
      <c r="AG115" s="275"/>
      <c r="AH115" s="275"/>
      <c r="AI115" s="275"/>
      <c r="AJ115" s="275"/>
      <c r="AK115" s="275"/>
      <c r="AL115" s="275"/>
      <c r="AM115" s="275"/>
      <c r="AN115" s="275"/>
      <c r="AO115" s="275"/>
      <c r="AU115" s="313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401"/>
      <c r="BF115" s="247"/>
      <c r="BG115" s="401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401"/>
      <c r="BX115" s="247"/>
      <c r="BY115" s="247"/>
      <c r="BZ115" s="247"/>
      <c r="CA115" s="247"/>
      <c r="CB115" s="247"/>
      <c r="CC115" s="247"/>
      <c r="CD115" s="314"/>
    </row>
    <row r="116" spans="2:82" ht="12.75" customHeight="1">
      <c r="B116" s="339">
        <v>3</v>
      </c>
      <c r="D116" s="275"/>
      <c r="E116" s="275"/>
      <c r="F116" s="241" t="s">
        <v>65</v>
      </c>
      <c r="G116" s="275"/>
      <c r="H116" s="275"/>
      <c r="I116" s="275"/>
      <c r="J116" s="1562" t="str">
        <f>VLOOKUP(B116,D467:F470,3,FALSE)</f>
        <v>Anlage "an und auf Gebäuden"</v>
      </c>
      <c r="K116" s="1563"/>
      <c r="L116" s="1563"/>
      <c r="M116" s="1563"/>
      <c r="N116" s="1563"/>
      <c r="O116" s="1563"/>
      <c r="P116" s="1564"/>
      <c r="Q116" s="275"/>
      <c r="R116" s="337"/>
      <c r="S116" s="275"/>
      <c r="T116" s="338"/>
      <c r="U116" s="338"/>
      <c r="V116" s="338"/>
      <c r="W116" s="299" t="s">
        <v>614</v>
      </c>
      <c r="X116" s="1846" t="str">
        <f>VLOOKUP(B118,Vergütungen!A19:C190,3,FALSE)</f>
        <v>Aug 2022 (ab 29.7.22)</v>
      </c>
      <c r="Y116" s="1847"/>
      <c r="Z116" s="1847"/>
      <c r="AA116" s="1847"/>
      <c r="AB116" s="1847"/>
      <c r="AC116" s="1847"/>
      <c r="AD116" s="1847"/>
      <c r="AE116" s="1848"/>
      <c r="AF116" s="275"/>
      <c r="AG116" s="275"/>
      <c r="AH116" s="275"/>
      <c r="AI116" s="275"/>
      <c r="AJ116" s="275"/>
      <c r="AK116" s="1859" t="s">
        <v>323</v>
      </c>
      <c r="AL116" s="1859"/>
      <c r="AM116" s="1859"/>
      <c r="AN116" s="1859"/>
      <c r="AO116" s="275"/>
      <c r="AU116" s="313"/>
      <c r="AV116" s="247"/>
      <c r="AW116" s="247">
        <f>B116</f>
        <v>3</v>
      </c>
      <c r="AX116" s="247" t="str">
        <f>J116</f>
        <v>Anlage "an und auf Gebäuden"</v>
      </c>
      <c r="AY116" s="247"/>
      <c r="AZ116" s="247"/>
      <c r="BA116" s="247"/>
      <c r="BB116" s="247"/>
      <c r="BC116" s="247"/>
      <c r="BD116" s="247"/>
      <c r="BE116" s="401"/>
      <c r="BF116" s="247"/>
      <c r="BG116" s="401"/>
      <c r="BH116" s="247"/>
      <c r="BI116" s="247"/>
      <c r="BJ116" s="247"/>
      <c r="BK116" s="247"/>
      <c r="BL116" s="247"/>
      <c r="BM116" s="247"/>
      <c r="BN116" s="247"/>
      <c r="BO116" s="247"/>
      <c r="BP116" s="247"/>
      <c r="BQ116" s="247"/>
      <c r="BR116" s="247"/>
      <c r="BS116" s="247"/>
      <c r="BT116" s="247"/>
      <c r="BU116" s="247"/>
      <c r="BV116" s="247"/>
      <c r="BW116" s="401"/>
      <c r="BX116" s="247"/>
      <c r="BY116" s="247"/>
      <c r="BZ116" s="247"/>
      <c r="CA116" s="247"/>
      <c r="CB116" s="247"/>
      <c r="CC116" s="247"/>
      <c r="CD116" s="314"/>
    </row>
    <row r="117" spans="2:82" ht="10.15" customHeight="1">
      <c r="D117" s="275"/>
      <c r="E117" s="259"/>
      <c r="F117" s="275"/>
      <c r="G117" s="275"/>
      <c r="H117" s="275"/>
      <c r="I117" s="275"/>
      <c r="J117" s="275"/>
      <c r="K117" s="275"/>
      <c r="L117" s="275"/>
      <c r="M117" s="275"/>
      <c r="N117" s="275"/>
      <c r="O117" s="337"/>
      <c r="P117" s="337"/>
      <c r="Q117" s="337"/>
      <c r="R117" s="337"/>
      <c r="S117" s="337"/>
      <c r="T117" s="275"/>
      <c r="U117" s="275"/>
      <c r="V117" s="275"/>
      <c r="W117" s="275"/>
      <c r="X117" s="275"/>
      <c r="Y117" s="259"/>
      <c r="Z117" s="259"/>
      <c r="AA117" s="275"/>
      <c r="AB117" s="275"/>
      <c r="AC117" s="259"/>
      <c r="AD117" s="275"/>
      <c r="AE117" s="275"/>
      <c r="AF117" s="275"/>
      <c r="AG117" s="275"/>
      <c r="AH117" s="275"/>
      <c r="AI117" s="275"/>
      <c r="AJ117" s="275"/>
      <c r="AK117" s="1859" t="s">
        <v>324</v>
      </c>
      <c r="AL117" s="1859"/>
      <c r="AM117" s="1859"/>
      <c r="AN117" s="1859"/>
      <c r="AO117" s="275"/>
      <c r="AU117" s="1493">
        <f>V122*X118</f>
        <v>0</v>
      </c>
      <c r="AV117" s="1494"/>
      <c r="AW117" s="1494"/>
      <c r="AX117" s="842" t="s">
        <v>761</v>
      </c>
      <c r="AY117" s="247"/>
      <c r="AZ117" s="247"/>
      <c r="BA117" s="247"/>
      <c r="BB117" s="247"/>
      <c r="BC117" s="247"/>
      <c r="BD117" s="247"/>
      <c r="BE117" s="401"/>
      <c r="BF117" s="247"/>
      <c r="BG117" s="401"/>
      <c r="BH117" s="247"/>
      <c r="BI117" s="247"/>
      <c r="BJ117" s="247"/>
      <c r="BK117" s="247"/>
      <c r="BL117" s="247"/>
      <c r="BM117" s="247"/>
      <c r="BN117" s="247"/>
      <c r="BO117" s="247"/>
      <c r="BP117" s="247"/>
      <c r="BQ117" s="247"/>
      <c r="BR117" s="247"/>
      <c r="BS117" s="247"/>
      <c r="BT117" s="247"/>
      <c r="BU117" s="247"/>
      <c r="BV117" s="247"/>
      <c r="BW117" s="401"/>
      <c r="BX117" s="247"/>
      <c r="BY117" s="247"/>
      <c r="BZ117" s="247"/>
      <c r="CA117" s="247"/>
      <c r="CB117" s="247"/>
      <c r="CC117" s="247"/>
      <c r="CD117" s="314"/>
    </row>
    <row r="118" spans="2:82" ht="12.75" customHeight="1">
      <c r="B118" s="339">
        <v>137</v>
      </c>
      <c r="D118" s="1650" t="s">
        <v>672</v>
      </c>
      <c r="E118" s="259"/>
      <c r="F118" s="721" t="s">
        <v>668</v>
      </c>
      <c r="G118" s="275"/>
      <c r="H118" s="275"/>
      <c r="I118" s="275"/>
      <c r="J118" s="275"/>
      <c r="K118" s="275"/>
      <c r="L118" s="275"/>
      <c r="M118" s="275"/>
      <c r="N118" s="275"/>
      <c r="O118" s="338"/>
      <c r="P118" s="275"/>
      <c r="Q118" s="275"/>
      <c r="R118" s="275"/>
      <c r="S118" s="275"/>
      <c r="T118" s="275"/>
      <c r="U118" s="275"/>
      <c r="V118" s="275"/>
      <c r="W118" s="275"/>
      <c r="X118" s="1506">
        <f>IF(V21&lt;1,0,ROUNDDOWN((T70+T72)/2,0))</f>
        <v>0</v>
      </c>
      <c r="Y118" s="1506"/>
      <c r="Z118" s="1506"/>
      <c r="AA118" s="241" t="s">
        <v>60</v>
      </c>
      <c r="AB118" s="241"/>
      <c r="AC118" s="316"/>
      <c r="AD118" s="241"/>
      <c r="AE118" s="275"/>
      <c r="AF118" s="275"/>
      <c r="AG118" s="305"/>
      <c r="AH118" s="275"/>
      <c r="AI118" s="275"/>
      <c r="AJ118" s="275"/>
      <c r="AK118" s="340"/>
      <c r="AL118" s="1447">
        <v>100</v>
      </c>
      <c r="AM118" s="1447"/>
      <c r="AN118" s="1447"/>
      <c r="AO118" s="275"/>
      <c r="AU118" s="1493">
        <f>IF(B124=2,0,X124)</f>
        <v>0</v>
      </c>
      <c r="AV118" s="1494"/>
      <c r="AW118" s="1494"/>
      <c r="AX118" s="842" t="s">
        <v>762</v>
      </c>
      <c r="AY118" s="247"/>
      <c r="AZ118" s="247"/>
      <c r="BA118" s="247"/>
      <c r="BB118" s="247"/>
      <c r="BC118" s="247"/>
      <c r="BD118" s="247"/>
      <c r="BE118" s="401"/>
      <c r="BF118" s="247"/>
      <c r="BG118" s="401"/>
      <c r="BH118" s="247"/>
      <c r="BI118" s="247"/>
      <c r="BJ118" s="247"/>
      <c r="BK118" s="247"/>
      <c r="BL118" s="247"/>
      <c r="BM118" s="247"/>
      <c r="BN118" s="247"/>
      <c r="BO118" s="247"/>
      <c r="BP118" s="247"/>
      <c r="BQ118" s="247"/>
      <c r="BR118" s="247"/>
      <c r="BS118" s="247"/>
      <c r="BT118" s="247"/>
      <c r="BU118" s="247"/>
      <c r="BV118" s="247"/>
      <c r="BW118" s="401"/>
      <c r="BX118" s="247"/>
      <c r="BY118" s="247"/>
      <c r="BZ118" s="247"/>
      <c r="CA118" s="247"/>
      <c r="CB118" s="247"/>
      <c r="CC118" s="247"/>
      <c r="CD118" s="314"/>
    </row>
    <row r="119" spans="2:82" ht="2.1" customHeight="1">
      <c r="D119" s="1651"/>
      <c r="E119" s="259"/>
      <c r="F119" s="241"/>
      <c r="G119" s="275"/>
      <c r="H119" s="275"/>
      <c r="I119" s="275"/>
      <c r="J119" s="275"/>
      <c r="K119" s="275"/>
      <c r="L119" s="275"/>
      <c r="M119" s="275"/>
      <c r="N119" s="275"/>
      <c r="O119" s="338"/>
      <c r="P119" s="275"/>
      <c r="Q119" s="275"/>
      <c r="R119" s="275"/>
      <c r="S119" s="275"/>
      <c r="T119" s="275"/>
      <c r="U119" s="275"/>
      <c r="V119" s="275"/>
      <c r="W119" s="275"/>
      <c r="X119" s="275"/>
      <c r="Y119" s="275"/>
      <c r="Z119" s="275"/>
      <c r="AA119" s="275"/>
      <c r="AB119" s="275"/>
      <c r="AC119" s="275"/>
      <c r="AD119" s="275"/>
      <c r="AE119" s="275"/>
      <c r="AF119" s="275"/>
      <c r="AG119" s="275"/>
      <c r="AH119" s="275"/>
      <c r="AI119" s="275"/>
      <c r="AJ119" s="275"/>
      <c r="AK119" s="340"/>
      <c r="AL119" s="635"/>
      <c r="AM119" s="635"/>
      <c r="AN119" s="635"/>
      <c r="AO119" s="275"/>
      <c r="AU119" s="313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401"/>
      <c r="BF119" s="247"/>
      <c r="BG119" s="401"/>
      <c r="BH119" s="247"/>
      <c r="BI119" s="247"/>
      <c r="BJ119" s="247"/>
      <c r="BK119" s="247"/>
      <c r="BL119" s="247"/>
      <c r="BM119" s="247"/>
      <c r="BN119" s="247"/>
      <c r="BO119" s="247"/>
      <c r="BP119" s="247"/>
      <c r="BQ119" s="247"/>
      <c r="BR119" s="247"/>
      <c r="BS119" s="247"/>
      <c r="BT119" s="247"/>
      <c r="BU119" s="247"/>
      <c r="BV119" s="247"/>
      <c r="BW119" s="401"/>
      <c r="BX119" s="247"/>
      <c r="BY119" s="247"/>
      <c r="BZ119" s="247"/>
      <c r="CA119" s="247"/>
      <c r="CB119" s="247"/>
      <c r="CC119" s="247"/>
      <c r="CD119" s="314"/>
    </row>
    <row r="120" spans="2:82" ht="12.75" customHeight="1">
      <c r="D120" s="1651"/>
      <c r="E120" s="259"/>
      <c r="F120" s="337" t="s">
        <v>19</v>
      </c>
      <c r="G120" s="337"/>
      <c r="H120" s="337"/>
      <c r="I120" s="337"/>
      <c r="J120" s="337"/>
      <c r="K120" s="289"/>
      <c r="L120" s="289"/>
      <c r="M120" s="337"/>
      <c r="N120" s="337"/>
      <c r="O120" s="338"/>
      <c r="P120" s="337"/>
      <c r="Q120" s="337"/>
      <c r="R120" s="337"/>
      <c r="S120" s="337"/>
      <c r="T120" s="337"/>
      <c r="U120" s="1028" t="str">
        <f>IF(B118&gt;40,"(MARKTPRÄMIEN-Modell bzw. Einspeisevergütungs-Modell)","")</f>
        <v>(MARKTPRÄMIEN-Modell bzw. Einspeisevergütungs-Modell)</v>
      </c>
      <c r="V120" s="337"/>
      <c r="W120" s="337"/>
      <c r="X120" s="1590">
        <f>X118-X122</f>
        <v>0</v>
      </c>
      <c r="Y120" s="1591"/>
      <c r="Z120" s="1592"/>
      <c r="AA120" s="337" t="s">
        <v>60</v>
      </c>
      <c r="AB120" s="337"/>
      <c r="AC120" s="442"/>
      <c r="AD120" s="337"/>
      <c r="AE120" s="275"/>
      <c r="AF120" s="275"/>
      <c r="AG120" s="305"/>
      <c r="AH120" s="275"/>
      <c r="AI120" s="275"/>
      <c r="AJ120" s="275"/>
      <c r="AK120" s="340"/>
      <c r="AL120" s="1447">
        <f>BV157</f>
        <v>0</v>
      </c>
      <c r="AM120" s="1447"/>
      <c r="AN120" s="1447"/>
      <c r="AO120" s="275"/>
      <c r="AU120" s="1495">
        <f>AU117-AU118</f>
        <v>0</v>
      </c>
      <c r="AV120" s="1496"/>
      <c r="AW120" s="1496"/>
      <c r="AX120" s="842" t="s">
        <v>764</v>
      </c>
      <c r="AY120" s="247"/>
      <c r="AZ120" s="247"/>
      <c r="BA120" s="247"/>
      <c r="BB120" s="247"/>
      <c r="BC120" s="247"/>
      <c r="BD120" s="247"/>
      <c r="BE120" s="401"/>
      <c r="BF120" s="247"/>
      <c r="BG120" s="401"/>
      <c r="BH120" s="247"/>
      <c r="BI120" s="247"/>
      <c r="BJ120" s="247"/>
      <c r="BK120" s="247"/>
      <c r="BL120" s="247"/>
      <c r="BM120" s="247"/>
      <c r="BN120" s="247"/>
      <c r="BO120" s="247"/>
      <c r="BP120" s="247"/>
      <c r="BQ120" s="247"/>
      <c r="BR120" s="247"/>
      <c r="BS120" s="247"/>
      <c r="BT120" s="247"/>
      <c r="BU120" s="247"/>
      <c r="BV120" s="247"/>
      <c r="BW120" s="401"/>
      <c r="BX120" s="247"/>
      <c r="BY120" s="247"/>
      <c r="BZ120" s="247"/>
      <c r="CA120" s="247"/>
      <c r="CB120" s="247"/>
      <c r="CC120" s="247"/>
      <c r="CD120" s="314"/>
    </row>
    <row r="121" spans="2:82" ht="2.1" customHeight="1">
      <c r="D121" s="1651"/>
      <c r="E121" s="259"/>
      <c r="F121" s="337"/>
      <c r="G121" s="337"/>
      <c r="H121" s="337"/>
      <c r="I121" s="337"/>
      <c r="J121" s="337"/>
      <c r="K121" s="337"/>
      <c r="L121" s="337"/>
      <c r="M121" s="337"/>
      <c r="N121" s="337"/>
      <c r="O121" s="338"/>
      <c r="P121" s="337"/>
      <c r="Q121" s="337"/>
      <c r="R121" s="337"/>
      <c r="S121" s="337"/>
      <c r="T121" s="337"/>
      <c r="U121" s="337"/>
      <c r="V121" s="337"/>
      <c r="W121" s="337"/>
      <c r="X121" s="649"/>
      <c r="Y121" s="649"/>
      <c r="Z121" s="649"/>
      <c r="AA121" s="337"/>
      <c r="AB121" s="337"/>
      <c r="AC121" s="337"/>
      <c r="AD121" s="337"/>
      <c r="AE121" s="275"/>
      <c r="AF121" s="275"/>
      <c r="AG121" s="275"/>
      <c r="AH121" s="275"/>
      <c r="AI121" s="275"/>
      <c r="AJ121" s="275"/>
      <c r="AK121" s="275"/>
      <c r="AL121" s="275"/>
      <c r="AM121" s="635"/>
      <c r="AN121" s="635"/>
      <c r="AO121" s="275"/>
      <c r="AP121" s="1491" t="str">
        <f>IF(T137=0,"Achtung:
Zur Berechnung des gewählten Inbetriebnahme-Monats müssen die Vergütungssätze im Blatt Vergütungen eingeben werden.","")</f>
        <v/>
      </c>
      <c r="AQ121" s="1491"/>
      <c r="AR121" s="1491"/>
      <c r="AS121" s="1491"/>
      <c r="AT121" s="1491"/>
      <c r="AU121" s="313"/>
      <c r="AV121" s="247"/>
      <c r="AW121" s="247"/>
      <c r="AX121" s="247"/>
      <c r="AY121" s="247"/>
      <c r="AZ121" s="247"/>
      <c r="BA121" s="247"/>
      <c r="BB121" s="247"/>
      <c r="BC121" s="247"/>
      <c r="BD121" s="247"/>
      <c r="BE121" s="401"/>
      <c r="BF121" s="247"/>
      <c r="BG121" s="401"/>
      <c r="BH121" s="247"/>
      <c r="BI121" s="247"/>
      <c r="BJ121" s="247"/>
      <c r="BK121" s="247"/>
      <c r="BL121" s="247"/>
      <c r="BM121" s="247"/>
      <c r="BN121" s="247"/>
      <c r="BO121" s="247"/>
      <c r="BP121" s="247"/>
      <c r="BQ121" s="247"/>
      <c r="BR121" s="247"/>
      <c r="BS121" s="247"/>
      <c r="BT121" s="247"/>
      <c r="BU121" s="247"/>
      <c r="BV121" s="247"/>
      <c r="BW121" s="401"/>
      <c r="BX121" s="247"/>
      <c r="BY121" s="247"/>
      <c r="BZ121" s="247"/>
      <c r="CA121" s="247"/>
      <c r="CB121" s="247"/>
      <c r="CC121" s="247"/>
      <c r="CD121" s="314"/>
    </row>
    <row r="122" spans="2:82" ht="12.75" customHeight="1">
      <c r="D122" s="1651"/>
      <c r="E122" s="259"/>
      <c r="F122" s="337" t="str">
        <f>IF(B118&gt;40,"   davon Eigenstromverbrauch","   davon Eigenstromverbrauch *")</f>
        <v xml:space="preserve">   davon Eigenstromverbrauch</v>
      </c>
      <c r="G122" s="337"/>
      <c r="H122" s="337"/>
      <c r="I122" s="337"/>
      <c r="J122" s="337"/>
      <c r="K122" s="337"/>
      <c r="L122" s="337"/>
      <c r="M122" s="337"/>
      <c r="N122" s="337"/>
      <c r="O122" s="338"/>
      <c r="P122" s="337"/>
      <c r="Q122" s="337"/>
      <c r="R122" s="337"/>
      <c r="S122" s="337"/>
      <c r="T122" s="834"/>
      <c r="U122" s="835" t="str">
        <f>IF(V122&gt;0,"( ab 01.01.2014 mindestens ","( kein Mindesteigenverbrauch: ")</f>
        <v xml:space="preserve">( kein Mindesteigenverbrauch: </v>
      </c>
      <c r="V122" s="1842">
        <f>(100-AY90)/100</f>
        <v>0</v>
      </c>
      <c r="W122" s="1843"/>
      <c r="X122" s="1590">
        <f>IF(B124=2,0,IF(X124&lt;(V122*X118),(V122*X118),X124))</f>
        <v>0</v>
      </c>
      <c r="Y122" s="1591"/>
      <c r="Z122" s="1592"/>
      <c r="AA122" s="337" t="s">
        <v>60</v>
      </c>
      <c r="AB122" s="337"/>
      <c r="AC122" s="442"/>
      <c r="AD122" s="337"/>
      <c r="AE122" s="275"/>
      <c r="AF122" s="275"/>
      <c r="AG122" s="305"/>
      <c r="AH122" s="275"/>
      <c r="AI122" s="275"/>
      <c r="AJ122" s="275"/>
      <c r="AK122" s="340"/>
      <c r="AL122" s="1447">
        <f>BV145</f>
        <v>0</v>
      </c>
      <c r="AM122" s="1447"/>
      <c r="AN122" s="1447"/>
      <c r="AO122" s="275"/>
      <c r="AP122" s="1491"/>
      <c r="AQ122" s="1491"/>
      <c r="AR122" s="1491"/>
      <c r="AS122" s="1491"/>
      <c r="AT122" s="1491"/>
      <c r="AU122" s="313"/>
      <c r="AV122" s="247"/>
      <c r="AW122" s="1166">
        <f>B118</f>
        <v>137</v>
      </c>
      <c r="AX122" s="849" t="str">
        <f>X116</f>
        <v>Aug 2022 (ab 29.7.22)</v>
      </c>
      <c r="AY122" s="247"/>
      <c r="AZ122" s="247"/>
      <c r="BA122" s="247"/>
      <c r="BB122" s="247"/>
      <c r="BC122" s="247"/>
      <c r="BD122" s="247"/>
      <c r="BE122" s="401"/>
      <c r="BF122" s="247"/>
      <c r="BG122" s="401"/>
      <c r="BH122" s="247"/>
      <c r="BI122" s="247"/>
      <c r="BJ122" s="247"/>
      <c r="BK122" s="247"/>
      <c r="BL122" s="247"/>
      <c r="BM122" s="247"/>
      <c r="BN122" s="247"/>
      <c r="BO122" s="247"/>
      <c r="BP122" s="247"/>
      <c r="BQ122" s="247"/>
      <c r="BR122" s="247"/>
      <c r="BS122" s="247"/>
      <c r="BT122" s="247"/>
      <c r="BU122" s="247"/>
      <c r="BV122" s="247"/>
      <c r="BW122" s="401"/>
      <c r="BX122" s="247"/>
      <c r="BY122" s="247"/>
      <c r="BZ122" s="247"/>
      <c r="CA122" s="247"/>
      <c r="CB122" s="247"/>
      <c r="CC122" s="247"/>
      <c r="CD122" s="314"/>
    </row>
    <row r="123" spans="2:82" ht="2.1" customHeight="1">
      <c r="D123" s="1651"/>
      <c r="E123" s="259"/>
      <c r="F123" s="241"/>
      <c r="G123" s="275"/>
      <c r="H123" s="275"/>
      <c r="I123" s="275"/>
      <c r="J123" s="275"/>
      <c r="K123" s="275"/>
      <c r="L123" s="275"/>
      <c r="M123" s="275"/>
      <c r="N123" s="275"/>
      <c r="O123" s="338"/>
      <c r="P123" s="275"/>
      <c r="Q123" s="275"/>
      <c r="R123" s="275"/>
      <c r="S123" s="275"/>
      <c r="T123" s="275"/>
      <c r="U123" s="275"/>
      <c r="V123" s="275"/>
      <c r="W123" s="275"/>
      <c r="X123" s="275"/>
      <c r="Y123" s="275"/>
      <c r="Z123" s="275"/>
      <c r="AA123" s="241"/>
      <c r="AB123" s="275"/>
      <c r="AC123" s="275"/>
      <c r="AD123" s="275"/>
      <c r="AE123" s="275"/>
      <c r="AF123" s="275"/>
      <c r="AG123" s="275"/>
      <c r="AH123" s="275"/>
      <c r="AI123" s="275"/>
      <c r="AJ123" s="275"/>
      <c r="AK123" s="275"/>
      <c r="AL123" s="275"/>
      <c r="AM123" s="275"/>
      <c r="AN123" s="275"/>
      <c r="AO123" s="275"/>
      <c r="AP123" s="1491"/>
      <c r="AQ123" s="1491"/>
      <c r="AR123" s="1491"/>
      <c r="AS123" s="1491"/>
      <c r="AT123" s="1491"/>
      <c r="AU123" s="313"/>
      <c r="AV123" s="247"/>
      <c r="AW123" s="247"/>
      <c r="AX123" s="247"/>
      <c r="AY123" s="247"/>
      <c r="AZ123" s="247"/>
      <c r="BA123" s="247"/>
      <c r="BB123" s="247"/>
      <c r="BC123" s="247"/>
      <c r="BD123" s="247"/>
      <c r="BE123" s="401"/>
      <c r="BF123" s="247"/>
      <c r="BG123" s="401"/>
      <c r="BH123" s="247"/>
      <c r="BI123" s="247"/>
      <c r="BJ123" s="247"/>
      <c r="BK123" s="247"/>
      <c r="BL123" s="247"/>
      <c r="BM123" s="247"/>
      <c r="BN123" s="247"/>
      <c r="BO123" s="247"/>
      <c r="BP123" s="247"/>
      <c r="BQ123" s="247"/>
      <c r="BR123" s="247"/>
      <c r="BS123" s="247"/>
      <c r="BT123" s="247"/>
      <c r="BU123" s="247"/>
      <c r="BV123" s="247"/>
      <c r="BW123" s="401"/>
      <c r="BX123" s="247"/>
      <c r="BY123" s="247"/>
      <c r="BZ123" s="247"/>
      <c r="CA123" s="247"/>
      <c r="CB123" s="247"/>
      <c r="CC123" s="247"/>
      <c r="CD123" s="314"/>
    </row>
    <row r="124" spans="2:82" ht="12.75" customHeight="1">
      <c r="B124" s="339">
        <f>IF(B118&gt;=137,B17,1)</f>
        <v>1</v>
      </c>
      <c r="D124" s="1652"/>
      <c r="E124" s="259"/>
      <c r="F124" s="241"/>
      <c r="G124" s="337" t="s">
        <v>1079</v>
      </c>
      <c r="H124" s="275"/>
      <c r="I124" s="275"/>
      <c r="J124" s="275"/>
      <c r="K124" s="275"/>
      <c r="L124" s="275"/>
      <c r="M124" s="275"/>
      <c r="N124" s="275"/>
      <c r="O124" s="338"/>
      <c r="P124" s="275"/>
      <c r="Q124" s="275"/>
      <c r="R124" s="275"/>
      <c r="S124" s="275"/>
      <c r="T124" s="275"/>
      <c r="U124" s="275"/>
      <c r="V124" s="275"/>
      <c r="W124" s="275"/>
      <c r="X124" s="1849"/>
      <c r="Y124" s="1849"/>
      <c r="Z124" s="1849"/>
      <c r="AA124" s="650" t="s">
        <v>60</v>
      </c>
      <c r="AB124" s="337"/>
      <c r="AC124" s="442"/>
      <c r="AD124" s="337"/>
      <c r="AE124" s="275"/>
      <c r="AF124" s="275"/>
      <c r="AG124" s="305"/>
      <c r="AH124" s="275"/>
      <c r="AI124" s="275"/>
      <c r="AJ124" s="275"/>
      <c r="AK124" s="340"/>
      <c r="AL124" s="635"/>
      <c r="AM124" s="635"/>
      <c r="AN124" s="635"/>
      <c r="AO124" s="275"/>
      <c r="AP124" s="1491"/>
      <c r="AQ124" s="1491"/>
      <c r="AR124" s="1491"/>
      <c r="AS124" s="1491"/>
      <c r="AT124" s="1491"/>
      <c r="AU124" s="313"/>
      <c r="AV124" s="247"/>
      <c r="AW124" s="247"/>
      <c r="AX124" s="247"/>
      <c r="AY124" s="247"/>
      <c r="AZ124" s="247"/>
      <c r="BA124" s="247"/>
      <c r="BB124" s="247"/>
      <c r="BC124" s="247"/>
      <c r="BD124" s="247"/>
      <c r="BE124" s="401"/>
      <c r="BF124" s="247"/>
      <c r="BG124" s="401"/>
      <c r="BH124" s="247"/>
      <c r="BI124" s="247"/>
      <c r="BJ124" s="247"/>
      <c r="BK124" s="247"/>
      <c r="BL124" s="247"/>
      <c r="BM124" s="247"/>
      <c r="BN124" s="247"/>
      <c r="BO124" s="247"/>
      <c r="BP124" s="247"/>
      <c r="BQ124" s="247"/>
      <c r="BR124" s="247"/>
      <c r="BS124" s="247"/>
      <c r="BT124" s="247"/>
      <c r="BU124" s="247"/>
      <c r="BV124" s="247"/>
      <c r="BW124" s="401"/>
      <c r="BX124" s="247"/>
      <c r="BY124" s="247"/>
      <c r="BZ124" s="247"/>
      <c r="CA124" s="247"/>
      <c r="CB124" s="247"/>
      <c r="CC124" s="247"/>
      <c r="CD124" s="314"/>
    </row>
    <row r="125" spans="2:82" ht="12.75" customHeight="1">
      <c r="D125" s="786"/>
      <c r="E125" s="259"/>
      <c r="F125" s="241"/>
      <c r="G125" s="337"/>
      <c r="H125" s="275"/>
      <c r="I125" s="275"/>
      <c r="J125" s="275"/>
      <c r="K125" s="275"/>
      <c r="L125" s="275"/>
      <c r="M125" s="275"/>
      <c r="N125" s="275"/>
      <c r="O125" s="338"/>
      <c r="P125" s="275"/>
      <c r="Q125" s="275"/>
      <c r="R125" s="275"/>
      <c r="S125" s="275"/>
      <c r="T125" s="275"/>
      <c r="U125" s="275"/>
      <c r="V125" s="275"/>
      <c r="W125" s="275"/>
      <c r="X125" s="275"/>
      <c r="Y125" s="275"/>
      <c r="Z125" s="275"/>
      <c r="AA125" s="275"/>
      <c r="AB125" s="275"/>
      <c r="AC125" s="275"/>
      <c r="AD125" s="275"/>
      <c r="AE125" s="275"/>
      <c r="AF125" s="275"/>
      <c r="AG125" s="305"/>
      <c r="AH125" s="275"/>
      <c r="AI125" s="275"/>
      <c r="AJ125" s="275"/>
      <c r="AK125" s="340"/>
      <c r="AL125" s="635"/>
      <c r="AM125" s="635"/>
      <c r="AN125" s="635"/>
      <c r="AO125" s="275"/>
      <c r="AP125" s="1491"/>
      <c r="AQ125" s="1491"/>
      <c r="AR125" s="1491"/>
      <c r="AS125" s="1491"/>
      <c r="AT125" s="1491"/>
      <c r="AU125" s="850">
        <f>IF(AW116&lt;3,0,IF(AND(AU114&gt;10,AU114&lt;=1000),1,0))</f>
        <v>0</v>
      </c>
      <c r="AV125" s="247" t="str">
        <f>IF(AU125=0,"Die "&amp;AX116&amp;" mit "&amp;ROUND(AU114,3)&amp;" kWp ist nicht vom Marktintegrationsmodell betroffen (kein Mindesteigenverbrauch vorgeschrieben).",IF(AU125=1,"Die "&amp;AX116&amp;" mit "&amp;AU114&amp;" kWp ist vom Marktintegrationsmodell betroffen (Mindesteigenverbrauch &gt;10 bis 1.000 kWp = 10% ab 01.01.2014)",""))</f>
        <v>Die Anlage "an und auf Gebäuden" mit 0 kWp ist nicht vom Marktintegrationsmodell betroffen (kein Mindesteigenverbrauch vorgeschrieben).</v>
      </c>
      <c r="AW125" s="247"/>
      <c r="AX125" s="247"/>
      <c r="AY125" s="247"/>
      <c r="AZ125" s="247"/>
      <c r="BA125" s="247"/>
      <c r="BB125" s="247"/>
      <c r="BC125" s="247"/>
      <c r="BD125" s="247"/>
      <c r="BE125" s="401"/>
      <c r="BF125" s="247"/>
      <c r="BG125" s="401"/>
      <c r="BH125" s="247"/>
      <c r="BI125" s="247"/>
      <c r="BJ125" s="247"/>
      <c r="BK125" s="247"/>
      <c r="BL125" s="247"/>
      <c r="BM125" s="247"/>
      <c r="BN125" s="247"/>
      <c r="BO125" s="247"/>
      <c r="BP125" s="247"/>
      <c r="BQ125" s="247"/>
      <c r="BR125" s="247"/>
      <c r="BS125" s="247"/>
      <c r="BT125" s="247"/>
      <c r="BU125" s="247"/>
      <c r="BV125" s="247"/>
      <c r="BW125" s="401"/>
      <c r="BX125" s="247"/>
      <c r="BY125" s="247"/>
      <c r="BZ125" s="247"/>
      <c r="CA125" s="247"/>
      <c r="CB125" s="247"/>
      <c r="CC125" s="247"/>
      <c r="CD125" s="314"/>
    </row>
    <row r="126" spans="2:82" ht="10.15" customHeight="1">
      <c r="D126" s="787"/>
      <c r="E126" s="259"/>
      <c r="F126" s="1661" t="str">
        <f>IF(B118&gt;40,"","*Seit 01.04.2012 wird der Eigenstromverbrauch nicht mehr gefördert (Wegfall des Eigenverbrauchsbonus).  Für Anlagen &gt;10 kWp bis 1.000 kWp wurde ein Marktintegrationsmodell eingeführt, ")</f>
        <v/>
      </c>
      <c r="G126" s="1661"/>
      <c r="H126" s="1661"/>
      <c r="I126" s="1661"/>
      <c r="J126" s="1661"/>
      <c r="K126" s="1661"/>
      <c r="L126" s="1661"/>
      <c r="M126" s="1661"/>
      <c r="N126" s="1661"/>
      <c r="O126" s="1661"/>
      <c r="P126" s="1661"/>
      <c r="Q126" s="1661"/>
      <c r="R126" s="1661"/>
      <c r="S126" s="1661"/>
      <c r="T126" s="1661"/>
      <c r="U126" s="1661"/>
      <c r="V126" s="1661"/>
      <c r="W126" s="1661"/>
      <c r="X126" s="1661"/>
      <c r="Y126" s="1661"/>
      <c r="Z126" s="1661"/>
      <c r="AA126" s="1661"/>
      <c r="AB126" s="1661"/>
      <c r="AC126" s="1661"/>
      <c r="AD126" s="1661"/>
      <c r="AE126" s="1661"/>
      <c r="AF126" s="1661"/>
      <c r="AG126" s="1661"/>
      <c r="AH126" s="1661"/>
      <c r="AI126" s="1661"/>
      <c r="AJ126" s="1661"/>
      <c r="AK126" s="1661"/>
      <c r="AL126" s="1661"/>
      <c r="AM126" s="1661"/>
      <c r="AN126" s="1661"/>
      <c r="AO126" s="275"/>
      <c r="AP126" s="1491"/>
      <c r="AQ126" s="1491"/>
      <c r="AR126" s="1491"/>
      <c r="AS126" s="1491"/>
      <c r="AT126" s="1491"/>
      <c r="AU126" s="313"/>
      <c r="AV126" s="247"/>
      <c r="AW126" s="247"/>
      <c r="AX126" s="247"/>
      <c r="AY126" s="247"/>
      <c r="AZ126" s="247"/>
      <c r="BA126" s="247"/>
      <c r="BB126" s="247"/>
      <c r="BC126" s="247"/>
      <c r="BD126" s="247"/>
      <c r="BE126" s="401"/>
      <c r="BF126" s="247" t="s">
        <v>600</v>
      </c>
      <c r="BG126" s="401"/>
      <c r="BH126" s="247"/>
      <c r="BI126" s="247"/>
      <c r="BJ126" s="247"/>
      <c r="BK126" s="247"/>
      <c r="BL126" s="247"/>
      <c r="BM126" s="247"/>
      <c r="BN126" s="247"/>
      <c r="BO126" s="247"/>
      <c r="BP126" s="247"/>
      <c r="BQ126" s="247"/>
      <c r="BR126" s="247"/>
      <c r="BS126" s="247"/>
      <c r="BT126" s="247"/>
      <c r="BU126" s="247"/>
      <c r="BV126" s="247"/>
      <c r="BW126" s="401"/>
      <c r="BX126" s="247"/>
      <c r="BY126" s="247"/>
      <c r="BZ126" s="247"/>
      <c r="CA126" s="247"/>
      <c r="CB126" s="247"/>
      <c r="CC126" s="247"/>
      <c r="CD126" s="314"/>
    </row>
    <row r="127" spans="2:82" ht="10.15" customHeight="1">
      <c r="D127" s="787"/>
      <c r="E127" s="259"/>
      <c r="F127" s="1661" t="str">
        <f>IF(B118&gt;40,"","eingeführt, das Eigenstromverbrauch bzw. -vermarktung von mind. 10% für diese Anlagen fordert. Die Vorschrift wird erst ab dem 01. Januar 2014 angewendet ( $66, Abs. 19, EEG).")</f>
        <v/>
      </c>
      <c r="G127" s="1661"/>
      <c r="H127" s="1661"/>
      <c r="I127" s="1661"/>
      <c r="J127" s="1661"/>
      <c r="K127" s="1661"/>
      <c r="L127" s="1661"/>
      <c r="M127" s="1661"/>
      <c r="N127" s="1661"/>
      <c r="O127" s="1661"/>
      <c r="P127" s="1661"/>
      <c r="Q127" s="1661"/>
      <c r="R127" s="1661"/>
      <c r="S127" s="1661"/>
      <c r="T127" s="1661"/>
      <c r="U127" s="1661"/>
      <c r="V127" s="1661"/>
      <c r="W127" s="1661"/>
      <c r="X127" s="1661"/>
      <c r="Y127" s="1661"/>
      <c r="Z127" s="1661"/>
      <c r="AA127" s="1661"/>
      <c r="AB127" s="1661"/>
      <c r="AC127" s="1661"/>
      <c r="AD127" s="1661"/>
      <c r="AE127" s="1661"/>
      <c r="AF127" s="1661"/>
      <c r="AG127" s="1661"/>
      <c r="AH127" s="1661"/>
      <c r="AI127" s="1661"/>
      <c r="AJ127" s="1661"/>
      <c r="AK127" s="1661"/>
      <c r="AL127" s="1661"/>
      <c r="AM127" s="1661"/>
      <c r="AN127" s="1661"/>
      <c r="AO127" s="275"/>
      <c r="AP127" s="1491"/>
      <c r="AQ127" s="1491"/>
      <c r="AR127" s="1491"/>
      <c r="AS127" s="1491"/>
      <c r="AT127" s="1491"/>
      <c r="AU127" s="850">
        <f>IF(AND(AU125=1,AU120&gt;1),1,IF(AND(AU125=1,AU120&lt;=1),2,0))</f>
        <v>0</v>
      </c>
      <c r="AV127" s="247" t="str">
        <f>IF(AU127=1,"Der Mindesteigenverbrauch wird ab 01.01.2014 verrechnet. Bis zum 31.12.2013 wird die Vergütung für 100% des Stromverkaufs berücksichtigt.",IF(AU127=2,"Der vorgeschriebene Mindesteigenverbrauch ist ohne Bedeutung da der erfasste Stromeigenverbrauch von "&amp;ROUND(AU118,0)&amp;" kWh diesen ("&amp;ROUND(AU117,0)&amp;" kWh) übersteigt.",""))</f>
        <v/>
      </c>
      <c r="AW127" s="247"/>
      <c r="AX127" s="247"/>
      <c r="AY127" s="247"/>
      <c r="AZ127" s="247"/>
      <c r="BA127" s="247"/>
      <c r="BB127" s="247"/>
      <c r="BC127" s="247"/>
      <c r="BD127" s="247"/>
      <c r="BE127" s="401"/>
      <c r="BF127" s="247"/>
      <c r="BG127" s="401"/>
      <c r="BH127" s="247"/>
      <c r="BI127" s="247"/>
      <c r="BJ127" s="247"/>
      <c r="BK127" s="247"/>
      <c r="BL127" s="247"/>
      <c r="BM127" s="247"/>
      <c r="BN127" s="247"/>
      <c r="BO127" s="247"/>
      <c r="BP127" s="247"/>
      <c r="BQ127" s="247"/>
      <c r="BR127" s="247"/>
      <c r="BS127" s="247"/>
      <c r="BT127" s="247"/>
      <c r="BU127" s="247"/>
      <c r="BV127" s="247"/>
      <c r="BW127" s="401"/>
      <c r="BX127" s="247"/>
      <c r="BY127" s="247"/>
      <c r="BZ127" s="247"/>
      <c r="CA127" s="247"/>
      <c r="CB127" s="247"/>
      <c r="CC127" s="247"/>
      <c r="CD127" s="314"/>
    </row>
    <row r="128" spans="2:82" ht="10.15" customHeight="1">
      <c r="D128" s="787"/>
      <c r="E128" s="259"/>
      <c r="F128" s="1861" t="str">
        <f>IF(B118&gt;40,"","Das Programm rechnet mit folgenden Einstellung:")</f>
        <v/>
      </c>
      <c r="G128" s="1861"/>
      <c r="H128" s="1861"/>
      <c r="I128" s="1861"/>
      <c r="J128" s="1861"/>
      <c r="K128" s="1861"/>
      <c r="L128" s="1861"/>
      <c r="M128" s="1861"/>
      <c r="N128" s="1861"/>
      <c r="O128" s="1861"/>
      <c r="P128" s="1861"/>
      <c r="Q128" s="1861"/>
      <c r="R128" s="1861"/>
      <c r="S128" s="1861"/>
      <c r="T128" s="1861"/>
      <c r="U128" s="1861"/>
      <c r="V128" s="1861"/>
      <c r="W128" s="1861"/>
      <c r="X128" s="1861"/>
      <c r="Y128" s="1861"/>
      <c r="Z128" s="1861"/>
      <c r="AA128" s="1861"/>
      <c r="AB128" s="1861"/>
      <c r="AC128" s="1861"/>
      <c r="AD128" s="1861"/>
      <c r="AE128" s="1861"/>
      <c r="AF128" s="1861"/>
      <c r="AG128" s="1861"/>
      <c r="AH128" s="1861"/>
      <c r="AI128" s="1861"/>
      <c r="AJ128" s="1861"/>
      <c r="AK128" s="1861"/>
      <c r="AL128" s="1861"/>
      <c r="AM128" s="1861"/>
      <c r="AN128" s="1861"/>
      <c r="AO128" s="275"/>
      <c r="AP128" s="1491"/>
      <c r="AQ128" s="1491"/>
      <c r="AR128" s="1491"/>
      <c r="AS128" s="1491"/>
      <c r="AT128" s="1491"/>
      <c r="AU128" s="313"/>
      <c r="AV128" s="247"/>
      <c r="AW128" s="247"/>
      <c r="AX128" s="247"/>
      <c r="AY128" s="247"/>
      <c r="AZ128" s="247"/>
      <c r="BA128" s="247"/>
      <c r="BB128" s="247"/>
      <c r="BC128" s="247"/>
      <c r="BD128" s="247"/>
      <c r="BE128" s="401"/>
      <c r="BF128" s="247"/>
      <c r="BG128" s="401"/>
      <c r="BH128" s="247"/>
      <c r="BI128" s="247"/>
      <c r="BJ128" s="247"/>
      <c r="BK128" s="247"/>
      <c r="BL128" s="247"/>
      <c r="BM128" s="247"/>
      <c r="BN128" s="247"/>
      <c r="BO128" s="247"/>
      <c r="BP128" s="247"/>
      <c r="BQ128" s="247"/>
      <c r="BR128" s="247"/>
      <c r="BS128" s="247"/>
      <c r="BT128" s="247"/>
      <c r="BU128" s="247"/>
      <c r="BV128" s="247"/>
      <c r="BW128" s="401"/>
      <c r="BX128" s="247"/>
      <c r="BY128" s="247"/>
      <c r="BZ128" s="247"/>
      <c r="CA128" s="247"/>
      <c r="CB128" s="247"/>
      <c r="CC128" s="247"/>
      <c r="CD128" s="314"/>
    </row>
    <row r="129" spans="4:175" ht="10.15" customHeight="1">
      <c r="D129" s="787"/>
      <c r="E129" s="259"/>
      <c r="F129" s="1743" t="str">
        <f>IF(B118&gt;40,"",AV125)</f>
        <v/>
      </c>
      <c r="G129" s="1743"/>
      <c r="H129" s="1743"/>
      <c r="I129" s="1743"/>
      <c r="J129" s="1743"/>
      <c r="K129" s="1743"/>
      <c r="L129" s="1743"/>
      <c r="M129" s="1743"/>
      <c r="N129" s="1743"/>
      <c r="O129" s="1743"/>
      <c r="P129" s="1743"/>
      <c r="Q129" s="1743"/>
      <c r="R129" s="1743"/>
      <c r="S129" s="1743"/>
      <c r="T129" s="1743"/>
      <c r="U129" s="1743"/>
      <c r="V129" s="1743"/>
      <c r="W129" s="1743"/>
      <c r="X129" s="1743"/>
      <c r="Y129" s="1743"/>
      <c r="Z129" s="1743"/>
      <c r="AA129" s="1743"/>
      <c r="AB129" s="1743"/>
      <c r="AC129" s="1743"/>
      <c r="AD129" s="1743"/>
      <c r="AE129" s="1743"/>
      <c r="AF129" s="1743"/>
      <c r="AG129" s="1743"/>
      <c r="AH129" s="1743"/>
      <c r="AI129" s="1743"/>
      <c r="AJ129" s="1743"/>
      <c r="AK129" s="1743"/>
      <c r="AL129" s="1743"/>
      <c r="AM129" s="1743"/>
      <c r="AN129" s="1743"/>
      <c r="AO129" s="275"/>
      <c r="AP129" s="1491"/>
      <c r="AQ129" s="1491"/>
      <c r="AR129" s="1491"/>
      <c r="AS129" s="1491"/>
      <c r="AT129" s="1491"/>
      <c r="AU129" s="850">
        <f>IF(AND(AU127=1,AW122&lt;=21),2,IF(AND(AU127=1,AW122&lt;=33),1,0))</f>
        <v>0</v>
      </c>
      <c r="AV129" s="842" t="s">
        <v>704</v>
      </c>
      <c r="AW129" s="247"/>
      <c r="AX129" s="247"/>
      <c r="AY129" s="247"/>
      <c r="AZ129" s="247"/>
      <c r="BA129" s="247"/>
      <c r="BB129" s="247"/>
      <c r="BC129" s="247"/>
      <c r="BD129" s="247"/>
      <c r="BE129" s="401"/>
      <c r="BF129" s="247"/>
      <c r="BG129" s="401"/>
      <c r="BH129" s="247"/>
      <c r="BI129" s="247"/>
      <c r="BJ129" s="247"/>
      <c r="BK129" s="247"/>
      <c r="BL129" s="247"/>
      <c r="BM129" s="247"/>
      <c r="BN129" s="247"/>
      <c r="BO129" s="247"/>
      <c r="BP129" s="247"/>
      <c r="BQ129" s="247"/>
      <c r="BR129" s="247"/>
      <c r="BS129" s="247"/>
      <c r="BT129" s="247"/>
      <c r="BU129" s="247"/>
      <c r="BV129" s="247"/>
      <c r="BW129" s="401"/>
      <c r="BX129" s="247"/>
      <c r="BY129" s="247"/>
      <c r="BZ129" s="247"/>
      <c r="CA129" s="247"/>
      <c r="CB129" s="247"/>
      <c r="CC129" s="247"/>
      <c r="CD129" s="314"/>
    </row>
    <row r="130" spans="4:175" ht="10.15" customHeight="1">
      <c r="D130" s="787"/>
      <c r="E130" s="259"/>
      <c r="F130" s="1743" t="str">
        <f>IF(B118&gt;40,"",IF(AU125=1,""&amp;AV127&amp;"",""))</f>
        <v/>
      </c>
      <c r="G130" s="1743"/>
      <c r="H130" s="1743"/>
      <c r="I130" s="1743"/>
      <c r="J130" s="1743"/>
      <c r="K130" s="1743"/>
      <c r="L130" s="1743"/>
      <c r="M130" s="1743"/>
      <c r="N130" s="1743"/>
      <c r="O130" s="1743"/>
      <c r="P130" s="1743"/>
      <c r="Q130" s="1743"/>
      <c r="R130" s="1743"/>
      <c r="S130" s="1743"/>
      <c r="T130" s="1743"/>
      <c r="U130" s="1743"/>
      <c r="V130" s="1743"/>
      <c r="W130" s="1743"/>
      <c r="X130" s="1743"/>
      <c r="Y130" s="1743"/>
      <c r="Z130" s="1743"/>
      <c r="AA130" s="1743"/>
      <c r="AB130" s="1743"/>
      <c r="AC130" s="1743"/>
      <c r="AD130" s="1743"/>
      <c r="AE130" s="1743"/>
      <c r="AF130" s="1743"/>
      <c r="AG130" s="1743"/>
      <c r="AH130" s="1743"/>
      <c r="AI130" s="1743"/>
      <c r="AJ130" s="1743"/>
      <c r="AK130" s="1743"/>
      <c r="AL130" s="1743"/>
      <c r="AM130" s="1743"/>
      <c r="AN130" s="1743"/>
      <c r="AO130" s="275"/>
      <c r="AP130" s="1491"/>
      <c r="AQ130" s="1491"/>
      <c r="AR130" s="1491"/>
      <c r="AS130" s="1491"/>
      <c r="AT130" s="1491"/>
      <c r="AU130" s="324"/>
      <c r="AV130" s="402"/>
      <c r="AW130" s="402"/>
      <c r="AX130" s="402"/>
      <c r="AY130" s="402"/>
      <c r="AZ130" s="402"/>
      <c r="BA130" s="402"/>
      <c r="BB130" s="402"/>
      <c r="BC130" s="402"/>
      <c r="BD130" s="402"/>
      <c r="BE130" s="403"/>
      <c r="BF130" s="402"/>
      <c r="BG130" s="403"/>
      <c r="BH130" s="402"/>
      <c r="BI130" s="402"/>
      <c r="BJ130" s="402"/>
      <c r="BK130" s="402"/>
      <c r="BL130" s="402"/>
      <c r="BM130" s="402"/>
      <c r="BN130" s="402"/>
      <c r="BO130" s="402"/>
      <c r="BP130" s="402"/>
      <c r="BQ130" s="402"/>
      <c r="BR130" s="402"/>
      <c r="BS130" s="402"/>
      <c r="BT130" s="402"/>
      <c r="BU130" s="402"/>
      <c r="BV130" s="402"/>
      <c r="BW130" s="403"/>
      <c r="BX130" s="402"/>
      <c r="BY130" s="402"/>
      <c r="BZ130" s="402"/>
      <c r="CA130" s="402"/>
      <c r="CB130" s="402"/>
      <c r="CC130" s="402"/>
      <c r="CD130" s="528"/>
    </row>
    <row r="131" spans="4:175" ht="5.0999999999999996" customHeight="1" thickBot="1">
      <c r="D131" s="787"/>
      <c r="E131" s="731"/>
      <c r="F131" s="731"/>
      <c r="G131" s="731"/>
      <c r="H131" s="731"/>
      <c r="I131" s="731"/>
      <c r="J131" s="731"/>
      <c r="K131" s="731"/>
      <c r="L131" s="731"/>
      <c r="M131" s="731"/>
      <c r="N131" s="731"/>
      <c r="O131" s="731"/>
      <c r="P131" s="732"/>
      <c r="Q131" s="732"/>
      <c r="R131" s="733"/>
      <c r="S131" s="732"/>
      <c r="T131" s="734"/>
      <c r="U131" s="734"/>
      <c r="V131" s="734"/>
      <c r="W131" s="736"/>
      <c r="X131" s="731"/>
      <c r="Y131" s="737"/>
      <c r="Z131" s="731"/>
      <c r="AA131" s="731"/>
      <c r="AB131" s="731"/>
      <c r="AC131" s="731"/>
      <c r="AD131" s="731"/>
      <c r="AE131" s="731"/>
      <c r="AF131" s="731"/>
      <c r="AG131" s="731"/>
      <c r="AH131" s="731"/>
      <c r="AI131" s="731"/>
      <c r="AJ131" s="731"/>
      <c r="AK131" s="735"/>
      <c r="AL131" s="735"/>
      <c r="AM131" s="735"/>
      <c r="AN131" s="735"/>
      <c r="AO131" s="731"/>
    </row>
    <row r="132" spans="4:175" ht="2.1" customHeight="1">
      <c r="D132" s="787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  <c r="O132" s="259"/>
      <c r="P132" s="305"/>
      <c r="Q132" s="305"/>
      <c r="R132" s="441"/>
      <c r="S132" s="305"/>
      <c r="T132" s="347"/>
      <c r="U132" s="347"/>
      <c r="V132" s="347"/>
      <c r="W132" s="442"/>
      <c r="X132" s="259"/>
      <c r="Y132" s="447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348"/>
      <c r="AL132" s="348"/>
      <c r="AM132" s="348"/>
      <c r="AN132" s="348"/>
      <c r="AO132" s="275"/>
    </row>
    <row r="133" spans="4:175" ht="12.75" customHeight="1">
      <c r="D133" s="1650" t="s">
        <v>673</v>
      </c>
      <c r="E133" s="259"/>
      <c r="F133" s="765" t="str">
        <f>"Verkaufserlöse aus Stromverkauf ( "&amp;ROUND(BV157,1)&amp;"% )"</f>
        <v>Verkaufserlöse aus Stromverkauf ( 0% )</v>
      </c>
      <c r="G133" s="259"/>
      <c r="H133" s="259"/>
      <c r="I133" s="259"/>
      <c r="J133" s="259"/>
      <c r="K133" s="259"/>
      <c r="L133" s="259"/>
      <c r="M133" s="259"/>
      <c r="N133" s="259"/>
      <c r="O133" s="259"/>
      <c r="P133" s="305"/>
      <c r="Q133" s="305" t="str">
        <f>AU19</f>
        <v>Einspeisevergütungs - Anlage (max. 100 kWp) (Osterpaket)</v>
      </c>
      <c r="R133" s="441"/>
      <c r="S133" s="305"/>
      <c r="T133" s="347"/>
      <c r="U133" s="347"/>
      <c r="V133" s="347"/>
      <c r="W133" s="442"/>
      <c r="X133" s="259"/>
      <c r="Y133" s="447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348"/>
      <c r="AL133" s="348"/>
      <c r="AM133" s="348"/>
      <c r="AN133" s="348"/>
      <c r="AO133" s="275"/>
      <c r="AP133" s="1464" t="s">
        <v>1294</v>
      </c>
      <c r="AQ133" s="1464"/>
      <c r="AR133" s="1464"/>
      <c r="AS133" s="1464"/>
      <c r="AT133" s="1464"/>
      <c r="AU133" s="247"/>
    </row>
    <row r="134" spans="4:175" ht="2.1" customHeight="1">
      <c r="D134" s="1651"/>
      <c r="E134" s="259"/>
      <c r="F134" s="259"/>
      <c r="G134" s="259"/>
      <c r="H134" s="259"/>
      <c r="I134" s="259"/>
      <c r="J134" s="259"/>
      <c r="K134" s="259"/>
      <c r="L134" s="259"/>
      <c r="M134" s="259"/>
      <c r="N134" s="259"/>
      <c r="O134" s="259"/>
      <c r="P134" s="305"/>
      <c r="Q134" s="305"/>
      <c r="R134" s="441"/>
      <c r="S134" s="305"/>
      <c r="T134" s="347"/>
      <c r="U134" s="347"/>
      <c r="V134" s="347"/>
      <c r="W134" s="442"/>
      <c r="X134" s="259"/>
      <c r="Y134" s="447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348"/>
      <c r="AL134" s="348"/>
      <c r="AM134" s="348"/>
      <c r="AN134" s="348"/>
      <c r="AO134" s="275"/>
      <c r="AP134" s="1464"/>
      <c r="AQ134" s="1464"/>
      <c r="AR134" s="1464"/>
      <c r="AS134" s="1464"/>
      <c r="AT134" s="1464"/>
      <c r="AU134" s="402"/>
    </row>
    <row r="135" spans="4:175" ht="12.75" customHeight="1">
      <c r="D135" s="1651"/>
      <c r="E135" s="259"/>
      <c r="F135" s="259"/>
      <c r="G135" s="241" t="str">
        <f>IF($AX$40=1,"Ø Markterlös n. EEG (Marktprämien-Modell) bis einschließlich dem 20. Jahr (jährl.)","Ø Einspeisevergütung n. EEG vom Herstellungsjahr bis einschließlich dem 20. Jahr (jährl.)")</f>
        <v>Ø Einspeisevergütung n. EEG vom Herstellungsjahr bis einschließlich dem 20. Jahr (jährl.)</v>
      </c>
      <c r="H135" s="241"/>
      <c r="I135" s="275"/>
      <c r="J135" s="275"/>
      <c r="K135" s="275"/>
      <c r="L135" s="275"/>
      <c r="M135" s="275"/>
      <c r="N135" s="275"/>
      <c r="O135" s="275"/>
      <c r="P135" s="289"/>
      <c r="Q135" s="289"/>
      <c r="R135" s="341"/>
      <c r="S135" s="289"/>
      <c r="T135" s="347"/>
      <c r="U135" s="347"/>
      <c r="V135" s="347"/>
      <c r="W135" s="347"/>
      <c r="X135" s="347"/>
      <c r="Y135" s="347"/>
      <c r="Z135" s="347"/>
      <c r="AA135" s="347"/>
      <c r="AB135" s="1850">
        <f>AY137*AZ151+AY139*AZ153+AY141*AZ155+AY143*AZ157+AY145*AZ159</f>
        <v>0</v>
      </c>
      <c r="AC135" s="1851"/>
      <c r="AD135" s="1851"/>
      <c r="AE135" s="1851"/>
      <c r="AF135" s="1851"/>
      <c r="AG135" s="1851"/>
      <c r="AH135" s="1851"/>
      <c r="AI135" s="1851"/>
      <c r="AJ135" s="1852"/>
      <c r="AK135" s="715" t="s">
        <v>393</v>
      </c>
      <c r="AL135" s="716"/>
      <c r="AM135" s="716"/>
      <c r="AN135" s="348"/>
      <c r="AO135" s="275"/>
      <c r="AP135" s="1464"/>
      <c r="AQ135" s="1464"/>
      <c r="AR135" s="1464"/>
      <c r="AS135" s="1464"/>
      <c r="AT135" s="1464"/>
      <c r="AU135" s="831" t="s">
        <v>670</v>
      </c>
      <c r="AV135" s="1580">
        <f>BV145</f>
        <v>0</v>
      </c>
      <c r="AW135" s="1580"/>
      <c r="AX135" s="832" t="s">
        <v>381</v>
      </c>
      <c r="AY135" s="1558">
        <f>BY145</f>
        <v>0</v>
      </c>
      <c r="AZ135" s="1558"/>
      <c r="BA135" s="1558"/>
      <c r="BB135" s="833" t="s">
        <v>60</v>
      </c>
      <c r="BC135" s="399"/>
      <c r="BE135" s="955" t="s">
        <v>870</v>
      </c>
      <c r="BF135" s="938"/>
      <c r="BG135" s="939"/>
      <c r="BH135" s="939" t="s">
        <v>983</v>
      </c>
      <c r="BI135" s="938"/>
      <c r="BJ135" s="938"/>
      <c r="BK135" s="938"/>
      <c r="BL135" s="938"/>
      <c r="BM135" s="940"/>
      <c r="BO135" s="1168" t="s">
        <v>1282</v>
      </c>
      <c r="BP135" s="1181"/>
      <c r="BQ135" s="1181"/>
      <c r="BR135" s="1169" t="s">
        <v>1283</v>
      </c>
      <c r="BS135" s="1181"/>
      <c r="BT135" s="1181"/>
      <c r="BU135" s="1169"/>
      <c r="BV135" s="1181"/>
      <c r="BW135" s="1181"/>
      <c r="BX135" s="1169"/>
      <c r="BY135" s="1169"/>
      <c r="BZ135" s="1181"/>
      <c r="CA135" s="1181"/>
      <c r="CB135" s="1181"/>
      <c r="CC135" s="1182"/>
    </row>
    <row r="136" spans="4:175" ht="2.1" customHeight="1">
      <c r="D136" s="1651"/>
      <c r="E136" s="259"/>
      <c r="F136" s="259"/>
      <c r="G136" s="259"/>
      <c r="H136" s="259"/>
      <c r="I136" s="259"/>
      <c r="J136" s="259"/>
      <c r="K136" s="259"/>
      <c r="L136" s="259"/>
      <c r="M136" s="259"/>
      <c r="N136" s="259"/>
      <c r="O136" s="259"/>
      <c r="P136" s="305"/>
      <c r="Q136" s="305"/>
      <c r="R136" s="441"/>
      <c r="S136" s="305"/>
      <c r="T136" s="347"/>
      <c r="U136" s="347"/>
      <c r="V136" s="347"/>
      <c r="W136" s="442"/>
      <c r="X136" s="259"/>
      <c r="Y136" s="447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348"/>
      <c r="AL136" s="348"/>
      <c r="AM136" s="348"/>
      <c r="AN136" s="348"/>
      <c r="AO136" s="275"/>
      <c r="AP136" s="1464"/>
      <c r="AQ136" s="1464"/>
      <c r="AR136" s="1464"/>
      <c r="AS136" s="1464"/>
      <c r="AT136" s="1464"/>
      <c r="AU136" s="313"/>
      <c r="AV136" s="247"/>
      <c r="AW136" s="247"/>
      <c r="AX136" s="247"/>
      <c r="AY136" s="726"/>
      <c r="AZ136" s="726"/>
      <c r="BA136" s="726"/>
      <c r="BB136" s="247"/>
      <c r="BC136" s="314"/>
      <c r="BE136" s="941"/>
      <c r="BF136" s="942"/>
      <c r="BG136" s="943"/>
      <c r="BH136" s="942"/>
      <c r="BI136" s="942"/>
      <c r="BJ136" s="942"/>
      <c r="BK136" s="942"/>
      <c r="BL136" s="942"/>
      <c r="BM136" s="944"/>
      <c r="BO136" s="313"/>
      <c r="BP136" s="247"/>
      <c r="BQ136" s="247"/>
      <c r="BR136" s="247"/>
      <c r="BS136" s="247"/>
      <c r="BT136" s="247"/>
      <c r="BU136" s="247"/>
      <c r="BV136" s="247"/>
      <c r="BW136" s="247"/>
      <c r="BX136" s="247"/>
      <c r="BY136" s="247"/>
      <c r="BZ136" s="247"/>
      <c r="CA136" s="247"/>
      <c r="CB136" s="247"/>
      <c r="CC136" s="1183"/>
    </row>
    <row r="137" spans="4:175" ht="12.2" customHeight="1">
      <c r="D137" s="1651"/>
      <c r="E137" s="259"/>
      <c r="F137" s="766"/>
      <c r="G137" s="445" t="str">
        <f>IF(AX40=1,"Markterlös (0 bis 20. Jahr)","Einspeisevergütung (0 bis 20. Jahr)")</f>
        <v>Einspeisevergütung (0 bis 20. Jahr)</v>
      </c>
      <c r="H137" s="259"/>
      <c r="I137" s="259"/>
      <c r="J137" s="259"/>
      <c r="K137" s="259"/>
      <c r="L137" s="259"/>
      <c r="M137" s="259"/>
      <c r="N137" s="259"/>
      <c r="O137" s="259"/>
      <c r="P137" s="443">
        <f>BK107</f>
        <v>0</v>
      </c>
      <c r="Q137" s="305" t="s">
        <v>426</v>
      </c>
      <c r="R137" s="441">
        <f>BN107</f>
        <v>10</v>
      </c>
      <c r="S137" s="305" t="s">
        <v>379</v>
      </c>
      <c r="T137" s="1546">
        <f>BR107</f>
        <v>8.199999999999999E-2</v>
      </c>
      <c r="U137" s="1546"/>
      <c r="V137" s="442" t="s">
        <v>61</v>
      </c>
      <c r="W137" s="259"/>
      <c r="X137" s="1488">
        <f>AY137</f>
        <v>0</v>
      </c>
      <c r="Y137" s="1489"/>
      <c r="Z137" s="1489"/>
      <c r="AA137" s="259"/>
      <c r="AB137" s="342"/>
      <c r="AC137" s="342"/>
      <c r="AD137" s="342"/>
      <c r="AE137" s="1869">
        <f>AY137*T137</f>
        <v>0</v>
      </c>
      <c r="AF137" s="1869"/>
      <c r="AG137" s="1869"/>
      <c r="AH137" s="1869"/>
      <c r="AI137" s="1869"/>
      <c r="AJ137" s="1869"/>
      <c r="AK137" s="444"/>
      <c r="AL137" s="1447">
        <f>BV147</f>
        <v>100</v>
      </c>
      <c r="AM137" s="1447"/>
      <c r="AN137" s="1447"/>
      <c r="AO137" s="275"/>
      <c r="AP137" s="1464"/>
      <c r="AQ137" s="1464"/>
      <c r="AR137" s="1464"/>
      <c r="AS137" s="1464"/>
      <c r="AT137" s="1464"/>
      <c r="AU137" s="728" t="s">
        <v>671</v>
      </c>
      <c r="AV137" s="1455">
        <f>BS147</f>
        <v>100</v>
      </c>
      <c r="AW137" s="1455"/>
      <c r="AX137" s="318" t="s">
        <v>381</v>
      </c>
      <c r="AY137" s="1456">
        <f>BY147</f>
        <v>0</v>
      </c>
      <c r="AZ137" s="1456"/>
      <c r="BA137" s="1456"/>
      <c r="BB137" s="1175" t="s">
        <v>60</v>
      </c>
      <c r="BC137" s="314"/>
      <c r="BE137" s="941" t="s">
        <v>874</v>
      </c>
      <c r="BF137" s="942"/>
      <c r="BG137" s="943"/>
      <c r="BH137" s="942"/>
      <c r="BI137" s="942"/>
      <c r="BJ137" s="1499">
        <f>IF(BK166=1,0,IF(B118&gt;40,AP201,0))</f>
        <v>0</v>
      </c>
      <c r="BK137" s="1499"/>
      <c r="BL137" s="943" t="s">
        <v>875</v>
      </c>
      <c r="BM137" s="944"/>
      <c r="BO137" s="1184" t="s">
        <v>1284</v>
      </c>
      <c r="BP137" s="1172"/>
      <c r="BQ137" s="1172"/>
      <c r="BR137" s="1172"/>
      <c r="BS137" s="1172"/>
      <c r="BT137" s="1172"/>
      <c r="BU137" s="1172"/>
      <c r="BV137" s="1172"/>
      <c r="BW137" s="1172"/>
      <c r="BX137" s="1172"/>
      <c r="BY137" s="1452">
        <f>VLOOKUP($B118,Vergütungen!A19:AV190,Vergütungen!AS1,FALSE)</f>
        <v>300</v>
      </c>
      <c r="BZ137" s="1452"/>
      <c r="CA137" s="1452"/>
      <c r="CB137" s="1172"/>
      <c r="CC137" s="1185">
        <f>IF(AY29=0,0,IF(AY29&gt;=BY137,1,0))</f>
        <v>0</v>
      </c>
      <c r="CD137" s="61" t="str">
        <f>IF(CC137=1," ja"," nein")</f>
        <v xml:space="preserve"> nein</v>
      </c>
    </row>
    <row r="138" spans="4:175" ht="2.1" customHeight="1">
      <c r="D138" s="1651"/>
      <c r="E138" s="259"/>
      <c r="F138" s="275"/>
      <c r="G138" s="275"/>
      <c r="H138" s="275"/>
      <c r="I138" s="446"/>
      <c r="J138" s="275"/>
      <c r="K138" s="275"/>
      <c r="L138" s="275"/>
      <c r="M138" s="275"/>
      <c r="N138" s="275"/>
      <c r="O138" s="275"/>
      <c r="P138" s="289"/>
      <c r="Q138" s="289"/>
      <c r="R138" s="289"/>
      <c r="S138" s="289"/>
      <c r="T138" s="275"/>
      <c r="U138" s="275"/>
      <c r="V138" s="275"/>
      <c r="W138" s="275"/>
      <c r="X138" s="275"/>
      <c r="Y138" s="344"/>
      <c r="Z138" s="275"/>
      <c r="AA138" s="275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340"/>
      <c r="AL138" s="345"/>
      <c r="AM138" s="243"/>
      <c r="AN138" s="243"/>
      <c r="AO138" s="275"/>
      <c r="AP138" s="1464"/>
      <c r="AQ138" s="1464"/>
      <c r="AR138" s="1464"/>
      <c r="AS138" s="1464"/>
      <c r="AT138" s="1464"/>
      <c r="AU138" s="427"/>
      <c r="AV138" s="317"/>
      <c r="AW138" s="317"/>
      <c r="AX138" s="318"/>
      <c r="AY138" s="726"/>
      <c r="AZ138" s="726"/>
      <c r="BA138" s="726"/>
      <c r="BB138" s="247"/>
      <c r="BC138" s="314"/>
      <c r="BE138" s="941"/>
      <c r="BF138" s="942"/>
      <c r="BG138" s="943"/>
      <c r="BH138" s="942"/>
      <c r="BI138" s="942"/>
      <c r="BJ138" s="942"/>
      <c r="BK138" s="942"/>
      <c r="BL138" s="942"/>
      <c r="BM138" s="944"/>
      <c r="BO138" s="1186"/>
      <c r="BP138" s="1172"/>
      <c r="BQ138" s="1172"/>
      <c r="BR138" s="1172"/>
      <c r="BS138" s="1172"/>
      <c r="BT138" s="1172"/>
      <c r="BU138" s="1172"/>
      <c r="BV138" s="1172"/>
      <c r="BW138" s="1172"/>
      <c r="BX138" s="1172"/>
      <c r="BY138" s="1172"/>
      <c r="BZ138" s="1172"/>
      <c r="CA138" s="1172"/>
      <c r="CB138" s="1172"/>
      <c r="CC138" s="1187"/>
    </row>
    <row r="139" spans="4:175" ht="12.75" customHeight="1">
      <c r="D139" s="1651"/>
      <c r="E139" s="259"/>
      <c r="F139" s="275"/>
      <c r="G139" s="446" t="str">
        <f>IF(AX40=1,"Markterlös (0 bis 20. Jahr)","Einspeisevergütung (0 bis 20. Jahr)")</f>
        <v>Einspeisevergütung (0 bis 20. Jahr)</v>
      </c>
      <c r="H139" s="275"/>
      <c r="I139" s="275"/>
      <c r="J139" s="275"/>
      <c r="K139" s="275"/>
      <c r="L139" s="275"/>
      <c r="M139" s="275"/>
      <c r="N139" s="275"/>
      <c r="O139" s="275"/>
      <c r="P139" s="1351">
        <f>BK108</f>
        <v>10</v>
      </c>
      <c r="Q139" s="289" t="s">
        <v>426</v>
      </c>
      <c r="R139" s="1352">
        <f>BN108</f>
        <v>40</v>
      </c>
      <c r="S139" s="289" t="s">
        <v>379</v>
      </c>
      <c r="T139" s="1546">
        <f>BR108</f>
        <v>7.0999999999999994E-2</v>
      </c>
      <c r="U139" s="1546"/>
      <c r="V139" s="337" t="s">
        <v>61</v>
      </c>
      <c r="W139" s="275"/>
      <c r="X139" s="1451">
        <f>AY139</f>
        <v>0</v>
      </c>
      <c r="Y139" s="1487"/>
      <c r="Z139" s="1487"/>
      <c r="AA139" s="275"/>
      <c r="AB139" s="342"/>
      <c r="AC139" s="342"/>
      <c r="AD139" s="342"/>
      <c r="AE139" s="1869">
        <f>AY139*T139</f>
        <v>0</v>
      </c>
      <c r="AF139" s="1869"/>
      <c r="AG139" s="1869"/>
      <c r="AH139" s="1869"/>
      <c r="AI139" s="1869"/>
      <c r="AJ139" s="1869"/>
      <c r="AK139" s="340"/>
      <c r="AL139" s="1447">
        <f>BV149</f>
        <v>0</v>
      </c>
      <c r="AM139" s="1447"/>
      <c r="AN139" s="1447"/>
      <c r="AO139" s="275"/>
      <c r="AP139" s="1464"/>
      <c r="AQ139" s="1464"/>
      <c r="AR139" s="1464"/>
      <c r="AS139" s="1464"/>
      <c r="AT139" s="1464"/>
      <c r="AU139" s="728" t="s">
        <v>671</v>
      </c>
      <c r="AV139" s="1455">
        <f>BS149</f>
        <v>0</v>
      </c>
      <c r="AW139" s="1455"/>
      <c r="AX139" s="318" t="s">
        <v>381</v>
      </c>
      <c r="AY139" s="1456">
        <f>BY149</f>
        <v>0</v>
      </c>
      <c r="AZ139" s="1456"/>
      <c r="BA139" s="1456"/>
      <c r="BB139" s="1175" t="s">
        <v>60</v>
      </c>
      <c r="BC139" s="314"/>
      <c r="BE139" s="945" t="s">
        <v>871</v>
      </c>
      <c r="BF139" s="942"/>
      <c r="BG139" s="943"/>
      <c r="BH139" s="942"/>
      <c r="BI139" s="942"/>
      <c r="BJ139" s="942"/>
      <c r="BK139" s="942"/>
      <c r="BL139" s="942"/>
      <c r="BM139" s="944"/>
      <c r="BO139" s="1188" t="s">
        <v>1287</v>
      </c>
      <c r="BP139" s="1170"/>
      <c r="BQ139" s="1170"/>
      <c r="BR139" s="1170"/>
      <c r="BS139" s="1170"/>
      <c r="BT139" s="1170"/>
      <c r="BU139" s="1170"/>
      <c r="BV139" s="1170"/>
      <c r="BW139" s="1170"/>
      <c r="BX139" s="1170"/>
      <c r="BY139" s="1453">
        <f>VLOOKUP($B118,Vergütungen!A19:AV190,Vergütungen!AT1,FALSE)</f>
        <v>80</v>
      </c>
      <c r="BZ139" s="1453"/>
      <c r="CA139" s="1453"/>
      <c r="CB139" s="1170"/>
      <c r="CC139" s="1189">
        <f>IF(BV145&gt;=(100-BY139),0,1)</f>
        <v>1</v>
      </c>
      <c r="CD139" s="61" t="str">
        <f>IF(CC139=1," ja"," nein")</f>
        <v xml:space="preserve"> ja</v>
      </c>
      <c r="CG139" s="1204"/>
      <c r="CH139" s="1204"/>
    </row>
    <row r="140" spans="4:175" ht="2.1" customHeight="1">
      <c r="D140" s="1651"/>
      <c r="E140" s="259"/>
      <c r="F140" s="275"/>
      <c r="G140" s="275"/>
      <c r="H140" s="275"/>
      <c r="I140" s="446"/>
      <c r="J140" s="275"/>
      <c r="K140" s="275"/>
      <c r="L140" s="275"/>
      <c r="M140" s="275"/>
      <c r="N140" s="275"/>
      <c r="O140" s="275"/>
      <c r="P140" s="289"/>
      <c r="Q140" s="289"/>
      <c r="R140" s="289"/>
      <c r="S140" s="289"/>
      <c r="T140" s="1354"/>
      <c r="U140" s="275"/>
      <c r="V140" s="275"/>
      <c r="W140" s="275"/>
      <c r="X140" s="275"/>
      <c r="Y140" s="344"/>
      <c r="Z140" s="275"/>
      <c r="AA140" s="275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340"/>
      <c r="AL140" s="345"/>
      <c r="AM140" s="243"/>
      <c r="AN140" s="243"/>
      <c r="AO140" s="275"/>
      <c r="AP140" s="1464"/>
      <c r="AQ140" s="1464"/>
      <c r="AR140" s="1464"/>
      <c r="AS140" s="1464"/>
      <c r="AT140" s="1464"/>
      <c r="AU140" s="427"/>
      <c r="AV140" s="317"/>
      <c r="AW140" s="317"/>
      <c r="AX140" s="318"/>
      <c r="AY140" s="726"/>
      <c r="AZ140" s="726"/>
      <c r="BA140" s="726"/>
      <c r="BB140" s="247"/>
      <c r="BC140" s="314"/>
      <c r="BE140" s="941"/>
      <c r="BF140" s="942"/>
      <c r="BG140" s="943"/>
      <c r="BH140" s="942"/>
      <c r="BI140" s="942"/>
      <c r="BJ140" s="942"/>
      <c r="BK140" s="942"/>
      <c r="BL140" s="942"/>
      <c r="BM140" s="944"/>
      <c r="BO140" s="1186"/>
      <c r="BP140" s="1172"/>
      <c r="BQ140" s="1172"/>
      <c r="BR140" s="1172"/>
      <c r="BS140" s="1172"/>
      <c r="BT140" s="1172"/>
      <c r="BU140" s="1172"/>
      <c r="BV140" s="1172"/>
      <c r="BW140" s="1172"/>
      <c r="BX140" s="1172"/>
      <c r="BY140" s="1172"/>
      <c r="BZ140" s="1172"/>
      <c r="CA140" s="1172"/>
      <c r="CB140" s="1172"/>
      <c r="CC140" s="1187"/>
    </row>
    <row r="141" spans="4:175" ht="12.75" customHeight="1">
      <c r="D141" s="1651"/>
      <c r="E141" s="259"/>
      <c r="F141" s="275"/>
      <c r="G141" s="446" t="str">
        <f>IF(AX40=1,"Markterlös (0 bis 20. Jahr)","Einspeisevergütung (0 bis 20. Jahr)")</f>
        <v>Einspeisevergütung (0 bis 20. Jahr)</v>
      </c>
      <c r="H141" s="275"/>
      <c r="I141" s="275"/>
      <c r="J141" s="275"/>
      <c r="K141" s="275"/>
      <c r="L141" s="275"/>
      <c r="M141" s="275"/>
      <c r="N141" s="275"/>
      <c r="O141" s="275"/>
      <c r="P141" s="1351">
        <f>BK109</f>
        <v>40</v>
      </c>
      <c r="Q141" s="289" t="s">
        <v>426</v>
      </c>
      <c r="R141" s="1352">
        <f>BN109</f>
        <v>750</v>
      </c>
      <c r="S141" s="289" t="s">
        <v>379</v>
      </c>
      <c r="T141" s="1546">
        <f>BR109</f>
        <v>5.7999999999999996E-2</v>
      </c>
      <c r="U141" s="1546"/>
      <c r="V141" s="337" t="s">
        <v>61</v>
      </c>
      <c r="W141" s="275"/>
      <c r="X141" s="1451">
        <f>AY141</f>
        <v>0</v>
      </c>
      <c r="Y141" s="1451"/>
      <c r="Z141" s="1451"/>
      <c r="AA141" s="275"/>
      <c r="AB141" s="342"/>
      <c r="AC141" s="342"/>
      <c r="AD141" s="342"/>
      <c r="AE141" s="1869">
        <f>AY141*T141</f>
        <v>0</v>
      </c>
      <c r="AF141" s="1869"/>
      <c r="AG141" s="1869"/>
      <c r="AH141" s="1869"/>
      <c r="AI141" s="1869"/>
      <c r="AJ141" s="1869"/>
      <c r="AK141" s="340"/>
      <c r="AL141" s="1447">
        <f>BV151</f>
        <v>0</v>
      </c>
      <c r="AM141" s="1447"/>
      <c r="AN141" s="1447"/>
      <c r="AO141" s="275"/>
      <c r="AP141" s="1464"/>
      <c r="AQ141" s="1464"/>
      <c r="AR141" s="1464"/>
      <c r="AS141" s="1464"/>
      <c r="AT141" s="1464"/>
      <c r="AU141" s="728" t="s">
        <v>671</v>
      </c>
      <c r="AV141" s="1455">
        <f>BS151</f>
        <v>0</v>
      </c>
      <c r="AW141" s="1455"/>
      <c r="AX141" s="318" t="s">
        <v>381</v>
      </c>
      <c r="AY141" s="1456">
        <f>BY151</f>
        <v>0</v>
      </c>
      <c r="AZ141" s="1456"/>
      <c r="BA141" s="1456"/>
      <c r="BB141" s="1175" t="s">
        <v>60</v>
      </c>
      <c r="BC141" s="314"/>
      <c r="BE141" s="941" t="s">
        <v>876</v>
      </c>
      <c r="BF141" s="942"/>
      <c r="BG141" s="943"/>
      <c r="BH141" s="942"/>
      <c r="BI141" s="946">
        <f>IF($B$177=1,40%,100%)</f>
        <v>0.4</v>
      </c>
      <c r="BJ141" s="1500">
        <f>$BJ$137*BI141</f>
        <v>0</v>
      </c>
      <c r="BK141" s="1500"/>
      <c r="BL141" s="943" t="s">
        <v>875</v>
      </c>
      <c r="BM141" s="944"/>
      <c r="BO141" s="1237" t="str">
        <f>""&amp;BY137&amp;" kWp-Grenze wirksam"</f>
        <v>300 kWp-Grenze wirksam</v>
      </c>
      <c r="BP141" s="1170"/>
      <c r="BQ141" s="1170"/>
      <c r="BR141" s="1170"/>
      <c r="BS141" s="1170"/>
      <c r="BT141" s="1170"/>
      <c r="BU141" s="1170"/>
      <c r="BV141" s="1170"/>
      <c r="BW141" s="1170"/>
      <c r="BX141" s="1170"/>
      <c r="BY141" s="1170"/>
      <c r="BZ141" s="1170" t="str">
        <f>IF(CC141=1," ja"," nein")</f>
        <v xml:space="preserve"> nein</v>
      </c>
      <c r="CA141" s="1170"/>
      <c r="CB141" s="1170"/>
      <c r="CC141" s="1189">
        <f>IF(CE141=2,0,CC137*CC139)</f>
        <v>0</v>
      </c>
      <c r="CD141" s="61" t="str">
        <f>IF(CC141=1," ja"," nein")</f>
        <v xml:space="preserve"> nein</v>
      </c>
      <c r="CE141" s="192">
        <f>B116</f>
        <v>3</v>
      </c>
      <c r="CF141" s="192" t="str">
        <f>IF(CE141=2,"keine Beschränkung der Vergütung bei Freilandanlagen","")</f>
        <v/>
      </c>
    </row>
    <row r="142" spans="4:175" ht="2.1" customHeight="1">
      <c r="D142" s="1651"/>
      <c r="E142" s="259"/>
      <c r="F142" s="275"/>
      <c r="G142" s="275"/>
      <c r="H142" s="275"/>
      <c r="I142" s="446"/>
      <c r="J142" s="275"/>
      <c r="K142" s="275"/>
      <c r="L142" s="275"/>
      <c r="M142" s="275"/>
      <c r="N142" s="275"/>
      <c r="O142" s="275"/>
      <c r="P142" s="289"/>
      <c r="Q142" s="289"/>
      <c r="R142" s="341"/>
      <c r="S142" s="289"/>
      <c r="T142" s="275"/>
      <c r="U142" s="275"/>
      <c r="V142" s="337"/>
      <c r="W142" s="275"/>
      <c r="X142" s="275"/>
      <c r="Y142" s="344"/>
      <c r="Z142" s="275"/>
      <c r="AA142" s="275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340"/>
      <c r="AL142" s="346"/>
      <c r="AM142" s="346"/>
      <c r="AN142" s="346"/>
      <c r="AO142" s="275"/>
      <c r="AP142" s="1464"/>
      <c r="AQ142" s="1464"/>
      <c r="AR142" s="1464"/>
      <c r="AS142" s="1464"/>
      <c r="AT142" s="1464"/>
      <c r="AU142" s="427"/>
      <c r="AV142" s="317"/>
      <c r="AW142" s="317"/>
      <c r="AX142" s="318"/>
      <c r="AY142" s="726"/>
      <c r="AZ142" s="726"/>
      <c r="BA142" s="726"/>
      <c r="BB142" s="247"/>
      <c r="BC142" s="314"/>
      <c r="BE142" s="941"/>
      <c r="BF142" s="942"/>
      <c r="BG142" s="943"/>
      <c r="BH142" s="942"/>
      <c r="BI142" s="942"/>
      <c r="BJ142" s="942"/>
      <c r="BK142" s="942"/>
      <c r="BL142" s="942"/>
      <c r="BM142" s="944"/>
      <c r="BO142" s="1186"/>
      <c r="BP142" s="1172"/>
      <c r="BQ142" s="1172"/>
      <c r="BR142" s="1172"/>
      <c r="BS142" s="1172"/>
      <c r="BT142" s="1172"/>
      <c r="BU142" s="1172"/>
      <c r="BV142" s="1172"/>
      <c r="BW142" s="1172"/>
      <c r="BX142" s="1172"/>
      <c r="BY142" s="1172"/>
      <c r="BZ142" s="1172"/>
      <c r="CA142" s="1172"/>
      <c r="CB142" s="1172"/>
      <c r="CC142" s="1187"/>
    </row>
    <row r="143" spans="4:175" ht="12.75" customHeight="1">
      <c r="D143" s="1651"/>
      <c r="E143" s="259"/>
      <c r="F143" s="275"/>
      <c r="G143" s="446" t="str">
        <f>IF(AX40=1,"Markterlös (0 bis 20. Jahr)","Einspeisevergütung (0 bis 20. Jahr)")</f>
        <v>Einspeisevergütung (0 bis 20. Jahr)</v>
      </c>
      <c r="H143" s="275"/>
      <c r="I143" s="275"/>
      <c r="J143" s="275"/>
      <c r="K143" s="275"/>
      <c r="L143" s="275"/>
      <c r="M143" s="275"/>
      <c r="N143" s="275"/>
      <c r="O143" s="275"/>
      <c r="P143" s="1353">
        <f>BK110</f>
        <v>750</v>
      </c>
      <c r="Q143" s="289" t="s">
        <v>426</v>
      </c>
      <c r="R143" s="1352">
        <f>BN110</f>
        <v>0</v>
      </c>
      <c r="S143" s="289" t="s">
        <v>379</v>
      </c>
      <c r="T143" s="1546">
        <f>BR110</f>
        <v>0</v>
      </c>
      <c r="U143" s="1546"/>
      <c r="V143" s="337" t="s">
        <v>61</v>
      </c>
      <c r="W143" s="275"/>
      <c r="X143" s="1451">
        <f>AY143</f>
        <v>0</v>
      </c>
      <c r="Y143" s="1487"/>
      <c r="Z143" s="1487"/>
      <c r="AA143" s="275"/>
      <c r="AB143" s="342"/>
      <c r="AC143" s="342"/>
      <c r="AD143" s="342"/>
      <c r="AE143" s="1869">
        <f>AY143*T143</f>
        <v>0</v>
      </c>
      <c r="AF143" s="1869"/>
      <c r="AG143" s="1869"/>
      <c r="AH143" s="1869"/>
      <c r="AI143" s="1869"/>
      <c r="AJ143" s="1869"/>
      <c r="AK143" s="340"/>
      <c r="AL143" s="1447">
        <f>BV153</f>
        <v>0</v>
      </c>
      <c r="AM143" s="1447"/>
      <c r="AN143" s="1447"/>
      <c r="AO143" s="275"/>
      <c r="AP143" s="1464"/>
      <c r="AQ143" s="1464"/>
      <c r="AR143" s="1464"/>
      <c r="AS143" s="1464"/>
      <c r="AT143" s="1464"/>
      <c r="AU143" s="728" t="s">
        <v>671</v>
      </c>
      <c r="AV143" s="1455">
        <f>BS153</f>
        <v>0</v>
      </c>
      <c r="AW143" s="1455"/>
      <c r="AX143" s="318" t="s">
        <v>381</v>
      </c>
      <c r="AY143" s="1456">
        <f>BY153</f>
        <v>0</v>
      </c>
      <c r="AZ143" s="1456"/>
      <c r="BA143" s="1456"/>
      <c r="BB143" s="1175" t="s">
        <v>60</v>
      </c>
      <c r="BC143" s="314"/>
      <c r="BE143" s="941" t="s">
        <v>881</v>
      </c>
      <c r="BF143" s="942"/>
      <c r="BG143" s="943"/>
      <c r="BH143" s="942"/>
      <c r="BI143" s="946">
        <f>IF($B$177=1,35%,100%)</f>
        <v>0.35</v>
      </c>
      <c r="BJ143" s="1500">
        <f>$BJ$137*BI143</f>
        <v>0</v>
      </c>
      <c r="BK143" s="1500"/>
      <c r="BL143" s="943" t="s">
        <v>875</v>
      </c>
      <c r="BM143" s="944"/>
      <c r="BO143" s="1186"/>
      <c r="BP143" s="1172"/>
      <c r="BQ143" s="1203" t="s">
        <v>1288</v>
      </c>
      <c r="BR143" s="1203"/>
      <c r="BS143" s="1203" t="s">
        <v>1290</v>
      </c>
      <c r="BT143" s="1203"/>
      <c r="BU143" s="1203"/>
      <c r="BV143" s="1203" t="s">
        <v>1289</v>
      </c>
      <c r="BW143" s="1203"/>
      <c r="BX143" s="1203"/>
      <c r="BY143" s="1203"/>
      <c r="BZ143" s="1203"/>
      <c r="CA143" s="1203"/>
      <c r="CB143" s="1203"/>
      <c r="CC143" s="1187"/>
    </row>
    <row r="144" spans="4:175" ht="2.1" customHeight="1">
      <c r="D144" s="1651"/>
      <c r="E144" s="259"/>
      <c r="F144" s="275"/>
      <c r="G144" s="446"/>
      <c r="H144" s="275"/>
      <c r="I144" s="275"/>
      <c r="J144" s="275"/>
      <c r="K144" s="275"/>
      <c r="L144" s="275"/>
      <c r="M144" s="275"/>
      <c r="N144" s="275"/>
      <c r="O144" s="275"/>
      <c r="P144" s="289"/>
      <c r="Q144" s="289"/>
      <c r="R144" s="341"/>
      <c r="S144" s="289"/>
      <c r="T144" s="1167"/>
      <c r="U144" s="1167"/>
      <c r="V144" s="337"/>
      <c r="W144" s="275"/>
      <c r="X144" s="1157"/>
      <c r="Y144" s="1158"/>
      <c r="Z144" s="1158"/>
      <c r="AA144" s="275"/>
      <c r="AB144" s="342"/>
      <c r="AC144" s="342"/>
      <c r="AD144" s="342"/>
      <c r="AE144" s="1164"/>
      <c r="AF144" s="1164"/>
      <c r="AG144" s="1164"/>
      <c r="AH144" s="1164"/>
      <c r="AI144" s="1164"/>
      <c r="AJ144" s="1164"/>
      <c r="AK144" s="340"/>
      <c r="AL144" s="1162"/>
      <c r="AM144" s="1162"/>
      <c r="AN144" s="1162"/>
      <c r="AO144" s="275"/>
      <c r="AP144" s="1464"/>
      <c r="AQ144" s="1464"/>
      <c r="AR144" s="1464"/>
      <c r="AS144" s="1464"/>
      <c r="AT144" s="1464"/>
      <c r="AU144" s="728"/>
      <c r="AV144" s="1159"/>
      <c r="AW144" s="1159"/>
      <c r="AX144" s="1165"/>
      <c r="AY144" s="1161"/>
      <c r="AZ144" s="1161"/>
      <c r="BA144" s="1161"/>
      <c r="BB144" s="247"/>
      <c r="BC144" s="314"/>
      <c r="BE144" s="941"/>
      <c r="BF144" s="942"/>
      <c r="BG144" s="943"/>
      <c r="BH144" s="942"/>
      <c r="BI144" s="946"/>
      <c r="BJ144" s="1160"/>
      <c r="BK144" s="1160"/>
      <c r="BL144" s="943"/>
      <c r="BM144" s="944"/>
      <c r="BO144" s="1186"/>
      <c r="BP144" s="1172"/>
      <c r="BQ144" s="1172"/>
      <c r="BR144" s="1172"/>
      <c r="BS144" s="1172"/>
      <c r="BT144" s="1172"/>
      <c r="BU144" s="1172"/>
      <c r="BV144" s="1172"/>
      <c r="BW144" s="1172"/>
      <c r="BX144" s="1172"/>
      <c r="BY144" s="1172"/>
      <c r="BZ144" s="1172"/>
      <c r="CA144" s="1172"/>
      <c r="CB144" s="1172"/>
      <c r="CC144" s="1187"/>
      <c r="FS144" s="1163"/>
    </row>
    <row r="145" spans="2:175" ht="12.75" customHeight="1">
      <c r="D145" s="1651"/>
      <c r="E145" s="259"/>
      <c r="F145" s="275"/>
      <c r="G145" s="446" t="str">
        <f>IF($CC$141=1,"Markterlös (0 bis 20. Jahr)","")</f>
        <v/>
      </c>
      <c r="H145" s="275"/>
      <c r="I145" s="275"/>
      <c r="J145" s="275"/>
      <c r="K145" s="275"/>
      <c r="L145" s="275"/>
      <c r="M145" s="289"/>
      <c r="N145" s="275"/>
      <c r="O145" s="275"/>
      <c r="P145" s="289"/>
      <c r="Q145" s="289"/>
      <c r="R145" s="341"/>
      <c r="S145" s="1028" t="str">
        <f>IF($CC$141=1,"(zu vermarktende Restmenge o. Vergütung)  ","")</f>
        <v/>
      </c>
      <c r="T145" s="1835">
        <v>2.5000000000000001E-2</v>
      </c>
      <c r="U145" s="1835"/>
      <c r="V145" s="337" t="str">
        <f>IF($CC$141=1,"€/ kWh","")</f>
        <v/>
      </c>
      <c r="W145" s="275"/>
      <c r="X145" s="1451" t="str">
        <f>IF($CC$141=1,AY145,"")</f>
        <v/>
      </c>
      <c r="Y145" s="1451"/>
      <c r="Z145" s="1451"/>
      <c r="AA145" s="275"/>
      <c r="AB145" s="342"/>
      <c r="AC145" s="342"/>
      <c r="AD145" s="342"/>
      <c r="AE145" s="1454">
        <f>AY145*T145</f>
        <v>0</v>
      </c>
      <c r="AF145" s="1454"/>
      <c r="AG145" s="1454"/>
      <c r="AH145" s="1454"/>
      <c r="AI145" s="1454"/>
      <c r="AJ145" s="1454"/>
      <c r="AK145" s="340"/>
      <c r="AL145" s="1447">
        <f>BV155</f>
        <v>0</v>
      </c>
      <c r="AM145" s="1447"/>
      <c r="AN145" s="1447"/>
      <c r="AO145" s="275"/>
      <c r="AP145" s="1464"/>
      <c r="AQ145" s="1464"/>
      <c r="AR145" s="1464"/>
      <c r="AS145" s="1464"/>
      <c r="AT145" s="1464"/>
      <c r="AU145" s="1171" t="s">
        <v>1285</v>
      </c>
      <c r="AV145" s="1455">
        <f>BS155</f>
        <v>0</v>
      </c>
      <c r="AW145" s="1455"/>
      <c r="AX145" s="1165" t="s">
        <v>381</v>
      </c>
      <c r="AY145" s="1456">
        <f>BY155</f>
        <v>0</v>
      </c>
      <c r="AZ145" s="1456"/>
      <c r="BA145" s="1456"/>
      <c r="BB145" s="1175" t="s">
        <v>60</v>
      </c>
      <c r="BC145" s="314"/>
      <c r="BE145" s="941"/>
      <c r="BF145" s="942"/>
      <c r="BG145" s="943"/>
      <c r="BH145" s="942"/>
      <c r="BI145" s="946"/>
      <c r="BJ145" s="1160"/>
      <c r="BK145" s="1160"/>
      <c r="BL145" s="943"/>
      <c r="BM145" s="944"/>
      <c r="BO145" s="1190" t="s">
        <v>670</v>
      </c>
      <c r="BP145" s="1172"/>
      <c r="BQ145" s="1172"/>
      <c r="BR145" s="1172"/>
      <c r="BS145" s="1172"/>
      <c r="BT145" s="1172"/>
      <c r="BU145" s="1172"/>
      <c r="BV145" s="1446">
        <f>IF(AY29&gt;0,(X122/X118)*100,0)</f>
        <v>0</v>
      </c>
      <c r="BW145" s="1446"/>
      <c r="BX145" s="1446"/>
      <c r="BY145" s="1457">
        <f>BV145*$X$118/100</f>
        <v>0</v>
      </c>
      <c r="BZ145" s="1457"/>
      <c r="CA145" s="1457"/>
      <c r="CB145" s="1173" t="s">
        <v>60</v>
      </c>
      <c r="CC145" s="1191"/>
      <c r="FS145" s="1163"/>
    </row>
    <row r="146" spans="2:175" ht="2.1" customHeight="1">
      <c r="D146" s="1651"/>
      <c r="E146" s="259"/>
      <c r="F146" s="275"/>
      <c r="G146" s="275"/>
      <c r="H146" s="275"/>
      <c r="I146" s="275"/>
      <c r="J146" s="275"/>
      <c r="K146" s="275"/>
      <c r="L146" s="275"/>
      <c r="M146" s="275"/>
      <c r="N146" s="275"/>
      <c r="O146" s="275"/>
      <c r="P146" s="289"/>
      <c r="Q146" s="289"/>
      <c r="R146" s="341"/>
      <c r="S146" s="289"/>
      <c r="T146" s="347"/>
      <c r="U146" s="347"/>
      <c r="V146" s="347"/>
      <c r="W146" s="275"/>
      <c r="X146" s="275"/>
      <c r="Y146" s="344"/>
      <c r="Z146" s="275"/>
      <c r="AA146" s="275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348"/>
      <c r="AL146" s="348"/>
      <c r="AM146" s="348"/>
      <c r="AN146" s="348"/>
      <c r="AO146" s="275"/>
      <c r="AP146" s="1464"/>
      <c r="AQ146" s="1464"/>
      <c r="AR146" s="1464"/>
      <c r="AS146" s="1464"/>
      <c r="AT146" s="1464"/>
      <c r="AU146" s="313"/>
      <c r="AV146" s="317"/>
      <c r="AW146" s="317"/>
      <c r="AX146" s="318"/>
      <c r="AY146" s="727"/>
      <c r="AZ146" s="727"/>
      <c r="BA146" s="727"/>
      <c r="BB146" s="247"/>
      <c r="BC146" s="314"/>
      <c r="BE146" s="941"/>
      <c r="BF146" s="942"/>
      <c r="BG146" s="943"/>
      <c r="BH146" s="942"/>
      <c r="BI146" s="942"/>
      <c r="BJ146" s="942"/>
      <c r="BK146" s="942"/>
      <c r="BL146" s="942"/>
      <c r="BM146" s="944"/>
      <c r="BO146" s="1190"/>
      <c r="BP146" s="1178"/>
      <c r="BQ146" s="1178"/>
      <c r="BR146" s="1178"/>
      <c r="BS146" s="1178"/>
      <c r="BT146" s="1178"/>
      <c r="BU146" s="1178"/>
      <c r="BV146" s="1178"/>
      <c r="BW146" s="1178"/>
      <c r="BX146" s="1178"/>
      <c r="BY146" s="1174"/>
      <c r="BZ146" s="1174"/>
      <c r="CA146" s="1174"/>
      <c r="CB146" s="1173"/>
      <c r="CC146" s="1191"/>
    </row>
    <row r="147" spans="2:175" ht="12.75" customHeight="1">
      <c r="D147" s="1651"/>
      <c r="E147" s="259"/>
      <c r="F147" s="275"/>
      <c r="G147" s="1029" t="str">
        <f>IF($AX$40=1,"&gt;&gt;  abzüglich Vermarktungskosten (Strom-Vermarkter, etc.)","")</f>
        <v/>
      </c>
      <c r="H147" s="275"/>
      <c r="I147" s="275"/>
      <c r="J147" s="275"/>
      <c r="K147" s="275"/>
      <c r="L147" s="275"/>
      <c r="M147" s="275"/>
      <c r="N147" s="275"/>
      <c r="O147" s="275"/>
      <c r="P147" s="289"/>
      <c r="Q147" s="289"/>
      <c r="R147" s="341"/>
      <c r="S147" s="289"/>
      <c r="T147" s="1870">
        <v>-2E-3</v>
      </c>
      <c r="U147" s="1870"/>
      <c r="V147" s="1029" t="str">
        <f>IF($AX$40=1,"€/ kWh","")</f>
        <v/>
      </c>
      <c r="W147" s="275"/>
      <c r="X147" s="275"/>
      <c r="Y147" s="344"/>
      <c r="Z147" s="275"/>
      <c r="AA147" s="275"/>
      <c r="AB147" s="259"/>
      <c r="AC147" s="259"/>
      <c r="AD147" s="259"/>
      <c r="AE147" s="1454" t="str">
        <f>IF($AX$40=1,(AY147-AY135)*T147,"")</f>
        <v/>
      </c>
      <c r="AF147" s="1454"/>
      <c r="AG147" s="1454"/>
      <c r="AH147" s="1454"/>
      <c r="AI147" s="1454"/>
      <c r="AJ147" s="1454"/>
      <c r="AK147" s="348"/>
      <c r="AL147" s="1447">
        <f>SUM(AL137:AN145)</f>
        <v>100</v>
      </c>
      <c r="AM147" s="1447"/>
      <c r="AN147" s="1447"/>
      <c r="AO147" s="275"/>
      <c r="AP147" s="1464"/>
      <c r="AQ147" s="1464"/>
      <c r="AR147" s="1464"/>
      <c r="AS147" s="1464"/>
      <c r="AT147" s="1464"/>
      <c r="AU147" s="313"/>
      <c r="AV147" s="317"/>
      <c r="AW147" s="317"/>
      <c r="AX147" s="318"/>
      <c r="AY147" s="1503">
        <f>SUM(AY135:BA145)</f>
        <v>0</v>
      </c>
      <c r="AZ147" s="1504"/>
      <c r="BA147" s="1504"/>
      <c r="BB147" s="725" t="s">
        <v>60</v>
      </c>
      <c r="BC147" s="314"/>
      <c r="BE147" s="941" t="s">
        <v>880</v>
      </c>
      <c r="BF147" s="942"/>
      <c r="BG147" s="943"/>
      <c r="BH147" s="942"/>
      <c r="BI147" s="946">
        <f>IF($B$177=1,30%,100%)</f>
        <v>0.3</v>
      </c>
      <c r="BJ147" s="1500">
        <f>$BJ$137*BI147</f>
        <v>0</v>
      </c>
      <c r="BK147" s="1500"/>
      <c r="BL147" s="943" t="s">
        <v>875</v>
      </c>
      <c r="BM147" s="944"/>
      <c r="BO147" s="1196" t="s">
        <v>671</v>
      </c>
      <c r="BP147" s="1443">
        <f>IF(AY29&gt;R137,R137/AY29*100,100)</f>
        <v>100</v>
      </c>
      <c r="BQ147" s="1443"/>
      <c r="BR147" s="1443"/>
      <c r="BS147" s="1443">
        <f>IF($CC$141=0,BP147,(100-$BS$155)*BP147/100)</f>
        <v>100</v>
      </c>
      <c r="BT147" s="1443"/>
      <c r="BU147" s="1443"/>
      <c r="BV147" s="1448">
        <f>(100-$BV$145)*BS147/100</f>
        <v>100</v>
      </c>
      <c r="BW147" s="1448"/>
      <c r="BX147" s="1448"/>
      <c r="BY147" s="1458">
        <f>BS147*$X$120/100</f>
        <v>0</v>
      </c>
      <c r="BZ147" s="1458"/>
      <c r="CA147" s="1458"/>
      <c r="CB147" s="1176" t="s">
        <v>60</v>
      </c>
      <c r="CC147" s="1197"/>
      <c r="CE147" s="1204"/>
      <c r="CF147" s="1204"/>
      <c r="CG147" s="1204"/>
      <c r="CH147" s="1204"/>
      <c r="CJ147" s="1206"/>
    </row>
    <row r="148" spans="2:175" ht="2.1" customHeight="1">
      <c r="D148" s="1651"/>
      <c r="E148" s="259"/>
      <c r="F148" s="275"/>
      <c r="G148" s="337"/>
      <c r="H148" s="275"/>
      <c r="I148" s="275"/>
      <c r="J148" s="275"/>
      <c r="K148" s="275"/>
      <c r="L148" s="275"/>
      <c r="M148" s="275"/>
      <c r="N148" s="275"/>
      <c r="O148" s="275"/>
      <c r="P148" s="289"/>
      <c r="Q148" s="289"/>
      <c r="R148" s="341"/>
      <c r="S148" s="289"/>
      <c r="T148" s="347"/>
      <c r="U148" s="347"/>
      <c r="V148" s="347"/>
      <c r="W148" s="275"/>
      <c r="X148" s="275"/>
      <c r="Y148" s="344"/>
      <c r="Z148" s="275"/>
      <c r="AA148" s="275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348"/>
      <c r="AL148" s="348"/>
      <c r="AM148" s="348"/>
      <c r="AN148" s="348"/>
      <c r="AO148" s="275"/>
      <c r="AP148" s="1464"/>
      <c r="AQ148" s="1464"/>
      <c r="AR148" s="1464"/>
      <c r="AS148" s="1464"/>
      <c r="AT148" s="1464"/>
      <c r="AU148" s="313"/>
      <c r="AV148" s="317"/>
      <c r="AW148" s="317"/>
      <c r="AX148" s="318"/>
      <c r="AY148" s="727"/>
      <c r="AZ148" s="727"/>
      <c r="BA148" s="727"/>
      <c r="BB148" s="247"/>
      <c r="BC148" s="314"/>
      <c r="BE148" s="941"/>
      <c r="BF148" s="942"/>
      <c r="BG148" s="943"/>
      <c r="BH148" s="942"/>
      <c r="BI148" s="942"/>
      <c r="BJ148" s="942"/>
      <c r="BK148" s="942"/>
      <c r="BL148" s="942"/>
      <c r="BM148" s="944"/>
      <c r="BO148" s="1196"/>
      <c r="BP148" s="1443"/>
      <c r="BQ148" s="1443"/>
      <c r="BR148" s="1443"/>
      <c r="BS148" s="1443"/>
      <c r="BT148" s="1443"/>
      <c r="BU148" s="1443"/>
      <c r="BV148" s="1448"/>
      <c r="BW148" s="1448"/>
      <c r="BX148" s="1448"/>
      <c r="BY148" s="1458"/>
      <c r="BZ148" s="1458"/>
      <c r="CA148" s="1458"/>
      <c r="CB148" s="1176"/>
      <c r="CC148" s="1197"/>
    </row>
    <row r="149" spans="2:175" ht="12.2" customHeight="1">
      <c r="D149" s="1651"/>
      <c r="E149" s="259"/>
      <c r="F149" s="275"/>
      <c r="G149" s="1029" t="str">
        <f>IF($AX$40=1,"&gt;&gt;  zuzüglich ggf. Mehrerlöse durch Direktvermarktung","")</f>
        <v/>
      </c>
      <c r="H149" s="275"/>
      <c r="I149" s="275"/>
      <c r="J149" s="275"/>
      <c r="K149" s="275"/>
      <c r="L149" s="275"/>
      <c r="M149" s="275"/>
      <c r="N149" s="275"/>
      <c r="O149" s="275"/>
      <c r="P149" s="289"/>
      <c r="Q149" s="289"/>
      <c r="R149" s="341"/>
      <c r="S149" s="289"/>
      <c r="T149" s="1835"/>
      <c r="U149" s="1835"/>
      <c r="V149" s="337" t="str">
        <f>IF($AX$40=1,"€/ kWh","")</f>
        <v/>
      </c>
      <c r="W149" s="275"/>
      <c r="X149" s="275"/>
      <c r="Y149" s="344"/>
      <c r="Z149" s="275"/>
      <c r="AA149" s="275"/>
      <c r="AB149" s="259"/>
      <c r="AC149" s="259"/>
      <c r="AD149" s="259"/>
      <c r="AE149" s="1869" t="str">
        <f>IF($AX$40=1,(AY147-AY135)*T149,"")</f>
        <v/>
      </c>
      <c r="AF149" s="1869"/>
      <c r="AG149" s="1869"/>
      <c r="AH149" s="1869"/>
      <c r="AI149" s="1869"/>
      <c r="AJ149" s="1869"/>
      <c r="AK149" s="348"/>
      <c r="AL149" s="348"/>
      <c r="AM149" s="348"/>
      <c r="AN149" s="348"/>
      <c r="AO149" s="275"/>
      <c r="AP149" s="1464"/>
      <c r="AQ149" s="1464"/>
      <c r="AR149" s="1464"/>
      <c r="AS149" s="1464"/>
      <c r="AT149" s="1464"/>
      <c r="AU149" s="1034" t="s">
        <v>1081</v>
      </c>
      <c r="AV149" s="317"/>
      <c r="AW149" s="317"/>
      <c r="AX149" s="318"/>
      <c r="AY149" s="727"/>
      <c r="AZ149" s="247"/>
      <c r="BA149" s="247"/>
      <c r="BB149" s="247"/>
      <c r="BC149" s="314"/>
      <c r="BE149" s="947" t="s">
        <v>883</v>
      </c>
      <c r="BF149" s="948"/>
      <c r="BG149" s="949"/>
      <c r="BH149" s="948"/>
      <c r="BI149" s="948"/>
      <c r="BJ149" s="1497">
        <f>IF(B118&gt;40,((BJ159*BJ141)+(BJ162*BJ143)+(BJ164*BJ147))/BJ157,0)</f>
        <v>0</v>
      </c>
      <c r="BK149" s="1497"/>
      <c r="BL149" s="949" t="s">
        <v>875</v>
      </c>
      <c r="BM149" s="950"/>
      <c r="BO149" s="1196" t="s">
        <v>671</v>
      </c>
      <c r="BP149" s="1443">
        <f>IF(AY29&lt;R137,0,IF(AY29&gt;R139,(AY29-(AY29-R139)-R137)/AY29*100,(AY29-R137)/AY29*100))</f>
        <v>0</v>
      </c>
      <c r="BQ149" s="1443"/>
      <c r="BR149" s="1443"/>
      <c r="BS149" s="1443">
        <f>IF($CC$141=0,BP149,(100-$BS$155)*BP149/100)</f>
        <v>0</v>
      </c>
      <c r="BT149" s="1443"/>
      <c r="BU149" s="1443"/>
      <c r="BV149" s="1448">
        <f>(100-$BV$145)*BS149/100</f>
        <v>0</v>
      </c>
      <c r="BW149" s="1448"/>
      <c r="BX149" s="1448"/>
      <c r="BY149" s="1458">
        <f>BS149*$X$120/100</f>
        <v>0</v>
      </c>
      <c r="BZ149" s="1458"/>
      <c r="CA149" s="1458"/>
      <c r="CB149" s="1176" t="s">
        <v>60</v>
      </c>
      <c r="CC149" s="1197"/>
      <c r="CJ149" s="1206"/>
    </row>
    <row r="150" spans="2:175" ht="2.1" customHeight="1">
      <c r="D150" s="1651"/>
      <c r="E150" s="259"/>
      <c r="F150" s="275"/>
      <c r="G150" s="275"/>
      <c r="H150" s="275"/>
      <c r="I150" s="275"/>
      <c r="J150" s="275"/>
      <c r="K150" s="275"/>
      <c r="L150" s="275"/>
      <c r="M150" s="275"/>
      <c r="N150" s="275"/>
      <c r="O150" s="275"/>
      <c r="P150" s="289"/>
      <c r="Q150" s="289"/>
      <c r="R150" s="341"/>
      <c r="S150" s="289"/>
      <c r="T150" s="347"/>
      <c r="U150" s="347"/>
      <c r="V150" s="347"/>
      <c r="W150" s="275"/>
      <c r="X150" s="275"/>
      <c r="Y150" s="344"/>
      <c r="Z150" s="275"/>
      <c r="AA150" s="275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348"/>
      <c r="AL150" s="348"/>
      <c r="AM150" s="348"/>
      <c r="AN150" s="348"/>
      <c r="AO150" s="275"/>
      <c r="AP150" s="1464"/>
      <c r="AQ150" s="1464"/>
      <c r="AR150" s="1464"/>
      <c r="AS150" s="1464"/>
      <c r="AT150" s="1464"/>
      <c r="AU150" s="313"/>
      <c r="AV150" s="317"/>
      <c r="AW150" s="317"/>
      <c r="AX150" s="318"/>
      <c r="AY150" s="727"/>
      <c r="AZ150" s="727"/>
      <c r="BA150" s="727"/>
      <c r="BB150" s="247"/>
      <c r="BC150" s="314"/>
      <c r="BE150" s="941"/>
      <c r="BF150" s="942"/>
      <c r="BG150" s="943"/>
      <c r="BH150" s="942"/>
      <c r="BI150" s="942"/>
      <c r="BJ150" s="942"/>
      <c r="BK150" s="942"/>
      <c r="BL150" s="942"/>
      <c r="BM150" s="944"/>
      <c r="BO150" s="1196"/>
      <c r="BP150" s="1443"/>
      <c r="BQ150" s="1443"/>
      <c r="BR150" s="1443"/>
      <c r="BS150" s="1443"/>
      <c r="BT150" s="1443"/>
      <c r="BU150" s="1443"/>
      <c r="BV150" s="1448"/>
      <c r="BW150" s="1448"/>
      <c r="BX150" s="1448"/>
      <c r="BY150" s="1458"/>
      <c r="BZ150" s="1458"/>
      <c r="CA150" s="1458"/>
      <c r="CB150" s="1176"/>
      <c r="CC150" s="1197"/>
    </row>
    <row r="151" spans="2:175" ht="12.75" customHeight="1">
      <c r="D151" s="1651"/>
      <c r="E151" s="259"/>
      <c r="F151" s="275"/>
      <c r="G151" s="241"/>
      <c r="H151" s="275"/>
      <c r="I151" s="275"/>
      <c r="J151" s="275"/>
      <c r="K151" s="275"/>
      <c r="L151" s="275"/>
      <c r="M151" s="275"/>
      <c r="N151" s="275"/>
      <c r="O151" s="275"/>
      <c r="P151" s="289"/>
      <c r="Q151" s="289"/>
      <c r="R151" s="341"/>
      <c r="S151" s="289"/>
      <c r="T151" s="289"/>
      <c r="U151" s="289"/>
      <c r="V151" s="289"/>
      <c r="W151" s="347"/>
      <c r="X151" s="347"/>
      <c r="Y151" s="347"/>
      <c r="Z151" s="347"/>
      <c r="AA151" s="347"/>
      <c r="AB151" s="714"/>
      <c r="AC151" s="714"/>
      <c r="AD151" s="714"/>
      <c r="AE151" s="714"/>
      <c r="AF151" s="714"/>
      <c r="AG151" s="714"/>
      <c r="AH151" s="714"/>
      <c r="AI151" s="714"/>
      <c r="AJ151" s="714"/>
      <c r="AK151" s="714"/>
      <c r="AL151" s="714"/>
      <c r="AM151" s="714"/>
      <c r="AN151" s="348"/>
      <c r="AO151" s="275"/>
      <c r="AP151" s="1464"/>
      <c r="AQ151" s="1464"/>
      <c r="AR151" s="1464"/>
      <c r="AS151" s="1464"/>
      <c r="AT151" s="1464"/>
      <c r="AU151" s="1033">
        <v>0</v>
      </c>
      <c r="AV151" s="1032" t="s">
        <v>426</v>
      </c>
      <c r="AW151" s="1032">
        <v>10</v>
      </c>
      <c r="AX151" s="1030" t="s">
        <v>379</v>
      </c>
      <c r="AY151" s="247"/>
      <c r="AZ151" s="1502">
        <f>IF($AX$40=1,T137+T147+T149,T137)</f>
        <v>8.199999999999999E-2</v>
      </c>
      <c r="BA151" s="1502"/>
      <c r="BB151" s="790" t="s">
        <v>61</v>
      </c>
      <c r="BC151" s="314"/>
      <c r="BE151" s="941"/>
      <c r="BF151" s="942"/>
      <c r="BG151" s="943"/>
      <c r="BH151" s="942"/>
      <c r="BI151" s="942"/>
      <c r="BJ151" s="942"/>
      <c r="BK151" s="942"/>
      <c r="BL151" s="942"/>
      <c r="BM151" s="944"/>
      <c r="BO151" s="1196" t="s">
        <v>671</v>
      </c>
      <c r="BP151" s="1443">
        <f>IF(AY29&lt;R139,0,IF(AY29&gt;R141,(AY29-(AY29-R141)-R139)/AY29*100,(AY29-R139)/AY29*100))</f>
        <v>0</v>
      </c>
      <c r="BQ151" s="1443"/>
      <c r="BR151" s="1443"/>
      <c r="BS151" s="1443">
        <f>IF($CC$141=0,BP151,(100-$BS$155)*BP151/100)</f>
        <v>0</v>
      </c>
      <c r="BT151" s="1443"/>
      <c r="BU151" s="1443"/>
      <c r="BV151" s="1448">
        <f>(100-$BV$145)*BS151/100</f>
        <v>0</v>
      </c>
      <c r="BW151" s="1448"/>
      <c r="BX151" s="1448"/>
      <c r="BY151" s="1458">
        <f>BS151*$X$120/100</f>
        <v>0</v>
      </c>
      <c r="BZ151" s="1458"/>
      <c r="CA151" s="1458"/>
      <c r="CB151" s="1176" t="s">
        <v>60</v>
      </c>
      <c r="CC151" s="1197"/>
      <c r="CJ151" s="1206"/>
    </row>
    <row r="152" spans="2:175" ht="2.1" customHeight="1">
      <c r="D152" s="1651"/>
      <c r="E152" s="259"/>
      <c r="F152" s="275"/>
      <c r="G152" s="241"/>
      <c r="H152" s="275"/>
      <c r="I152" s="275"/>
      <c r="J152" s="275"/>
      <c r="K152" s="275"/>
      <c r="L152" s="275"/>
      <c r="M152" s="275"/>
      <c r="N152" s="275"/>
      <c r="O152" s="275"/>
      <c r="P152" s="289"/>
      <c r="Q152" s="289"/>
      <c r="R152" s="341"/>
      <c r="S152" s="289"/>
      <c r="T152" s="347"/>
      <c r="U152" s="347"/>
      <c r="V152" s="347"/>
      <c r="W152" s="347"/>
      <c r="X152" s="347"/>
      <c r="Y152" s="347"/>
      <c r="Z152" s="347"/>
      <c r="AA152" s="347"/>
      <c r="AB152" s="714"/>
      <c r="AC152" s="714"/>
      <c r="AD152" s="714"/>
      <c r="AE152" s="714"/>
      <c r="AF152" s="714"/>
      <c r="AG152" s="714"/>
      <c r="AH152" s="714"/>
      <c r="AI152" s="714"/>
      <c r="AJ152" s="714"/>
      <c r="AK152" s="714"/>
      <c r="AL152" s="714"/>
      <c r="AM152" s="714"/>
      <c r="AN152" s="348"/>
      <c r="AO152" s="275"/>
      <c r="AP152" s="1464"/>
      <c r="AQ152" s="1464"/>
      <c r="AR152" s="1464"/>
      <c r="AS152" s="1464"/>
      <c r="AT152" s="1464"/>
      <c r="AU152" s="1031"/>
      <c r="AV152" s="1032"/>
      <c r="AW152" s="1032"/>
      <c r="AX152" s="1030"/>
      <c r="AY152" s="738"/>
      <c r="AZ152" s="1036"/>
      <c r="BA152" s="1036"/>
      <c r="BB152" s="789"/>
      <c r="BC152" s="314"/>
      <c r="BE152" s="941"/>
      <c r="BF152" s="942"/>
      <c r="BG152" s="943"/>
      <c r="BH152" s="942"/>
      <c r="BI152" s="942"/>
      <c r="BJ152" s="942"/>
      <c r="BK152" s="942"/>
      <c r="BL152" s="942"/>
      <c r="BM152" s="944"/>
      <c r="BO152" s="1196"/>
      <c r="BP152" s="1443"/>
      <c r="BQ152" s="1443"/>
      <c r="BR152" s="1443"/>
      <c r="BS152" s="1443"/>
      <c r="BT152" s="1443"/>
      <c r="BU152" s="1443"/>
      <c r="BV152" s="1448"/>
      <c r="BW152" s="1448"/>
      <c r="BX152" s="1448"/>
      <c r="BY152" s="1458"/>
      <c r="BZ152" s="1458"/>
      <c r="CA152" s="1458"/>
      <c r="CB152" s="1176"/>
      <c r="CC152" s="1197"/>
    </row>
    <row r="153" spans="2:175" ht="12.75" customHeight="1">
      <c r="D153" s="1651"/>
      <c r="E153" s="259"/>
      <c r="F153" s="275"/>
      <c r="G153" s="241" t="str">
        <f>IF(V21&lt;=21,"Ø Erlöserwartung f. Stromverkauf ab dem 21. Jahr ( jährlich):","Ø Erlöserwartung f. Stromverkauf vom 21.-"&amp;V21&amp;". Jahr ( jährlich):")</f>
        <v>Ø Erlöserwartung f. Stromverkauf ab dem 21. Jahr ( jährlich):</v>
      </c>
      <c r="H153" s="275"/>
      <c r="I153" s="275"/>
      <c r="J153" s="275"/>
      <c r="K153" s="275"/>
      <c r="L153" s="275"/>
      <c r="M153" s="275"/>
      <c r="N153" s="275"/>
      <c r="O153" s="275"/>
      <c r="P153" s="289"/>
      <c r="Q153" s="289"/>
      <c r="R153" s="341"/>
      <c r="S153" s="289"/>
      <c r="T153" s="1875">
        <f>BA172</f>
        <v>0.05</v>
      </c>
      <c r="U153" s="1875"/>
      <c r="V153" s="1875"/>
      <c r="W153" s="1875"/>
      <c r="X153" s="1488">
        <f>AY193</f>
        <v>0</v>
      </c>
      <c r="Y153" s="1489"/>
      <c r="Z153" s="1489"/>
      <c r="AA153" s="347"/>
      <c r="AB153" s="1850">
        <f>IF(V21&gt;20,X153*T153,0)</f>
        <v>0</v>
      </c>
      <c r="AC153" s="1851"/>
      <c r="AD153" s="1851"/>
      <c r="AE153" s="1851"/>
      <c r="AF153" s="1851"/>
      <c r="AG153" s="1851"/>
      <c r="AH153" s="1851"/>
      <c r="AI153" s="1851"/>
      <c r="AJ153" s="1852"/>
      <c r="AK153" s="715" t="str">
        <f>IF(V21&gt;20,"€/ Jahr","")</f>
        <v/>
      </c>
      <c r="AL153" s="714"/>
      <c r="AM153" s="714"/>
      <c r="AN153" s="348"/>
      <c r="AO153" s="275"/>
      <c r="AP153" s="1464"/>
      <c r="AQ153" s="1464"/>
      <c r="AR153" s="1464"/>
      <c r="AS153" s="1464"/>
      <c r="AT153" s="1464"/>
      <c r="AU153" s="1031">
        <v>10</v>
      </c>
      <c r="AV153" s="1035" t="s">
        <v>426</v>
      </c>
      <c r="AW153" s="1035">
        <v>40</v>
      </c>
      <c r="AX153" s="401" t="s">
        <v>379</v>
      </c>
      <c r="AY153" s="247"/>
      <c r="AZ153" s="1502">
        <f>IF($AX$40=1,T139+T147+T149,T139)</f>
        <v>7.0999999999999994E-2</v>
      </c>
      <c r="BA153" s="1502"/>
      <c r="BB153" s="790" t="s">
        <v>61</v>
      </c>
      <c r="BC153" s="314"/>
      <c r="BE153" s="945" t="s">
        <v>882</v>
      </c>
      <c r="BF153" s="942"/>
      <c r="BG153" s="943"/>
      <c r="BH153" s="942"/>
      <c r="BI153" s="942"/>
      <c r="BJ153" s="942"/>
      <c r="BK153" s="942"/>
      <c r="BL153" s="942"/>
      <c r="BM153" s="944"/>
      <c r="BO153" s="1196" t="s">
        <v>671</v>
      </c>
      <c r="BP153" s="1443">
        <f>IF(AY29&lt;R141,0,(AY29-R141)/AY29*100)</f>
        <v>0</v>
      </c>
      <c r="BQ153" s="1443"/>
      <c r="BR153" s="1443"/>
      <c r="BS153" s="1443">
        <f>IF($CC$141=0,BP153,(100-$BS$155)*BP153/100)</f>
        <v>0</v>
      </c>
      <c r="BT153" s="1443"/>
      <c r="BU153" s="1443"/>
      <c r="BV153" s="1448">
        <f>(100-$BV$145)*BS153/100</f>
        <v>0</v>
      </c>
      <c r="BW153" s="1448"/>
      <c r="BX153" s="1448"/>
      <c r="BY153" s="1458">
        <f>BS153*$X$120/100</f>
        <v>0</v>
      </c>
      <c r="BZ153" s="1458"/>
      <c r="CA153" s="1458"/>
      <c r="CB153" s="1176" t="s">
        <v>60</v>
      </c>
      <c r="CC153" s="1197"/>
    </row>
    <row r="154" spans="2:175" ht="5.0999999999999996" customHeight="1">
      <c r="D154" s="1651"/>
      <c r="E154" s="259"/>
      <c r="F154" s="275"/>
      <c r="G154" s="241"/>
      <c r="H154" s="275"/>
      <c r="I154" s="275"/>
      <c r="J154" s="275"/>
      <c r="K154" s="275"/>
      <c r="L154" s="275"/>
      <c r="M154" s="275"/>
      <c r="N154" s="275"/>
      <c r="O154" s="275"/>
      <c r="P154" s="289"/>
      <c r="Q154" s="289"/>
      <c r="R154" s="341"/>
      <c r="S154" s="289"/>
      <c r="T154" s="289"/>
      <c r="U154" s="289"/>
      <c r="V154" s="289"/>
      <c r="W154" s="289"/>
      <c r="X154" s="289"/>
      <c r="Y154" s="289"/>
      <c r="Z154" s="289"/>
      <c r="AA154" s="289"/>
      <c r="AB154" s="289"/>
      <c r="AC154" s="289"/>
      <c r="AD154" s="289"/>
      <c r="AE154" s="739"/>
      <c r="AF154" s="739"/>
      <c r="AG154" s="739"/>
      <c r="AH154" s="739"/>
      <c r="AI154" s="739"/>
      <c r="AJ154" s="739"/>
      <c r="AK154" s="715"/>
      <c r="AL154" s="714"/>
      <c r="AM154" s="714"/>
      <c r="AN154" s="348"/>
      <c r="AO154" s="275"/>
      <c r="AP154" s="1464"/>
      <c r="AQ154" s="1464"/>
      <c r="AR154" s="1464"/>
      <c r="AS154" s="1464"/>
      <c r="AT154" s="1464"/>
      <c r="AU154" s="1031"/>
      <c r="AV154" s="1035"/>
      <c r="AW154" s="1035"/>
      <c r="AX154" s="401"/>
      <c r="AY154" s="247"/>
      <c r="AZ154" s="1037"/>
      <c r="BA154" s="1037"/>
      <c r="BB154" s="767"/>
      <c r="BC154" s="314"/>
      <c r="BE154" s="941"/>
      <c r="BF154" s="942"/>
      <c r="BG154" s="943"/>
      <c r="BH154" s="942"/>
      <c r="BI154" s="942"/>
      <c r="BJ154" s="942"/>
      <c r="BK154" s="942"/>
      <c r="BL154" s="942"/>
      <c r="BM154" s="944"/>
      <c r="BO154" s="1198"/>
      <c r="BP154" s="1444"/>
      <c r="BQ154" s="1444"/>
      <c r="BR154" s="1444"/>
      <c r="BS154" s="1444"/>
      <c r="BT154" s="1444"/>
      <c r="BU154" s="1444"/>
      <c r="BV154" s="1449"/>
      <c r="BW154" s="1449"/>
      <c r="BX154" s="1449"/>
      <c r="BY154" s="1462"/>
      <c r="BZ154" s="1462"/>
      <c r="CA154" s="1462"/>
      <c r="CB154" s="1177"/>
      <c r="CC154" s="1199"/>
    </row>
    <row r="155" spans="2:175" ht="12.75" customHeight="1">
      <c r="B155" s="707" t="s">
        <v>1281</v>
      </c>
      <c r="D155" s="1651"/>
      <c r="E155" s="259"/>
      <c r="F155" s="275"/>
      <c r="G155" s="275"/>
      <c r="H155" s="337" t="str">
        <f>IF(V21&gt;20,"Preiserwartung für verkauften Strom (Zeit nach EEG)","- entfällt -  Anlagelaufzeit wurde nur auf 20 Jahre geplant")</f>
        <v>- entfällt -  Anlagelaufzeit wurde nur auf 20 Jahre geplant</v>
      </c>
      <c r="I155" s="275"/>
      <c r="J155" s="275"/>
      <c r="K155" s="275"/>
      <c r="L155" s="275"/>
      <c r="M155" s="275"/>
      <c r="N155" s="275"/>
      <c r="O155" s="275"/>
      <c r="P155" s="289"/>
      <c r="Q155" s="289"/>
      <c r="R155" s="341"/>
      <c r="S155" s="289"/>
      <c r="T155" s="1577">
        <v>0.05</v>
      </c>
      <c r="U155" s="1577"/>
      <c r="V155" s="337" t="s">
        <v>61</v>
      </c>
      <c r="W155" s="347"/>
      <c r="X155" s="717"/>
      <c r="Y155" s="1038" t="str">
        <f>IF($AX$40=1,"* incl. Kosten/Mehrerlöse der Direktvermarktung","* durchschnittlich inflationsbereinigter Wert")</f>
        <v>* durchschnittlich inflationsbereinigter Wert</v>
      </c>
      <c r="Z155" s="717"/>
      <c r="AA155" s="714"/>
      <c r="AB155" s="347"/>
      <c r="AC155" s="347"/>
      <c r="AD155" s="347"/>
      <c r="AE155" s="347"/>
      <c r="AF155" s="347"/>
      <c r="AG155" s="347"/>
      <c r="AH155" s="347"/>
      <c r="AI155" s="347"/>
      <c r="AJ155" s="347"/>
      <c r="AK155" s="347"/>
      <c r="AL155" s="347"/>
      <c r="AM155" s="714"/>
      <c r="AN155" s="348"/>
      <c r="AO155" s="275"/>
      <c r="AP155" s="1464"/>
      <c r="AQ155" s="1464"/>
      <c r="AR155" s="1464"/>
      <c r="AS155" s="1464"/>
      <c r="AT155" s="1464"/>
      <c r="AU155" s="1031">
        <v>40</v>
      </c>
      <c r="AV155" s="1035" t="s">
        <v>426</v>
      </c>
      <c r="AW155" s="1035">
        <v>1000</v>
      </c>
      <c r="AX155" s="401" t="s">
        <v>379</v>
      </c>
      <c r="AY155" s="247"/>
      <c r="AZ155" s="1502">
        <f>IF($AX$40=1,T141+T147+T149,T141)</f>
        <v>5.7999999999999996E-2</v>
      </c>
      <c r="BA155" s="1502"/>
      <c r="BB155" s="790" t="s">
        <v>61</v>
      </c>
      <c r="BC155" s="314"/>
      <c r="BE155" s="941" t="s">
        <v>879</v>
      </c>
      <c r="BF155" s="942"/>
      <c r="BG155" s="943"/>
      <c r="BH155" s="942"/>
      <c r="BI155" s="946"/>
      <c r="BJ155" s="1492">
        <f>(12+1)-(VLOOKUP(B118,Vergütungen!A19:C190,2,FALSE))</f>
        <v>5</v>
      </c>
      <c r="BK155" s="1492"/>
      <c r="BL155" s="943" t="s">
        <v>878</v>
      </c>
      <c r="BM155" s="944"/>
      <c r="BO155" s="1200" t="s">
        <v>1285</v>
      </c>
      <c r="BP155" s="1170"/>
      <c r="BQ155" s="1170"/>
      <c r="BR155" s="1170"/>
      <c r="BS155" s="1463">
        <f>IF($CC$141=0,0,((BV157-BY139)*($BV$159/$BV$157)))</f>
        <v>0</v>
      </c>
      <c r="BT155" s="1463"/>
      <c r="BU155" s="1463"/>
      <c r="BV155" s="1450">
        <f>(100-$BV$145)*BS155/100</f>
        <v>0</v>
      </c>
      <c r="BW155" s="1450"/>
      <c r="BX155" s="1450"/>
      <c r="BY155" s="1460">
        <f>BS155*$X$120/100</f>
        <v>0</v>
      </c>
      <c r="BZ155" s="1460"/>
      <c r="CA155" s="1460"/>
      <c r="CB155" s="1201" t="s">
        <v>60</v>
      </c>
      <c r="CC155" s="1202"/>
    </row>
    <row r="156" spans="2:175" ht="2.1" customHeight="1">
      <c r="D156" s="1651"/>
      <c r="E156" s="259"/>
      <c r="F156" s="259"/>
      <c r="G156" s="259"/>
      <c r="H156" s="259"/>
      <c r="I156" s="259"/>
      <c r="J156" s="259"/>
      <c r="K156" s="259"/>
      <c r="L156" s="259"/>
      <c r="M156" s="259"/>
      <c r="N156" s="259"/>
      <c r="O156" s="259"/>
      <c r="P156" s="259"/>
      <c r="Q156" s="259"/>
      <c r="R156" s="259"/>
      <c r="S156" s="259"/>
      <c r="T156" s="259"/>
      <c r="U156" s="259"/>
      <c r="V156" s="259"/>
      <c r="W156" s="259"/>
      <c r="X156" s="716"/>
      <c r="Y156" s="716"/>
      <c r="Z156" s="716"/>
      <c r="AA156" s="716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716"/>
      <c r="AN156" s="348"/>
      <c r="AO156" s="259"/>
      <c r="AP156" s="1464"/>
      <c r="AQ156" s="1464"/>
      <c r="AR156" s="1464"/>
      <c r="AS156" s="1464"/>
      <c r="AT156" s="1464"/>
      <c r="AU156" s="1031"/>
      <c r="AV156" s="1035"/>
      <c r="AW156" s="1035"/>
      <c r="AX156" s="401"/>
      <c r="AY156" s="247"/>
      <c r="AZ156" s="1037"/>
      <c r="BA156" s="1037"/>
      <c r="BB156" s="767"/>
      <c r="BC156" s="314"/>
      <c r="BE156" s="941"/>
      <c r="BF156" s="942"/>
      <c r="BG156" s="943"/>
      <c r="BH156" s="942"/>
      <c r="BI156" s="942"/>
      <c r="BJ156" s="942"/>
      <c r="BK156" s="942"/>
      <c r="BL156" s="942"/>
      <c r="BM156" s="944"/>
      <c r="BO156" s="1198"/>
      <c r="BP156" s="1445"/>
      <c r="BQ156" s="1445"/>
      <c r="BR156" s="1445"/>
      <c r="BS156" s="1445"/>
      <c r="BT156" s="1445"/>
      <c r="BU156" s="1445"/>
      <c r="BV156" s="1445"/>
      <c r="BW156" s="1445"/>
      <c r="BX156" s="1445"/>
      <c r="BY156" s="1462"/>
      <c r="BZ156" s="1462"/>
      <c r="CA156" s="1462"/>
      <c r="CB156" s="1177"/>
      <c r="CC156" s="1199"/>
    </row>
    <row r="157" spans="2:175" ht="12.75" customHeight="1">
      <c r="B157" s="620">
        <v>30</v>
      </c>
      <c r="D157" s="1651"/>
      <c r="E157" s="259"/>
      <c r="F157" s="716"/>
      <c r="G157" s="316"/>
      <c r="H157" s="289" t="str">
        <f>IF(V21&gt;20,"Prognose:  Inflationsrate für Stromverkauf nach dem 20. Jahr (jährl. in %)","")</f>
        <v/>
      </c>
      <c r="I157" s="289"/>
      <c r="J157" s="259"/>
      <c r="K157" s="259"/>
      <c r="L157" s="259"/>
      <c r="M157" s="259"/>
      <c r="N157" s="259"/>
      <c r="O157" s="259"/>
      <c r="P157" s="305"/>
      <c r="Q157" s="305"/>
      <c r="R157" s="441"/>
      <c r="S157" s="305"/>
      <c r="T157" s="1871">
        <f>(B157-30)/10</f>
        <v>0</v>
      </c>
      <c r="U157" s="1872"/>
      <c r="V157" s="347"/>
      <c r="W157" s="347"/>
      <c r="X157" s="717"/>
      <c r="Y157" s="717"/>
      <c r="Z157" s="717"/>
      <c r="AA157" s="714"/>
      <c r="AB157" s="347"/>
      <c r="AC157" s="347"/>
      <c r="AD157" s="347"/>
      <c r="AE157" s="347"/>
      <c r="AF157" s="347"/>
      <c r="AG157" s="347"/>
      <c r="AH157" s="347"/>
      <c r="AI157" s="347"/>
      <c r="AJ157" s="347"/>
      <c r="AK157" s="347"/>
      <c r="AL157" s="347"/>
      <c r="AM157" s="347"/>
      <c r="AN157" s="348"/>
      <c r="AO157" s="259"/>
      <c r="AP157" s="1464"/>
      <c r="AQ157" s="1464"/>
      <c r="AR157" s="1464"/>
      <c r="AS157" s="1464"/>
      <c r="AT157" s="1464"/>
      <c r="AU157" s="1031"/>
      <c r="AV157" s="1035" t="s">
        <v>427</v>
      </c>
      <c r="AW157" s="1035">
        <v>1</v>
      </c>
      <c r="AX157" s="401" t="s">
        <v>177</v>
      </c>
      <c r="AY157" s="247"/>
      <c r="AZ157" s="1502">
        <f>IF($AX$40=1,T143+T147+T149,T143)</f>
        <v>0</v>
      </c>
      <c r="BA157" s="1502"/>
      <c r="BB157" s="790" t="s">
        <v>61</v>
      </c>
      <c r="BC157" s="314"/>
      <c r="BE157" s="941" t="s">
        <v>877</v>
      </c>
      <c r="BF157" s="942"/>
      <c r="BG157" s="943"/>
      <c r="BH157" s="942"/>
      <c r="BI157" s="946"/>
      <c r="BJ157" s="1492">
        <f>(V21*12)+BJ155</f>
        <v>245</v>
      </c>
      <c r="BK157" s="1492"/>
      <c r="BL157" s="943" t="s">
        <v>878</v>
      </c>
      <c r="BM157" s="944"/>
      <c r="BO157" s="1192" t="s">
        <v>671</v>
      </c>
      <c r="BP157" s="1170"/>
      <c r="BQ157" s="1170"/>
      <c r="BR157" s="1170"/>
      <c r="BS157" s="1459">
        <f>SUM(BS147:BU155)</f>
        <v>100</v>
      </c>
      <c r="BT157" s="1459"/>
      <c r="BU157" s="1459"/>
      <c r="BV157" s="1459">
        <f>IF(AY29&gt;0,(X120/X118)*100,0)</f>
        <v>0</v>
      </c>
      <c r="BW157" s="1459"/>
      <c r="BX157" s="1459" t="s">
        <v>381</v>
      </c>
      <c r="BY157" s="1461">
        <f>BV157*$X$118/100</f>
        <v>0</v>
      </c>
      <c r="BZ157" s="1461"/>
      <c r="CA157" s="1461"/>
      <c r="CB157" s="1179" t="s">
        <v>60</v>
      </c>
      <c r="CC157" s="1193"/>
    </row>
    <row r="158" spans="2:175" ht="2.1" customHeight="1">
      <c r="D158" s="1651"/>
      <c r="E158" s="259"/>
      <c r="F158" s="259"/>
      <c r="G158" s="316"/>
      <c r="H158" s="259"/>
      <c r="I158" s="259"/>
      <c r="J158" s="259"/>
      <c r="K158" s="259"/>
      <c r="L158" s="259"/>
      <c r="M158" s="259"/>
      <c r="N158" s="259"/>
      <c r="O158" s="259"/>
      <c r="P158" s="305"/>
      <c r="Q158" s="305"/>
      <c r="R158" s="441"/>
      <c r="S158" s="305"/>
      <c r="T158" s="347"/>
      <c r="U158" s="347"/>
      <c r="V158" s="347"/>
      <c r="W158" s="347"/>
      <c r="X158" s="714"/>
      <c r="Y158" s="714"/>
      <c r="Z158" s="714"/>
      <c r="AA158" s="714"/>
      <c r="AB158" s="347"/>
      <c r="AC158" s="347"/>
      <c r="AD158" s="347"/>
      <c r="AE158" s="347"/>
      <c r="AF158" s="347"/>
      <c r="AG158" s="347"/>
      <c r="AH158" s="347"/>
      <c r="AI158" s="347"/>
      <c r="AJ158" s="347"/>
      <c r="AK158" s="347"/>
      <c r="AL158" s="347"/>
      <c r="AM158" s="347"/>
      <c r="AN158" s="348"/>
      <c r="AO158" s="259"/>
      <c r="AP158" s="1464"/>
      <c r="AQ158" s="1464"/>
      <c r="AR158" s="1464"/>
      <c r="AS158" s="1464"/>
      <c r="AT158" s="1464"/>
      <c r="AU158" s="313"/>
      <c r="AV158" s="247"/>
      <c r="AW158" s="247"/>
      <c r="AX158" s="247"/>
      <c r="AY158" s="247"/>
      <c r="AZ158" s="247"/>
      <c r="BA158" s="247"/>
      <c r="BB158" s="247"/>
      <c r="BC158" s="314"/>
      <c r="BE158" s="941"/>
      <c r="BF158" s="942"/>
      <c r="BG158" s="943"/>
      <c r="BH158" s="942"/>
      <c r="BI158" s="942"/>
      <c r="BJ158" s="942"/>
      <c r="BK158" s="942"/>
      <c r="BL158" s="942"/>
      <c r="BM158" s="944"/>
      <c r="BO158" s="1190"/>
      <c r="BP158" s="1446"/>
      <c r="BQ158" s="1446"/>
      <c r="BR158" s="1446"/>
      <c r="BS158" s="1446"/>
      <c r="BT158" s="1446"/>
      <c r="BU158" s="1446"/>
      <c r="BV158" s="1446"/>
      <c r="BW158" s="1446"/>
      <c r="BX158" s="1446"/>
      <c r="BY158" s="1457"/>
      <c r="BZ158" s="1457"/>
      <c r="CA158" s="1457"/>
      <c r="CB158" s="1173"/>
      <c r="CC158" s="1191"/>
    </row>
    <row r="159" spans="2:175" ht="12.75" customHeight="1">
      <c r="D159" s="1652"/>
      <c r="E159" s="259"/>
      <c r="F159" s="259"/>
      <c r="G159" s="316"/>
      <c r="H159" s="289" t="str">
        <f>IF(V21&gt;20,"( Info: Bei einer Inflationsrate von "&amp;T157&amp;" % läge der  Stromverkaufspreises  im "&amp;V21&amp;". Jahr bei rund "&amp;ROUND(BA170,4)&amp;" € / kWh )","")</f>
        <v/>
      </c>
      <c r="I159" s="259"/>
      <c r="J159" s="259"/>
      <c r="K159" s="259"/>
      <c r="L159" s="259"/>
      <c r="M159" s="259"/>
      <c r="N159" s="259"/>
      <c r="O159" s="259"/>
      <c r="P159" s="305"/>
      <c r="Q159" s="305"/>
      <c r="R159" s="441"/>
      <c r="S159" s="305"/>
      <c r="T159" s="347"/>
      <c r="U159" s="347"/>
      <c r="V159" s="347"/>
      <c r="W159" s="347"/>
      <c r="X159" s="347"/>
      <c r="Y159" s="347"/>
      <c r="Z159" s="347"/>
      <c r="AA159" s="347"/>
      <c r="AB159" s="347"/>
      <c r="AC159" s="347"/>
      <c r="AD159" s="347"/>
      <c r="AE159" s="347"/>
      <c r="AF159" s="347"/>
      <c r="AG159" s="347"/>
      <c r="AH159" s="347"/>
      <c r="AI159" s="347"/>
      <c r="AJ159" s="347"/>
      <c r="AK159" s="347"/>
      <c r="AL159" s="347"/>
      <c r="AM159" s="347"/>
      <c r="AN159" s="348"/>
      <c r="AO159" s="259"/>
      <c r="AP159" s="1464"/>
      <c r="AQ159" s="1464"/>
      <c r="AR159" s="1464"/>
      <c r="AS159" s="1464"/>
      <c r="AT159" s="1464"/>
      <c r="AU159" s="1205" t="s">
        <v>1291</v>
      </c>
      <c r="AV159" s="247"/>
      <c r="AW159" s="247"/>
      <c r="AX159" s="247"/>
      <c r="AY159" s="247"/>
      <c r="AZ159" s="1502">
        <f>IF($AX$40=1,T145+T147+T149,T145)</f>
        <v>2.5000000000000001E-2</v>
      </c>
      <c r="BA159" s="1502"/>
      <c r="BB159" s="790" t="s">
        <v>61</v>
      </c>
      <c r="BC159" s="314"/>
      <c r="BE159" s="941" t="s">
        <v>876</v>
      </c>
      <c r="BF159" s="942"/>
      <c r="BG159" s="943"/>
      <c r="BH159" s="942"/>
      <c r="BI159" s="942"/>
      <c r="BJ159" s="1492">
        <f>IF(B118&lt;41,0,(BJ157-BJ162-BJ164))</f>
        <v>245</v>
      </c>
      <c r="BK159" s="1492"/>
      <c r="BL159" s="943" t="s">
        <v>878</v>
      </c>
      <c r="BM159" s="944"/>
      <c r="BO159" s="1194" t="s">
        <v>1286</v>
      </c>
      <c r="BP159" s="1170"/>
      <c r="BQ159" s="1170"/>
      <c r="BR159" s="1170"/>
      <c r="BS159" s="1465"/>
      <c r="BT159" s="1465"/>
      <c r="BU159" s="1465"/>
      <c r="BV159" s="1465">
        <f>AL118</f>
        <v>100</v>
      </c>
      <c r="BW159" s="1465"/>
      <c r="BX159" s="1465"/>
      <c r="BY159" s="1466">
        <f>X118</f>
        <v>0</v>
      </c>
      <c r="BZ159" s="1466"/>
      <c r="CA159" s="1466"/>
      <c r="CB159" s="1180" t="s">
        <v>60</v>
      </c>
      <c r="CC159" s="1195"/>
    </row>
    <row r="160" spans="2:175" ht="5.0999999999999996" customHeight="1" thickBot="1">
      <c r="D160" s="717"/>
      <c r="E160" s="731"/>
      <c r="F160" s="731"/>
      <c r="G160" s="730"/>
      <c r="H160" s="731"/>
      <c r="I160" s="731"/>
      <c r="J160" s="731"/>
      <c r="K160" s="731"/>
      <c r="L160" s="731"/>
      <c r="M160" s="731"/>
      <c r="N160" s="731"/>
      <c r="O160" s="731"/>
      <c r="P160" s="732"/>
      <c r="Q160" s="732"/>
      <c r="R160" s="733"/>
      <c r="S160" s="732"/>
      <c r="T160" s="734"/>
      <c r="U160" s="734"/>
      <c r="V160" s="734"/>
      <c r="W160" s="734"/>
      <c r="X160" s="734"/>
      <c r="Y160" s="734"/>
      <c r="Z160" s="734"/>
      <c r="AA160" s="734"/>
      <c r="AB160" s="734"/>
      <c r="AC160" s="734"/>
      <c r="AD160" s="734"/>
      <c r="AE160" s="734"/>
      <c r="AF160" s="734"/>
      <c r="AG160" s="734"/>
      <c r="AH160" s="734"/>
      <c r="AI160" s="734"/>
      <c r="AJ160" s="734"/>
      <c r="AK160" s="734"/>
      <c r="AL160" s="734"/>
      <c r="AM160" s="734"/>
      <c r="AN160" s="735"/>
      <c r="AO160" s="731"/>
      <c r="AP160" s="934"/>
      <c r="AQ160" s="934"/>
      <c r="AR160" s="934"/>
      <c r="AS160" s="934"/>
      <c r="AT160" s="934"/>
      <c r="AU160" s="313"/>
      <c r="AV160" s="317"/>
      <c r="AW160" s="317"/>
      <c r="AX160" s="318"/>
      <c r="AY160" s="343"/>
      <c r="AZ160" s="247"/>
      <c r="BA160" s="343"/>
      <c r="BB160" s="247"/>
      <c r="BC160" s="314"/>
      <c r="BE160" s="941"/>
      <c r="BF160" s="942"/>
      <c r="BG160" s="943"/>
      <c r="BH160" s="942"/>
      <c r="BI160" s="942"/>
      <c r="BJ160" s="942"/>
      <c r="BK160" s="942"/>
      <c r="BL160" s="942"/>
      <c r="BM160" s="944"/>
      <c r="CG160" s="246"/>
    </row>
    <row r="161" spans="2:65" ht="2.1" customHeight="1">
      <c r="D161" s="717"/>
      <c r="E161" s="747"/>
      <c r="F161" s="747"/>
      <c r="G161" s="746"/>
      <c r="H161" s="747"/>
      <c r="I161" s="747"/>
      <c r="J161" s="747"/>
      <c r="K161" s="747"/>
      <c r="L161" s="747"/>
      <c r="M161" s="747"/>
      <c r="N161" s="747"/>
      <c r="O161" s="747"/>
      <c r="P161" s="748"/>
      <c r="Q161" s="748"/>
      <c r="R161" s="749"/>
      <c r="S161" s="748"/>
      <c r="T161" s="750"/>
      <c r="U161" s="750"/>
      <c r="V161" s="750"/>
      <c r="W161" s="750"/>
      <c r="X161" s="750"/>
      <c r="Y161" s="750"/>
      <c r="Z161" s="750"/>
      <c r="AA161" s="750"/>
      <c r="AB161" s="750"/>
      <c r="AC161" s="750"/>
      <c r="AD161" s="750"/>
      <c r="AE161" s="750"/>
      <c r="AF161" s="750"/>
      <c r="AG161" s="750"/>
      <c r="AH161" s="750"/>
      <c r="AI161" s="750"/>
      <c r="AJ161" s="750"/>
      <c r="AK161" s="750"/>
      <c r="AL161" s="750"/>
      <c r="AM161" s="750"/>
      <c r="AN161" s="751"/>
      <c r="AO161" s="747"/>
      <c r="AP161" s="1464" t="s">
        <v>1296</v>
      </c>
      <c r="AQ161" s="1464"/>
      <c r="AR161" s="1464"/>
      <c r="AS161" s="1464"/>
      <c r="AT161" s="1523"/>
      <c r="AU161" s="313"/>
      <c r="AV161" s="317"/>
      <c r="AW161" s="317"/>
      <c r="AX161" s="318"/>
      <c r="AY161" s="343"/>
      <c r="AZ161" s="247"/>
      <c r="BA161" s="343"/>
      <c r="BB161" s="247"/>
      <c r="BC161" s="314"/>
      <c r="BE161" s="941"/>
      <c r="BF161" s="942"/>
      <c r="BG161" s="943"/>
      <c r="BH161" s="942"/>
      <c r="BI161" s="942"/>
      <c r="BJ161" s="942"/>
      <c r="BK161" s="942"/>
      <c r="BL161" s="942"/>
      <c r="BM161" s="944"/>
    </row>
    <row r="162" spans="2:65" ht="18" customHeight="1">
      <c r="D162" s="717"/>
      <c r="E162" s="747"/>
      <c r="F162" s="776" t="s">
        <v>686</v>
      </c>
      <c r="G162" s="746"/>
      <c r="H162" s="747"/>
      <c r="I162" s="747"/>
      <c r="J162" s="747"/>
      <c r="K162" s="747"/>
      <c r="L162" s="747"/>
      <c r="M162" s="747"/>
      <c r="N162" s="747"/>
      <c r="O162" s="747"/>
      <c r="P162" s="752" t="s">
        <v>685</v>
      </c>
      <c r="Q162" s="748"/>
      <c r="R162" s="749"/>
      <c r="S162" s="748"/>
      <c r="T162" s="750"/>
      <c r="U162" s="750"/>
      <c r="V162" s="750"/>
      <c r="W162" s="750"/>
      <c r="X162" s="750"/>
      <c r="Y162" s="750"/>
      <c r="Z162" s="750"/>
      <c r="AA162" s="750"/>
      <c r="AB162" s="750"/>
      <c r="AC162" s="750"/>
      <c r="AD162" s="750"/>
      <c r="AE162" s="750"/>
      <c r="AF162" s="750"/>
      <c r="AG162" s="750"/>
      <c r="AH162" s="750"/>
      <c r="AI162" s="750"/>
      <c r="AJ162" s="750"/>
      <c r="AK162" s="750"/>
      <c r="AL162" s="750"/>
      <c r="AM162" s="750"/>
      <c r="AN162" s="751"/>
      <c r="AO162" s="747"/>
      <c r="AP162" s="1464"/>
      <c r="AQ162" s="1464"/>
      <c r="AR162" s="1464"/>
      <c r="AS162" s="1464"/>
      <c r="AT162" s="1523"/>
      <c r="AU162" s="723" t="str">
        <f>"Prognose:"</f>
        <v>Prognose:</v>
      </c>
      <c r="AV162" s="317"/>
      <c r="AW162" s="317"/>
      <c r="AX162" s="318"/>
      <c r="AY162" s="738"/>
      <c r="AZ162" s="738"/>
      <c r="BA162" s="738"/>
      <c r="BB162" s="400"/>
      <c r="BC162" s="314"/>
      <c r="BE162" s="941" t="s">
        <v>881</v>
      </c>
      <c r="BF162" s="942"/>
      <c r="BG162" s="943"/>
      <c r="BH162" s="942"/>
      <c r="BI162" s="942"/>
      <c r="BJ162" s="1492">
        <f>IF(B118&lt;41,0,IF(((69+1)-B118)&gt;0,12,0))</f>
        <v>0</v>
      </c>
      <c r="BK162" s="1492"/>
      <c r="BL162" s="943" t="s">
        <v>878</v>
      </c>
      <c r="BM162" s="944"/>
    </row>
    <row r="163" spans="2:65" ht="2.1" customHeight="1">
      <c r="D163" s="1650" t="s">
        <v>530</v>
      </c>
      <c r="E163" s="747"/>
      <c r="F163" s="788"/>
      <c r="G163" s="789"/>
      <c r="H163" s="767"/>
      <c r="I163" s="767"/>
      <c r="J163" s="767"/>
      <c r="K163" s="767"/>
      <c r="L163" s="767"/>
      <c r="M163" s="767"/>
      <c r="N163" s="767"/>
      <c r="O163" s="767"/>
      <c r="P163" s="790"/>
      <c r="Q163" s="791"/>
      <c r="R163" s="792"/>
      <c r="S163" s="791"/>
      <c r="T163" s="793"/>
      <c r="U163" s="793"/>
      <c r="V163" s="793"/>
      <c r="W163" s="793"/>
      <c r="X163" s="793"/>
      <c r="Y163" s="793"/>
      <c r="Z163" s="793"/>
      <c r="AA163" s="793"/>
      <c r="AB163" s="793"/>
      <c r="AC163" s="793"/>
      <c r="AD163" s="793"/>
      <c r="AE163" s="793"/>
      <c r="AF163" s="793"/>
      <c r="AG163" s="793"/>
      <c r="AH163" s="793"/>
      <c r="AI163" s="793"/>
      <c r="AJ163" s="793"/>
      <c r="AK163" s="793"/>
      <c r="AL163" s="793"/>
      <c r="AM163" s="793"/>
      <c r="AN163" s="794"/>
      <c r="AO163" s="747"/>
      <c r="AP163" s="1464"/>
      <c r="AQ163" s="1464"/>
      <c r="AR163" s="1464"/>
      <c r="AS163" s="1464"/>
      <c r="AT163" s="1523"/>
      <c r="AU163" s="313"/>
      <c r="AV163" s="317"/>
      <c r="AW163" s="317"/>
      <c r="AX163" s="318"/>
      <c r="AY163" s="738"/>
      <c r="AZ163" s="738"/>
      <c r="BA163" s="738"/>
      <c r="BB163" s="400"/>
      <c r="BC163" s="314"/>
      <c r="BE163" s="941"/>
      <c r="BF163" s="942"/>
      <c r="BG163" s="943"/>
      <c r="BH163" s="942"/>
      <c r="BI163" s="942"/>
      <c r="BJ163" s="942"/>
      <c r="BK163" s="942"/>
      <c r="BL163" s="942"/>
      <c r="BM163" s="944"/>
    </row>
    <row r="164" spans="2:65" ht="12.75" customHeight="1">
      <c r="C164" s="1375" t="s">
        <v>501</v>
      </c>
      <c r="D164" s="1651"/>
      <c r="E164" s="747"/>
      <c r="F164" s="789" t="str">
        <f>IF(V21&gt;20," + Ø jährlicher Verkaufserlös aus Stromverkauf (gewichtet) "," + Ø jährlicher Verkaufserlös aus Stromverkauf ")</f>
        <v xml:space="preserve"> + Ø jährlicher Verkaufserlös aus Stromverkauf </v>
      </c>
      <c r="G164" s="767"/>
      <c r="H164" s="767"/>
      <c r="I164" s="767"/>
      <c r="J164" s="767"/>
      <c r="K164" s="767"/>
      <c r="L164" s="767"/>
      <c r="M164" s="767"/>
      <c r="N164" s="767"/>
      <c r="O164" s="767"/>
      <c r="P164" s="791"/>
      <c r="Q164" s="791"/>
      <c r="R164" s="792"/>
      <c r="S164" s="791"/>
      <c r="T164" s="793"/>
      <c r="U164" s="793"/>
      <c r="V164" s="793"/>
      <c r="W164" s="790"/>
      <c r="X164" s="767"/>
      <c r="Y164" s="795"/>
      <c r="Z164" s="767"/>
      <c r="AA164" s="767"/>
      <c r="AB164" s="1506">
        <f>SUM(AB166:AJ168)</f>
        <v>0</v>
      </c>
      <c r="AC164" s="1506"/>
      <c r="AD164" s="1506"/>
      <c r="AE164" s="1506"/>
      <c r="AF164" s="1506"/>
      <c r="AG164" s="1506"/>
      <c r="AH164" s="1506"/>
      <c r="AI164" s="1506"/>
      <c r="AJ164" s="1506"/>
      <c r="AK164" s="300" t="s">
        <v>393</v>
      </c>
      <c r="AL164" s="436"/>
      <c r="AM164" s="436"/>
      <c r="AN164" s="436"/>
      <c r="AO164" s="747"/>
      <c r="AP164" s="1464"/>
      <c r="AQ164" s="1464"/>
      <c r="AR164" s="1464"/>
      <c r="AS164" s="1464"/>
      <c r="AT164" s="1523"/>
      <c r="AU164" s="722" t="str">
        <f>"Stromverkaufspreis im 21.Jahr:"</f>
        <v>Stromverkaufspreis im 21.Jahr:</v>
      </c>
      <c r="AV164" s="317"/>
      <c r="AW164" s="317"/>
      <c r="AX164" s="318"/>
      <c r="AY164" s="343"/>
      <c r="AZ164" s="349"/>
      <c r="BA164" s="1521">
        <f>T155</f>
        <v>0.05</v>
      </c>
      <c r="BB164" s="1521"/>
      <c r="BC164" s="1522"/>
      <c r="BE164" s="951" t="s">
        <v>880</v>
      </c>
      <c r="BF164" s="952"/>
      <c r="BG164" s="953"/>
      <c r="BH164" s="952"/>
      <c r="BI164" s="952"/>
      <c r="BJ164" s="1501">
        <f>IF(B118&lt;41,0,IF(((57+1)-B118)&gt;0,((57+1)-B118),0))</f>
        <v>0</v>
      </c>
      <c r="BK164" s="1501"/>
      <c r="BL164" s="953" t="s">
        <v>878</v>
      </c>
      <c r="BM164" s="954"/>
    </row>
    <row r="165" spans="2:65" ht="2.1" customHeight="1">
      <c r="C165" s="1376"/>
      <c r="D165" s="1651"/>
      <c r="E165" s="747"/>
      <c r="F165" s="767"/>
      <c r="G165" s="767"/>
      <c r="H165" s="767"/>
      <c r="I165" s="767"/>
      <c r="J165" s="767"/>
      <c r="K165" s="767"/>
      <c r="L165" s="767"/>
      <c r="M165" s="767"/>
      <c r="N165" s="767"/>
      <c r="O165" s="767"/>
      <c r="P165" s="791"/>
      <c r="Q165" s="791"/>
      <c r="R165" s="792"/>
      <c r="S165" s="791"/>
      <c r="T165" s="793"/>
      <c r="U165" s="793"/>
      <c r="V165" s="793"/>
      <c r="W165" s="790"/>
      <c r="X165" s="767"/>
      <c r="Y165" s="795"/>
      <c r="Z165" s="767"/>
      <c r="AA165" s="767"/>
      <c r="AB165" s="767"/>
      <c r="AC165" s="767"/>
      <c r="AD165" s="767"/>
      <c r="AE165" s="767"/>
      <c r="AF165" s="767"/>
      <c r="AG165" s="767"/>
      <c r="AH165" s="767"/>
      <c r="AI165" s="767"/>
      <c r="AJ165" s="767"/>
      <c r="AK165" s="794"/>
      <c r="AL165" s="794"/>
      <c r="AM165" s="794"/>
      <c r="AN165" s="794"/>
      <c r="AO165" s="747"/>
      <c r="AP165" s="1464"/>
      <c r="AQ165" s="1464"/>
      <c r="AR165" s="1464"/>
      <c r="AS165" s="1464"/>
      <c r="AT165" s="1523"/>
      <c r="AU165" s="313"/>
      <c r="AV165" s="317"/>
      <c r="AW165" s="317"/>
      <c r="AX165" s="318"/>
      <c r="AY165" s="343"/>
      <c r="AZ165" s="349"/>
      <c r="BA165" s="708"/>
      <c r="BB165" s="708"/>
      <c r="BC165" s="314"/>
      <c r="BE165" s="965"/>
      <c r="BF165" s="938"/>
      <c r="BG165" s="939"/>
      <c r="BH165" s="938"/>
      <c r="BI165" s="938"/>
      <c r="BJ165" s="938"/>
      <c r="BK165" s="938"/>
      <c r="BL165" s="938"/>
      <c r="BM165" s="940"/>
    </row>
    <row r="166" spans="2:65" ht="12.75" customHeight="1">
      <c r="C166" s="1377"/>
      <c r="D166" s="1651"/>
      <c r="E166" s="747"/>
      <c r="F166" s="796"/>
      <c r="G166" s="797"/>
      <c r="H166" s="798" t="s">
        <v>680</v>
      </c>
      <c r="I166" s="797"/>
      <c r="J166" s="797"/>
      <c r="K166" s="797"/>
      <c r="L166" s="797"/>
      <c r="M166" s="797"/>
      <c r="N166" s="797"/>
      <c r="O166" s="799"/>
      <c r="P166" s="768"/>
      <c r="Q166" s="1572">
        <f>AB135</f>
        <v>0</v>
      </c>
      <c r="R166" s="1572"/>
      <c r="S166" s="1572"/>
      <c r="T166" s="1572"/>
      <c r="U166" s="1742">
        <f>BA174</f>
        <v>1</v>
      </c>
      <c r="V166" s="1742"/>
      <c r="W166" s="1742"/>
      <c r="X166" s="1742"/>
      <c r="Y166" s="1742"/>
      <c r="Z166" s="1742"/>
      <c r="AA166" s="768"/>
      <c r="AB166" s="1573">
        <f>AB135*BA174</f>
        <v>0</v>
      </c>
      <c r="AC166" s="1573"/>
      <c r="AD166" s="1573"/>
      <c r="AE166" s="1573"/>
      <c r="AF166" s="1573"/>
      <c r="AG166" s="1573"/>
      <c r="AH166" s="1573"/>
      <c r="AI166" s="1573"/>
      <c r="AJ166" s="1573"/>
      <c r="AK166" s="798" t="s">
        <v>681</v>
      </c>
      <c r="AL166" s="768"/>
      <c r="AM166" s="768"/>
      <c r="AN166" s="794"/>
      <c r="AO166" s="753"/>
      <c r="AP166" s="1464"/>
      <c r="AQ166" s="1464"/>
      <c r="AR166" s="1464"/>
      <c r="AS166" s="1464"/>
      <c r="AT166" s="1523"/>
      <c r="AU166" s="1053" t="str">
        <f>IF($AX$40=1," Incl. Kosten Direktvermarktung","")</f>
        <v/>
      </c>
      <c r="AV166" s="247"/>
      <c r="AW166" s="247"/>
      <c r="AX166" s="247"/>
      <c r="AY166" s="247"/>
      <c r="AZ166" s="247"/>
      <c r="BA166" s="1882">
        <f>IF($AX$40=1,BA164+T147+T149,BA164)</f>
        <v>0.05</v>
      </c>
      <c r="BB166" s="1882"/>
      <c r="BC166" s="1883"/>
      <c r="BE166" s="941" t="s">
        <v>984</v>
      </c>
      <c r="BF166" s="942"/>
      <c r="BG166" s="943"/>
      <c r="BH166" s="942"/>
      <c r="BI166" s="942"/>
      <c r="BJ166" s="942"/>
      <c r="BK166" s="967">
        <f>IF(B118&gt;40,IF(V19&lt;=BJ168,1,0),0)</f>
        <v>1</v>
      </c>
      <c r="BL166" s="966" t="str">
        <f>IF(BK166=0,"Nein","Ja")</f>
        <v>Ja</v>
      </c>
      <c r="BM166" s="944"/>
    </row>
    <row r="167" spans="2:65" ht="2.1" customHeight="1">
      <c r="D167" s="1651"/>
      <c r="E167" s="747"/>
      <c r="F167" s="796"/>
      <c r="G167" s="768"/>
      <c r="H167" s="768"/>
      <c r="I167" s="768"/>
      <c r="J167" s="768"/>
      <c r="K167" s="768"/>
      <c r="L167" s="768"/>
      <c r="M167" s="768"/>
      <c r="N167" s="768"/>
      <c r="O167" s="768"/>
      <c r="P167" s="768"/>
      <c r="Q167" s="800"/>
      <c r="R167" s="801"/>
      <c r="S167" s="768"/>
      <c r="T167" s="768"/>
      <c r="U167" s="768"/>
      <c r="V167" s="768"/>
      <c r="W167" s="798"/>
      <c r="X167" s="798"/>
      <c r="Y167" s="798"/>
      <c r="Z167" s="798"/>
      <c r="AA167" s="798"/>
      <c r="AB167" s="798"/>
      <c r="AC167" s="798"/>
      <c r="AD167" s="798"/>
      <c r="AE167" s="798"/>
      <c r="AF167" s="798"/>
      <c r="AG167" s="798"/>
      <c r="AH167" s="798"/>
      <c r="AI167" s="798"/>
      <c r="AJ167" s="798"/>
      <c r="AK167" s="798"/>
      <c r="AL167" s="802"/>
      <c r="AM167" s="802"/>
      <c r="AN167" s="802"/>
      <c r="AO167" s="753"/>
      <c r="AP167" s="1464"/>
      <c r="AQ167" s="1464"/>
      <c r="AR167" s="1464"/>
      <c r="AS167" s="1464"/>
      <c r="AT167" s="1523"/>
      <c r="AU167" s="313"/>
      <c r="AV167" s="247"/>
      <c r="AW167" s="247"/>
      <c r="AX167" s="247"/>
      <c r="AY167" s="247"/>
      <c r="AZ167" s="247"/>
      <c r="BA167" s="247"/>
      <c r="BB167" s="247"/>
      <c r="BC167" s="314"/>
      <c r="BE167" s="941"/>
      <c r="BF167" s="942"/>
      <c r="BG167" s="943"/>
      <c r="BH167" s="942"/>
      <c r="BI167" s="942"/>
      <c r="BJ167" s="942"/>
      <c r="BK167" s="942"/>
      <c r="BL167" s="942"/>
      <c r="BM167" s="944"/>
    </row>
    <row r="168" spans="2:65" ht="12.75" customHeight="1">
      <c r="D168" s="1651"/>
      <c r="E168" s="747"/>
      <c r="F168" s="768"/>
      <c r="G168" s="768"/>
      <c r="H168" s="798" t="str">
        <f>IF(V21&gt;20,"Ø Erlösanteil der Jahre 20 bis "&amp;V21&amp;":","")</f>
        <v/>
      </c>
      <c r="I168" s="768"/>
      <c r="J168" s="768"/>
      <c r="K168" s="768"/>
      <c r="L168" s="768"/>
      <c r="M168" s="768"/>
      <c r="N168" s="768"/>
      <c r="O168" s="768"/>
      <c r="P168" s="768"/>
      <c r="Q168" s="1572" t="str">
        <f>IF(V21&gt;20,AB153,"")</f>
        <v/>
      </c>
      <c r="R168" s="1572"/>
      <c r="S168" s="1572"/>
      <c r="T168" s="1572"/>
      <c r="U168" s="1742" t="str">
        <f>IF(V21&gt;20,BA175,"")</f>
        <v/>
      </c>
      <c r="V168" s="1742"/>
      <c r="W168" s="1742"/>
      <c r="X168" s="1742"/>
      <c r="Y168" s="1742"/>
      <c r="Z168" s="1742"/>
      <c r="AA168" s="768"/>
      <c r="AB168" s="1573">
        <f>IF(V21&gt;20,AB153*BA175,0)</f>
        <v>0</v>
      </c>
      <c r="AC168" s="1573"/>
      <c r="AD168" s="1573"/>
      <c r="AE168" s="1573"/>
      <c r="AF168" s="1573"/>
      <c r="AG168" s="1573"/>
      <c r="AH168" s="1573"/>
      <c r="AI168" s="1573"/>
      <c r="AJ168" s="1573"/>
      <c r="AK168" s="798" t="str">
        <f>IF(V21&gt;20,"€/Jahr","")</f>
        <v/>
      </c>
      <c r="AL168" s="768"/>
      <c r="AM168" s="768"/>
      <c r="AN168" s="768"/>
      <c r="AO168" s="753"/>
      <c r="AP168" s="1464"/>
      <c r="AQ168" s="1464"/>
      <c r="AR168" s="1464"/>
      <c r="AS168" s="1464"/>
      <c r="AT168" s="1523"/>
      <c r="AU168" s="639" t="s">
        <v>669</v>
      </c>
      <c r="AV168" s="317"/>
      <c r="AW168" s="317"/>
      <c r="AX168" s="318"/>
      <c r="AY168" s="343"/>
      <c r="AZ168" s="349"/>
      <c r="BA168" s="1884">
        <f>T157/100</f>
        <v>0</v>
      </c>
      <c r="BB168" s="1884"/>
      <c r="BC168" s="1885"/>
      <c r="BE168" s="941" t="s">
        <v>985</v>
      </c>
      <c r="BF168" s="942"/>
      <c r="BG168" s="943"/>
      <c r="BH168" s="942"/>
      <c r="BI168" s="942"/>
      <c r="BJ168" s="1499">
        <f>VLOOKUP($B118,Vergütungen!A19:AV190,Vergütungen!AU1,FALSE)</f>
        <v>20000</v>
      </c>
      <c r="BK168" s="1499"/>
      <c r="BL168" s="943" t="s">
        <v>379</v>
      </c>
      <c r="BM168" s="944"/>
    </row>
    <row r="169" spans="2:65" ht="5.0999999999999996" customHeight="1">
      <c r="D169" s="1651"/>
      <c r="E169" s="747"/>
      <c r="F169" s="775"/>
      <c r="G169" s="768"/>
      <c r="H169" s="768"/>
      <c r="I169" s="768"/>
      <c r="J169" s="768"/>
      <c r="K169" s="768"/>
      <c r="L169" s="768"/>
      <c r="M169" s="768"/>
      <c r="N169" s="768"/>
      <c r="O169" s="768"/>
      <c r="P169" s="768"/>
      <c r="Q169" s="768"/>
      <c r="R169" s="768"/>
      <c r="S169" s="768"/>
      <c r="T169" s="768"/>
      <c r="U169" s="768"/>
      <c r="V169" s="768"/>
      <c r="W169" s="768"/>
      <c r="X169" s="768"/>
      <c r="Y169" s="768"/>
      <c r="Z169" s="768"/>
      <c r="AA169" s="768"/>
      <c r="AB169" s="768"/>
      <c r="AC169" s="768"/>
      <c r="AD169" s="768"/>
      <c r="AE169" s="768"/>
      <c r="AF169" s="768"/>
      <c r="AG169" s="768"/>
      <c r="AH169" s="768"/>
      <c r="AI169" s="768"/>
      <c r="AJ169" s="768"/>
      <c r="AK169" s="768"/>
      <c r="AL169" s="768"/>
      <c r="AM169" s="768"/>
      <c r="AN169" s="768"/>
      <c r="AO169" s="753"/>
      <c r="AP169" s="1890" t="s">
        <v>1130</v>
      </c>
      <c r="AQ169" s="1890"/>
      <c r="AR169" s="1890"/>
      <c r="AS169" s="1890"/>
      <c r="AT169" s="1890"/>
      <c r="AU169" s="313"/>
      <c r="AV169" s="317"/>
      <c r="AW169" s="317"/>
      <c r="AX169" s="318"/>
      <c r="AY169" s="343"/>
      <c r="AZ169" s="349"/>
      <c r="BA169" s="708"/>
      <c r="BB169" s="708"/>
      <c r="BC169" s="314"/>
      <c r="BE169" s="941"/>
      <c r="BF169" s="942"/>
      <c r="BG169" s="943"/>
      <c r="BH169" s="942"/>
      <c r="BI169" s="942"/>
      <c r="BJ169" s="942"/>
      <c r="BK169" s="942"/>
      <c r="BL169" s="943"/>
      <c r="BM169" s="944"/>
    </row>
    <row r="170" spans="2:65" ht="12.75" customHeight="1">
      <c r="D170" s="1651"/>
      <c r="E170" s="747"/>
      <c r="F170" s="769" t="str">
        <f>" + Ø Wert des Eigenstromverbrauch / Eigenvermarktung "</f>
        <v xml:space="preserve"> + Ø Wert des Eigenstromverbrauch / Eigenvermarktung </v>
      </c>
      <c r="G170" s="767"/>
      <c r="H170" s="767"/>
      <c r="I170" s="767"/>
      <c r="J170" s="767"/>
      <c r="K170" s="767"/>
      <c r="L170" s="767"/>
      <c r="M170" s="767"/>
      <c r="N170" s="767"/>
      <c r="O170" s="767"/>
      <c r="P170" s="767"/>
      <c r="Q170" s="767"/>
      <c r="R170" s="767"/>
      <c r="S170" s="1505" t="str">
        <f>"("&amp;ROUND(BA187,4)&amp;" - "&amp;ROUND(BJ149/100,4)&amp;" = "&amp;ROUND(BA189,4)&amp;" €/kWh  x  "&amp;ROUND(AY135,0)&amp;" kWh)"</f>
        <v>(0,2 - 0 = 0,2 €/kWh  x  0 kWh)</v>
      </c>
      <c r="T170" s="1505"/>
      <c r="U170" s="1505"/>
      <c r="V170" s="1505"/>
      <c r="W170" s="1505"/>
      <c r="X170" s="1505"/>
      <c r="Y170" s="1505"/>
      <c r="Z170" s="1505"/>
      <c r="AA170" s="791"/>
      <c r="AB170" s="1506">
        <f>BA189*AY135</f>
        <v>0</v>
      </c>
      <c r="AC170" s="1506"/>
      <c r="AD170" s="1506"/>
      <c r="AE170" s="1506"/>
      <c r="AF170" s="1506"/>
      <c r="AG170" s="1506"/>
      <c r="AH170" s="1506"/>
      <c r="AI170" s="1506"/>
      <c r="AJ170" s="1506"/>
      <c r="AK170" s="300" t="s">
        <v>393</v>
      </c>
      <c r="AL170" s="436"/>
      <c r="AM170" s="436"/>
      <c r="AN170" s="436"/>
      <c r="AO170" s="747"/>
      <c r="AP170" s="1890"/>
      <c r="AQ170" s="1890"/>
      <c r="AR170" s="1890"/>
      <c r="AS170" s="1890"/>
      <c r="AT170" s="1890"/>
      <c r="AU170" s="313" t="str">
        <f>"Stromverkaufspreis nach "&amp;V21&amp;" J.:"</f>
        <v>Stromverkaufspreis nach 20 J.:</v>
      </c>
      <c r="AV170" s="317"/>
      <c r="AW170" s="317"/>
      <c r="AX170" s="318"/>
      <c r="AY170" s="343"/>
      <c r="AZ170" s="349"/>
      <c r="BA170" s="1521">
        <f>$BA$166*(POWER((1+$BA$168),$V$21-21))</f>
        <v>0.05</v>
      </c>
      <c r="BB170" s="1521"/>
      <c r="BC170" s="1522"/>
      <c r="BE170" s="941" t="s">
        <v>986</v>
      </c>
      <c r="BF170" s="942"/>
      <c r="BG170" s="943"/>
      <c r="BH170" s="942"/>
      <c r="BI170" s="942"/>
      <c r="BJ170" s="1498">
        <f>VLOOKUP($B118,Vergütungen!A19:AV190,Vergütungen!AV1,FALSE)</f>
        <v>40000000</v>
      </c>
      <c r="BK170" s="1498"/>
      <c r="BL170" s="943" t="s">
        <v>60</v>
      </c>
      <c r="BM170" s="944"/>
    </row>
    <row r="171" spans="2:65" ht="5.0999999999999996" customHeight="1">
      <c r="D171" s="1651"/>
      <c r="E171" s="747"/>
      <c r="F171" s="767"/>
      <c r="G171" s="767"/>
      <c r="H171" s="767"/>
      <c r="I171" s="767"/>
      <c r="J171" s="767"/>
      <c r="K171" s="767"/>
      <c r="L171" s="767"/>
      <c r="M171" s="767"/>
      <c r="N171" s="767"/>
      <c r="O171" s="767"/>
      <c r="P171" s="791"/>
      <c r="Q171" s="791"/>
      <c r="R171" s="792"/>
      <c r="S171" s="791"/>
      <c r="T171" s="793"/>
      <c r="U171" s="793"/>
      <c r="V171" s="793"/>
      <c r="W171" s="790"/>
      <c r="X171" s="767"/>
      <c r="Y171" s="795"/>
      <c r="Z171" s="767"/>
      <c r="AA171" s="767"/>
      <c r="AB171" s="767"/>
      <c r="AC171" s="767"/>
      <c r="AD171" s="767"/>
      <c r="AE171" s="767"/>
      <c r="AF171" s="767"/>
      <c r="AG171" s="767"/>
      <c r="AH171" s="767"/>
      <c r="AI171" s="767"/>
      <c r="AJ171" s="767"/>
      <c r="AK171" s="794"/>
      <c r="AL171" s="794"/>
      <c r="AM171" s="794"/>
      <c r="AN171" s="794"/>
      <c r="AO171" s="753"/>
      <c r="AP171" s="1890"/>
      <c r="AQ171" s="1890"/>
      <c r="AR171" s="1890"/>
      <c r="AS171" s="1890"/>
      <c r="AT171" s="1890"/>
      <c r="AU171" s="313"/>
      <c r="AV171" s="247"/>
      <c r="AW171" s="247"/>
      <c r="AX171" s="247"/>
      <c r="AY171" s="247"/>
      <c r="AZ171" s="247"/>
      <c r="BA171" s="247"/>
      <c r="BB171" s="247"/>
      <c r="BC171" s="314"/>
      <c r="BE171" s="951"/>
      <c r="BF171" s="952"/>
      <c r="BG171" s="953"/>
      <c r="BH171" s="952"/>
      <c r="BI171" s="952"/>
      <c r="BJ171" s="952"/>
      <c r="BK171" s="952"/>
      <c r="BL171" s="952"/>
      <c r="BM171" s="954"/>
    </row>
    <row r="172" spans="2:65" ht="12.75" customHeight="1">
      <c r="B172" s="707" t="s">
        <v>1281</v>
      </c>
      <c r="D172" s="1651"/>
      <c r="E172" s="747"/>
      <c r="F172" s="768"/>
      <c r="G172" s="768"/>
      <c r="H172" s="798" t="s">
        <v>682</v>
      </c>
      <c r="I172" s="798"/>
      <c r="J172" s="806"/>
      <c r="K172" s="806"/>
      <c r="L172" s="806"/>
      <c r="M172" s="806"/>
      <c r="N172" s="806"/>
      <c r="O172" s="806"/>
      <c r="P172" s="806"/>
      <c r="Q172" s="806"/>
      <c r="R172" s="806"/>
      <c r="S172" s="791"/>
      <c r="T172" s="1577">
        <v>0.2</v>
      </c>
      <c r="U172" s="1577"/>
      <c r="V172" s="768" t="s">
        <v>308</v>
      </c>
      <c r="W172" s="768"/>
      <c r="X172" s="768"/>
      <c r="Y172" s="768"/>
      <c r="Z172" s="768"/>
      <c r="AA172" s="767"/>
      <c r="AB172" s="768"/>
      <c r="AC172" s="768"/>
      <c r="AD172" s="768"/>
      <c r="AE172" s="768"/>
      <c r="AF172" s="768"/>
      <c r="AG172" s="768"/>
      <c r="AH172" s="768"/>
      <c r="AI172" s="768"/>
      <c r="AJ172" s="768"/>
      <c r="AK172" s="768"/>
      <c r="AL172" s="768"/>
      <c r="AM172" s="768"/>
      <c r="AN172" s="768"/>
      <c r="AO172" s="753"/>
      <c r="AP172" s="1890"/>
      <c r="AQ172" s="1890"/>
      <c r="AR172" s="1890"/>
      <c r="AS172" s="1890"/>
      <c r="AT172" s="1890"/>
      <c r="AU172" s="313" t="str">
        <f>"Ø Stromverkaufspreis (21-"&amp;V21&amp;" J.):"</f>
        <v>Ø Stromverkaufspreis (21-20 J.):</v>
      </c>
      <c r="AV172" s="317"/>
      <c r="AW172" s="317"/>
      <c r="AX172" s="318"/>
      <c r="AY172" s="343"/>
      <c r="AZ172" s="349"/>
      <c r="BA172" s="1521">
        <f>(BA166+BA170)/2</f>
        <v>0.05</v>
      </c>
      <c r="BB172" s="1521"/>
      <c r="BC172" s="1522"/>
      <c r="BE172" s="192"/>
      <c r="BG172" s="192"/>
    </row>
    <row r="173" spans="2:65" ht="2.1" customHeight="1">
      <c r="D173" s="1651"/>
      <c r="E173" s="747"/>
      <c r="F173" s="768"/>
      <c r="G173" s="768"/>
      <c r="H173" s="768"/>
      <c r="I173" s="768"/>
      <c r="J173" s="768"/>
      <c r="K173" s="768"/>
      <c r="L173" s="768"/>
      <c r="M173" s="768"/>
      <c r="N173" s="768"/>
      <c r="O173" s="768"/>
      <c r="P173" s="805"/>
      <c r="Q173" s="806"/>
      <c r="R173" s="806"/>
      <c r="S173" s="791"/>
      <c r="T173" s="793"/>
      <c r="U173" s="793"/>
      <c r="V173" s="793"/>
      <c r="W173" s="798"/>
      <c r="X173" s="768"/>
      <c r="Y173" s="803"/>
      <c r="Z173" s="768"/>
      <c r="AA173" s="768"/>
      <c r="AB173" s="768"/>
      <c r="AC173" s="767"/>
      <c r="AD173" s="768"/>
      <c r="AE173" s="804"/>
      <c r="AF173" s="804"/>
      <c r="AG173" s="804"/>
      <c r="AH173" s="804"/>
      <c r="AI173" s="804"/>
      <c r="AJ173" s="804"/>
      <c r="AK173" s="794"/>
      <c r="AL173" s="794"/>
      <c r="AM173" s="794"/>
      <c r="AN173" s="794"/>
      <c r="AO173" s="753"/>
      <c r="AP173" s="247"/>
      <c r="AQ173" s="247"/>
      <c r="AR173" s="247"/>
      <c r="AS173" s="247"/>
      <c r="AT173" s="247"/>
      <c r="AU173" s="313"/>
      <c r="AV173" s="317"/>
      <c r="AW173" s="317"/>
      <c r="AX173" s="318"/>
      <c r="AY173" s="343"/>
      <c r="AZ173" s="247"/>
      <c r="BA173" s="343"/>
      <c r="BB173" s="247"/>
      <c r="BC173" s="314"/>
    </row>
    <row r="174" spans="2:65" ht="12.75" customHeight="1">
      <c r="B174" s="620">
        <v>30</v>
      </c>
      <c r="D174" s="1651"/>
      <c r="E174" s="747"/>
      <c r="F174" s="805"/>
      <c r="G174" s="805"/>
      <c r="H174" s="805" t="s">
        <v>577</v>
      </c>
      <c r="I174" s="805"/>
      <c r="J174" s="805"/>
      <c r="K174" s="805"/>
      <c r="L174" s="805"/>
      <c r="M174" s="805"/>
      <c r="N174" s="805"/>
      <c r="O174" s="805"/>
      <c r="P174" s="805"/>
      <c r="Q174" s="806"/>
      <c r="R174" s="806"/>
      <c r="S174" s="791"/>
      <c r="T174" s="1871">
        <f>(B174-30)/10</f>
        <v>0</v>
      </c>
      <c r="U174" s="1872"/>
      <c r="V174" s="768"/>
      <c r="W174" s="805"/>
      <c r="X174" s="768"/>
      <c r="Y174" s="768"/>
      <c r="Z174" s="768"/>
      <c r="AA174" s="768"/>
      <c r="AB174" s="768"/>
      <c r="AC174" s="767"/>
      <c r="AD174" s="768"/>
      <c r="AE174" s="804"/>
      <c r="AF174" s="804"/>
      <c r="AG174" s="804"/>
      <c r="AH174" s="804"/>
      <c r="AI174" s="804"/>
      <c r="AJ174" s="804"/>
      <c r="AK174" s="794"/>
      <c r="AL174" s="794"/>
      <c r="AM174" s="794"/>
      <c r="AN174" s="794"/>
      <c r="AO174" s="753"/>
      <c r="AP174" s="1543" t="str">
        <f>IF(B118&gt;=136,"keine EEG-Umlage nach 01.07.2022",VLOOKUP($B$177,$A$178:$B$179,2,FALSE))</f>
        <v>keine EEG-Umlage nach 01.07.2022</v>
      </c>
      <c r="AQ174" s="1543"/>
      <c r="AR174" s="1543"/>
      <c r="AS174" s="1543"/>
      <c r="AT174" s="1543"/>
      <c r="AU174" s="639" t="str">
        <f>"Erlösanteil 0 bis 20 Jahre"</f>
        <v>Erlösanteil 0 bis 20 Jahre</v>
      </c>
      <c r="AV174" s="247"/>
      <c r="AW174" s="247"/>
      <c r="AX174" s="247"/>
      <c r="AY174" s="247"/>
      <c r="AZ174" s="247"/>
      <c r="BA174" s="1519">
        <f>20/V21</f>
        <v>1</v>
      </c>
      <c r="BB174" s="1519"/>
      <c r="BC174" s="1520"/>
    </row>
    <row r="175" spans="2:65" ht="12.75" customHeight="1">
      <c r="D175" s="1651"/>
      <c r="E175" s="747"/>
      <c r="F175" s="791"/>
      <c r="G175" s="791"/>
      <c r="H175" s="791" t="str">
        <f>"( Info: Bei einer Inflationsrate von "&amp;T174&amp;" % läge der  Strombezugspreises  nach "&amp;V21&amp;" Jahren bei rund "&amp;ROUND(BA185,4)&amp;" € / kWh )"</f>
        <v>( Info: Bei einer Inflationsrate von 0 % läge der  Strombezugspreises  nach 20 Jahren bei rund 0,2 € / kWh )</v>
      </c>
      <c r="I175" s="791"/>
      <c r="J175" s="791"/>
      <c r="K175" s="791"/>
      <c r="L175" s="791"/>
      <c r="M175" s="791"/>
      <c r="N175" s="791"/>
      <c r="O175" s="791"/>
      <c r="P175" s="791"/>
      <c r="Q175" s="791"/>
      <c r="R175" s="791"/>
      <c r="S175" s="791"/>
      <c r="T175" s="791"/>
      <c r="U175" s="791"/>
      <c r="V175" s="791"/>
      <c r="W175" s="791"/>
      <c r="X175" s="791"/>
      <c r="Y175" s="791"/>
      <c r="Z175" s="791"/>
      <c r="AA175" s="791"/>
      <c r="AB175" s="791"/>
      <c r="AC175" s="791"/>
      <c r="AD175" s="791"/>
      <c r="AE175" s="791"/>
      <c r="AF175" s="791"/>
      <c r="AG175" s="791"/>
      <c r="AH175" s="791"/>
      <c r="AI175" s="791"/>
      <c r="AJ175" s="791"/>
      <c r="AK175" s="791"/>
      <c r="AL175" s="791"/>
      <c r="AM175" s="791"/>
      <c r="AN175" s="794"/>
      <c r="AO175" s="753"/>
      <c r="AP175" s="1543"/>
      <c r="AQ175" s="1543"/>
      <c r="AR175" s="1543"/>
      <c r="AS175" s="1543"/>
      <c r="AT175" s="1543"/>
      <c r="AU175" s="639" t="str">
        <f>"Erlösanteil 21 bis "&amp;V21&amp;" Jahre"</f>
        <v>Erlösanteil 21 bis 20 Jahre</v>
      </c>
      <c r="AV175" s="729"/>
      <c r="AW175" s="729"/>
      <c r="AX175" s="318"/>
      <c r="AY175" s="724"/>
      <c r="AZ175" s="724"/>
      <c r="BA175" s="1519">
        <f>(V21-20)/V21</f>
        <v>0</v>
      </c>
      <c r="BB175" s="1519"/>
      <c r="BC175" s="1520"/>
    </row>
    <row r="176" spans="2:65" ht="2.1" customHeight="1">
      <c r="D176" s="1651"/>
      <c r="E176" s="747"/>
      <c r="F176" s="791"/>
      <c r="G176" s="791"/>
      <c r="H176" s="791"/>
      <c r="I176" s="791"/>
      <c r="J176" s="791"/>
      <c r="K176" s="791"/>
      <c r="L176" s="791"/>
      <c r="M176" s="791"/>
      <c r="N176" s="791"/>
      <c r="O176" s="791"/>
      <c r="P176" s="791"/>
      <c r="Q176" s="791"/>
      <c r="R176" s="791"/>
      <c r="S176" s="791"/>
      <c r="T176" s="791"/>
      <c r="U176" s="791"/>
      <c r="V176" s="791"/>
      <c r="W176" s="791"/>
      <c r="X176" s="791"/>
      <c r="Y176" s="791"/>
      <c r="Z176" s="791"/>
      <c r="AA176" s="791"/>
      <c r="AB176" s="791"/>
      <c r="AC176" s="791"/>
      <c r="AD176" s="791"/>
      <c r="AE176" s="791"/>
      <c r="AF176" s="791"/>
      <c r="AG176" s="791"/>
      <c r="AH176" s="791"/>
      <c r="AI176" s="791"/>
      <c r="AJ176" s="791"/>
      <c r="AK176" s="791"/>
      <c r="AL176" s="791"/>
      <c r="AM176" s="791"/>
      <c r="AN176" s="794"/>
      <c r="AO176" s="753"/>
      <c r="AP176" s="1052"/>
      <c r="AQ176" s="1052"/>
      <c r="AR176" s="1052"/>
      <c r="AS176" s="1052"/>
      <c r="AT176" s="1052"/>
      <c r="AU176" s="313"/>
      <c r="AV176" s="317"/>
      <c r="AW176" s="317"/>
      <c r="AX176" s="318"/>
      <c r="AY176" s="343"/>
      <c r="AZ176" s="247"/>
      <c r="BA176" s="343"/>
      <c r="BB176" s="247"/>
      <c r="BC176" s="314"/>
    </row>
    <row r="177" spans="1:58" ht="12.75" customHeight="1">
      <c r="A177" s="245"/>
      <c r="B177" s="620">
        <v>1</v>
      </c>
      <c r="D177" s="1651"/>
      <c r="E177" s="747"/>
      <c r="F177" s="791"/>
      <c r="G177" s="791"/>
      <c r="H177" s="798" t="str">
        <f>IF(B118&gt;40,"EEG-Umlage für Eigenverbrauch:","")</f>
        <v>EEG-Umlage für Eigenverbrauch:</v>
      </c>
      <c r="I177" s="791"/>
      <c r="J177" s="791"/>
      <c r="K177" s="791"/>
      <c r="L177" s="791"/>
      <c r="M177" s="791"/>
      <c r="N177" s="791"/>
      <c r="O177" s="791"/>
      <c r="P177" s="935" t="str">
        <f>IF(B118&gt;=136,"keine EEG-Umlage ab 1.7.22",IF(BK166=1,"Anlage kleiner "&amp;BJ168&amp;" kWp",IF(B118&gt;40,"ab 01.01.2017","")))</f>
        <v>keine EEG-Umlage ab 1.7.22</v>
      </c>
      <c r="Q177" s="791"/>
      <c r="R177" s="791"/>
      <c r="S177" s="791"/>
      <c r="T177" s="1485" t="str">
        <f>IF(BK166=1,"",IF(B118&gt;40,BJ141/100,""))</f>
        <v/>
      </c>
      <c r="U177" s="1485"/>
      <c r="V177" s="805" t="str">
        <f>IF(BK166=1,"",IF(B118&gt;40," €/ kWh",""))</f>
        <v/>
      </c>
      <c r="W177" s="791"/>
      <c r="X177" s="791" t="str">
        <f>IF(BK166=1,"",IF(B118&gt;40,"(= "&amp;BI141*100&amp;"% von "&amp;ROUND(BJ137,2)&amp;" Cent/kWh)",""))</f>
        <v/>
      </c>
      <c r="Y177" s="791"/>
      <c r="Z177" s="791"/>
      <c r="AA177" s="791"/>
      <c r="AB177" s="791"/>
      <c r="AC177" s="791"/>
      <c r="AD177" s="791"/>
      <c r="AE177" s="791"/>
      <c r="AF177" s="791"/>
      <c r="AG177" s="791" t="str">
        <f>IF(BK166=1,"",IF(B118&gt;40,"durchschnittlicher",""))</f>
        <v/>
      </c>
      <c r="AH177" s="791"/>
      <c r="AI177" s="791"/>
      <c r="AJ177" s="791"/>
      <c r="AK177" s="791"/>
      <c r="AL177" s="791"/>
      <c r="AM177" s="791"/>
      <c r="AN177" s="794"/>
      <c r="AO177" s="753"/>
      <c r="AP177" s="942"/>
      <c r="AQ177" s="942"/>
      <c r="AR177" s="942"/>
      <c r="AS177" s="942"/>
      <c r="AT177" s="942"/>
      <c r="AU177" s="313"/>
      <c r="AV177" s="247"/>
      <c r="AW177" s="247"/>
      <c r="AX177" s="247"/>
      <c r="AY177" s="247"/>
      <c r="AZ177" s="247"/>
      <c r="BA177" s="247"/>
      <c r="BB177" s="247"/>
      <c r="BC177" s="314"/>
    </row>
    <row r="178" spans="1:58" ht="12.75" customHeight="1">
      <c r="A178" s="245">
        <v>1</v>
      </c>
      <c r="B178" s="1051" t="s">
        <v>1131</v>
      </c>
      <c r="D178" s="1651"/>
      <c r="E178" s="747"/>
      <c r="F178" s="791"/>
      <c r="G178" s="791"/>
      <c r="H178" s="805" t="str">
        <f>IF(B118&gt;=136,"",IF(B118&gt;40,"(in der Kalkulation verrechnete Abzüge)",""))</f>
        <v/>
      </c>
      <c r="I178" s="791"/>
      <c r="J178" s="791"/>
      <c r="K178" s="791"/>
      <c r="L178" s="791"/>
      <c r="M178" s="791"/>
      <c r="N178" s="791"/>
      <c r="O178" s="791"/>
      <c r="P178" s="791" t="str">
        <f>IF(B118&gt;=136,"",IF(BK166=1,"&gt; von der Zahlung einer",IF(B118&gt;69,"",IF(B118&gt;40,"01.01.2016 bis 31.12.2016",""))))</f>
        <v/>
      </c>
      <c r="Q178" s="791"/>
      <c r="R178" s="791"/>
      <c r="S178" s="791"/>
      <c r="T178" s="1485" t="str">
        <f>IF(BK166=1,"",IF(B118&gt;69,"",IF(B118&gt;40,BJ143/100,"")))</f>
        <v/>
      </c>
      <c r="U178" s="1485"/>
      <c r="V178" s="805" t="str">
        <f>IF(BK166=1,"",IF(B118&gt;69,"",IF(B118&gt;40," €/ kWh","")))</f>
        <v/>
      </c>
      <c r="W178" s="791"/>
      <c r="X178" s="791" t="str">
        <f>IF(BK166=1,"",IF(B118&gt;69,"",IF(B118&gt;40,"(= "&amp;BI143*100&amp;"% von "&amp;ROUND(BJ137,2)&amp;" Cent/kWh)","")))</f>
        <v/>
      </c>
      <c r="Y178" s="791"/>
      <c r="Z178" s="791"/>
      <c r="AA178" s="791"/>
      <c r="AB178" s="791"/>
      <c r="AC178" s="791"/>
      <c r="AD178" s="791"/>
      <c r="AE178" s="791"/>
      <c r="AF178" s="791"/>
      <c r="AG178" s="791" t="str">
        <f>IF(BK166=1,"",IF(B118&gt;40,"EEG-Umlage-Abzug",""))</f>
        <v/>
      </c>
      <c r="AH178" s="791"/>
      <c r="AI178" s="791"/>
      <c r="AJ178" s="791"/>
      <c r="AK178" s="791"/>
      <c r="AL178" s="791"/>
      <c r="AM178" s="791"/>
      <c r="AN178" s="794"/>
      <c r="AO178" s="753"/>
      <c r="AP178" s="1464" t="s">
        <v>873</v>
      </c>
      <c r="AQ178" s="1464"/>
      <c r="AR178" s="1464"/>
      <c r="AS178" s="1464"/>
      <c r="AT178" s="1464"/>
      <c r="AU178" s="723" t="str">
        <f>"Prognose:"</f>
        <v>Prognose:</v>
      </c>
      <c r="AV178" s="247"/>
      <c r="AW178" s="247"/>
      <c r="AX178" s="247"/>
      <c r="AY178" s="247"/>
      <c r="AZ178" s="247"/>
      <c r="BA178" s="247"/>
      <c r="BB178" s="247"/>
      <c r="BC178" s="314"/>
    </row>
    <row r="179" spans="1:58" ht="12.75" customHeight="1">
      <c r="A179" s="245">
        <v>2</v>
      </c>
      <c r="B179" s="1051" t="s">
        <v>1132</v>
      </c>
      <c r="D179" s="1651"/>
      <c r="E179" s="747"/>
      <c r="F179" s="791"/>
      <c r="G179" s="791"/>
      <c r="H179" s="805" t="str">
        <f>IF(B118&gt;=136,"",IF(B118&gt;40,"(nach eigenem Schätzwert)",""))</f>
        <v/>
      </c>
      <c r="I179" s="791"/>
      <c r="J179" s="791"/>
      <c r="K179" s="791"/>
      <c r="L179" s="791"/>
      <c r="M179" s="791"/>
      <c r="N179" s="791"/>
      <c r="O179" s="791"/>
      <c r="P179" s="791" t="str">
        <f>IF(B118&gt;=136,"",IF(BK166=1,"   EEG-Umlage befreit",IF(B118&gt;47,"",IF(B118&gt;40,"01.08.2014 bis 31.12.2015",""))))</f>
        <v/>
      </c>
      <c r="Q179" s="791"/>
      <c r="R179" s="791"/>
      <c r="S179" s="791"/>
      <c r="T179" s="1485" t="str">
        <f>IF(BK166=1,"",IF(B118&gt;47,"",IF(B118&gt;40,BJ147/100,"")))</f>
        <v/>
      </c>
      <c r="U179" s="1485"/>
      <c r="V179" s="805" t="str">
        <f>IF(BK166=1,"",IF(B118&gt;47,"",IF(B118&gt;40," €/ kWh","")))</f>
        <v/>
      </c>
      <c r="W179" s="791"/>
      <c r="X179" s="791" t="str">
        <f>IF(BK166=1,"",IF(B118&gt;47,"",IF(B118&gt;40,"(= "&amp;BI147*100&amp;"% von "&amp;ROUND(BJ137,2)&amp;" Cent/kWh)","")))</f>
        <v/>
      </c>
      <c r="Y179" s="791"/>
      <c r="Z179" s="791"/>
      <c r="AA179" s="791"/>
      <c r="AB179" s="791"/>
      <c r="AC179" s="791"/>
      <c r="AD179" s="791"/>
      <c r="AE179" s="791"/>
      <c r="AF179" s="791"/>
      <c r="AG179" s="1505" t="str">
        <f>IF(BK166=1,"",IF(B118&gt;40,ROUND(BJ149/100,4),""))</f>
        <v/>
      </c>
      <c r="AH179" s="1505"/>
      <c r="AI179" s="1505"/>
      <c r="AJ179" s="1505"/>
      <c r="AK179" s="791" t="str">
        <f>IF(BK166=1,"",IF(B118&gt;40,"€/ kWh",""))</f>
        <v/>
      </c>
      <c r="AL179" s="791"/>
      <c r="AM179" s="791"/>
      <c r="AN179" s="794"/>
      <c r="AO179" s="753"/>
      <c r="AP179" s="1464" t="str">
        <f>"die gesamte Anlagen- laufzeit von "&amp;V21&amp;" Jahren ist ein"</f>
        <v>die gesamte Anlagen- laufzeit von 20 Jahren ist ein</v>
      </c>
      <c r="AQ179" s="1464"/>
      <c r="AR179" s="1464"/>
      <c r="AS179" s="1464"/>
      <c r="AT179" s="1464"/>
      <c r="AU179" s="722" t="str">
        <f>"Strombezugspreis in Jahr 0:"</f>
        <v>Strombezugspreis in Jahr 0:</v>
      </c>
      <c r="AV179" s="247"/>
      <c r="AW179" s="247"/>
      <c r="AX179" s="247"/>
      <c r="AY179" s="247"/>
      <c r="AZ179" s="247"/>
      <c r="BA179" s="1482">
        <f>T172</f>
        <v>0.2</v>
      </c>
      <c r="BB179" s="1482"/>
      <c r="BC179" s="1483"/>
    </row>
    <row r="180" spans="1:58" ht="2.1" customHeight="1">
      <c r="D180" s="1651"/>
      <c r="E180" s="747"/>
      <c r="F180" s="807"/>
      <c r="G180" s="807"/>
      <c r="H180" s="807"/>
      <c r="I180" s="807"/>
      <c r="J180" s="807"/>
      <c r="K180" s="807"/>
      <c r="L180" s="807"/>
      <c r="M180" s="807"/>
      <c r="N180" s="807"/>
      <c r="O180" s="807"/>
      <c r="P180" s="807"/>
      <c r="Q180" s="807"/>
      <c r="R180" s="807"/>
      <c r="S180" s="807"/>
      <c r="T180" s="807"/>
      <c r="U180" s="807"/>
      <c r="V180" s="807"/>
      <c r="W180" s="807"/>
      <c r="X180" s="807"/>
      <c r="Y180" s="807"/>
      <c r="Z180" s="807"/>
      <c r="AA180" s="807"/>
      <c r="AB180" s="807"/>
      <c r="AC180" s="807"/>
      <c r="AD180" s="807"/>
      <c r="AE180" s="807"/>
      <c r="AF180" s="807"/>
      <c r="AG180" s="807"/>
      <c r="AH180" s="807"/>
      <c r="AI180" s="807"/>
      <c r="AJ180" s="807"/>
      <c r="AK180" s="807"/>
      <c r="AL180" s="807"/>
      <c r="AM180" s="807"/>
      <c r="AN180" s="808"/>
      <c r="AO180" s="753"/>
      <c r="AP180" s="1464"/>
      <c r="AQ180" s="1464"/>
      <c r="AR180" s="1464"/>
      <c r="AS180" s="1464"/>
      <c r="AT180" s="1464"/>
      <c r="AU180" s="313"/>
      <c r="AV180" s="247"/>
      <c r="AW180" s="247"/>
      <c r="AX180" s="247"/>
      <c r="AY180" s="247"/>
      <c r="AZ180" s="247"/>
      <c r="BA180" s="247"/>
      <c r="BB180" s="247"/>
      <c r="BC180" s="314"/>
      <c r="BD180" s="933"/>
      <c r="BE180" s="401"/>
      <c r="BF180" s="247"/>
    </row>
    <row r="181" spans="1:58" ht="3.2" customHeight="1">
      <c r="D181" s="1651"/>
      <c r="E181" s="747"/>
      <c r="F181" s="755"/>
      <c r="G181" s="755"/>
      <c r="H181" s="755"/>
      <c r="I181" s="755"/>
      <c r="J181" s="755"/>
      <c r="K181" s="755"/>
      <c r="L181" s="755"/>
      <c r="M181" s="755"/>
      <c r="N181" s="755"/>
      <c r="O181" s="755"/>
      <c r="P181" s="756"/>
      <c r="Q181" s="756"/>
      <c r="R181" s="757"/>
      <c r="S181" s="756"/>
      <c r="T181" s="756"/>
      <c r="U181" s="756"/>
      <c r="V181" s="770"/>
      <c r="W181" s="771"/>
      <c r="X181" s="755"/>
      <c r="Y181" s="772"/>
      <c r="Z181" s="755"/>
      <c r="AA181" s="755"/>
      <c r="AB181" s="755"/>
      <c r="AC181" s="755"/>
      <c r="AD181" s="755"/>
      <c r="AE181" s="755"/>
      <c r="AF181" s="755"/>
      <c r="AG181" s="755"/>
      <c r="AH181" s="755"/>
      <c r="AI181" s="755"/>
      <c r="AJ181" s="755"/>
      <c r="AK181" s="773"/>
      <c r="AL181" s="773"/>
      <c r="AM181" s="773"/>
      <c r="AN181" s="773"/>
      <c r="AO181" s="753"/>
      <c r="AP181" s="1464"/>
      <c r="AQ181" s="1464"/>
      <c r="AR181" s="1464"/>
      <c r="AS181" s="1464"/>
      <c r="AT181" s="1464"/>
      <c r="AU181" s="313"/>
      <c r="AV181" s="247"/>
      <c r="AW181" s="247"/>
      <c r="AX181" s="247"/>
      <c r="AY181" s="247"/>
      <c r="AZ181" s="247"/>
      <c r="BA181" s="247"/>
      <c r="BB181" s="247"/>
      <c r="BC181" s="314"/>
      <c r="BD181" s="933"/>
      <c r="BE181" s="401"/>
      <c r="BF181" s="247"/>
    </row>
    <row r="182" spans="1:58" ht="12.75" customHeight="1">
      <c r="D182" s="1652"/>
      <c r="E182" s="747"/>
      <c r="F182" s="769" t="str">
        <f>" Leistungen (Summe; im Durchschnitt über die gesamte Nutzungsdauer von "&amp;V21&amp;" Jahre)"</f>
        <v xml:space="preserve"> Leistungen (Summe; im Durchschnitt über die gesamte Nutzungsdauer von 20 Jahre)</v>
      </c>
      <c r="G182" s="767"/>
      <c r="H182" s="767"/>
      <c r="I182" s="767"/>
      <c r="J182" s="767"/>
      <c r="K182" s="767"/>
      <c r="L182" s="767"/>
      <c r="M182" s="767"/>
      <c r="N182" s="767"/>
      <c r="O182" s="767"/>
      <c r="P182" s="767"/>
      <c r="Q182" s="767"/>
      <c r="R182" s="767"/>
      <c r="S182" s="767"/>
      <c r="T182" s="767"/>
      <c r="U182" s="767"/>
      <c r="V182" s="767"/>
      <c r="W182" s="767"/>
      <c r="X182" s="767"/>
      <c r="Y182" s="767"/>
      <c r="Z182" s="767"/>
      <c r="AA182" s="767"/>
      <c r="AB182" s="1874">
        <f>AB164+AB170</f>
        <v>0</v>
      </c>
      <c r="AC182" s="1874"/>
      <c r="AD182" s="1874"/>
      <c r="AE182" s="1874"/>
      <c r="AF182" s="1874"/>
      <c r="AG182" s="1874"/>
      <c r="AH182" s="1874"/>
      <c r="AI182" s="1874"/>
      <c r="AJ182" s="1874"/>
      <c r="AK182" s="718" t="s">
        <v>393</v>
      </c>
      <c r="AL182" s="436"/>
      <c r="AM182" s="436"/>
      <c r="AN182" s="436"/>
      <c r="AO182" s="753"/>
      <c r="AP182" s="1464"/>
      <c r="AQ182" s="1464"/>
      <c r="AR182" s="1464"/>
      <c r="AS182" s="1464"/>
      <c r="AT182" s="1464"/>
      <c r="AU182" s="639" t="s">
        <v>669</v>
      </c>
      <c r="AV182" s="247"/>
      <c r="AW182" s="247"/>
      <c r="AX182" s="247"/>
      <c r="AY182" s="247"/>
      <c r="AZ182" s="247"/>
      <c r="BA182" s="1884">
        <f>T174/100</f>
        <v>0</v>
      </c>
      <c r="BB182" s="1884"/>
      <c r="BC182" s="1885"/>
      <c r="BD182" s="401"/>
      <c r="BE182" s="401"/>
      <c r="BF182" s="247"/>
    </row>
    <row r="183" spans="1:58" ht="2.1" customHeight="1">
      <c r="D183" s="777"/>
      <c r="E183" s="747"/>
      <c r="F183" s="758"/>
      <c r="G183" s="758"/>
      <c r="H183" s="758"/>
      <c r="I183" s="758"/>
      <c r="J183" s="758"/>
      <c r="K183" s="758"/>
      <c r="L183" s="758"/>
      <c r="M183" s="758"/>
      <c r="N183" s="758"/>
      <c r="O183" s="758"/>
      <c r="P183" s="758"/>
      <c r="Q183" s="758"/>
      <c r="R183" s="758"/>
      <c r="S183" s="758"/>
      <c r="T183" s="758"/>
      <c r="U183" s="758"/>
      <c r="V183" s="758"/>
      <c r="W183" s="758"/>
      <c r="X183" s="758"/>
      <c r="Y183" s="758"/>
      <c r="Z183" s="758"/>
      <c r="AA183" s="758"/>
      <c r="AB183" s="758"/>
      <c r="AC183" s="758"/>
      <c r="AD183" s="758"/>
      <c r="AE183" s="758"/>
      <c r="AF183" s="758"/>
      <c r="AG183" s="758"/>
      <c r="AH183" s="758"/>
      <c r="AI183" s="758"/>
      <c r="AJ183" s="758"/>
      <c r="AK183" s="758"/>
      <c r="AL183" s="758"/>
      <c r="AM183" s="758"/>
      <c r="AN183" s="758"/>
      <c r="AO183" s="753"/>
      <c r="AP183" s="1464"/>
      <c r="AQ183" s="1464"/>
      <c r="AR183" s="1464"/>
      <c r="AS183" s="1464"/>
      <c r="AT183" s="1464"/>
      <c r="AU183" s="313"/>
      <c r="AV183" s="247"/>
      <c r="AW183" s="247"/>
      <c r="AX183" s="247"/>
      <c r="AY183" s="247"/>
      <c r="AZ183" s="247"/>
      <c r="BA183" s="247"/>
      <c r="BB183" s="247"/>
      <c r="BC183" s="314"/>
      <c r="BD183" s="401"/>
      <c r="BE183" s="401"/>
      <c r="BF183" s="247"/>
    </row>
    <row r="184" spans="1:58" ht="2.1" customHeight="1">
      <c r="D184" s="267"/>
      <c r="E184" s="747"/>
      <c r="F184" s="747"/>
      <c r="G184" s="747"/>
      <c r="H184" s="747"/>
      <c r="I184" s="747"/>
      <c r="J184" s="747"/>
      <c r="K184" s="747"/>
      <c r="L184" s="747"/>
      <c r="M184" s="747"/>
      <c r="N184" s="747"/>
      <c r="O184" s="747"/>
      <c r="P184" s="747"/>
      <c r="Q184" s="747"/>
      <c r="R184" s="747"/>
      <c r="S184" s="744"/>
      <c r="T184" s="744"/>
      <c r="U184" s="744"/>
      <c r="V184" s="744"/>
      <c r="W184" s="767"/>
      <c r="X184" s="767"/>
      <c r="Y184" s="767"/>
      <c r="Z184" s="767"/>
      <c r="AA184" s="767"/>
      <c r="AB184" s="767"/>
      <c r="AC184" s="767"/>
      <c r="AD184" s="767"/>
      <c r="AE184" s="767"/>
      <c r="AF184" s="767"/>
      <c r="AG184" s="767"/>
      <c r="AH184" s="767"/>
      <c r="AI184" s="767"/>
      <c r="AJ184" s="767"/>
      <c r="AK184" s="767"/>
      <c r="AL184" s="767"/>
      <c r="AM184" s="767"/>
      <c r="AN184" s="767"/>
      <c r="AO184" s="753"/>
      <c r="AP184" s="1888" t="s">
        <v>1295</v>
      </c>
      <c r="AQ184" s="1889"/>
      <c r="AR184" s="1889"/>
      <c r="AS184" s="1889"/>
      <c r="AT184" s="1889"/>
      <c r="AU184" s="936"/>
      <c r="AV184" s="933"/>
      <c r="AW184" s="933"/>
      <c r="AX184" s="933"/>
      <c r="AY184" s="933"/>
      <c r="AZ184" s="933"/>
      <c r="BA184" s="933"/>
      <c r="BB184" s="933"/>
      <c r="BC184" s="937"/>
      <c r="BD184" s="401"/>
      <c r="BE184" s="401"/>
      <c r="BF184" s="247"/>
    </row>
    <row r="185" spans="1:58" ht="12.75" customHeight="1">
      <c r="C185" s="1375" t="s">
        <v>501</v>
      </c>
      <c r="D185" s="1650" t="s">
        <v>394</v>
      </c>
      <c r="E185" s="747"/>
      <c r="F185" s="809" t="s">
        <v>674</v>
      </c>
      <c r="G185" s="768"/>
      <c r="H185" s="768"/>
      <c r="I185" s="768"/>
      <c r="J185" s="768"/>
      <c r="K185" s="768"/>
      <c r="L185" s="768"/>
      <c r="M185" s="768"/>
      <c r="N185" s="768"/>
      <c r="O185" s="768"/>
      <c r="P185" s="768"/>
      <c r="Q185" s="768"/>
      <c r="R185" s="768"/>
      <c r="S185" s="810" t="s">
        <v>413</v>
      </c>
      <c r="T185" s="1551"/>
      <c r="U185" s="1551"/>
      <c r="V185" s="1551"/>
      <c r="W185" s="768" t="s">
        <v>381</v>
      </c>
      <c r="X185" s="768"/>
      <c r="Y185" s="768"/>
      <c r="Z185" s="768"/>
      <c r="AA185" s="768"/>
      <c r="AB185" s="768"/>
      <c r="AC185" s="768"/>
      <c r="AD185" s="768"/>
      <c r="AE185" s="768"/>
      <c r="AF185" s="768"/>
      <c r="AG185" s="768"/>
      <c r="AH185" s="768"/>
      <c r="AI185" s="768"/>
      <c r="AJ185" s="768"/>
      <c r="AK185" s="768"/>
      <c r="AL185" s="768"/>
      <c r="AM185" s="768"/>
      <c r="AN185" s="768"/>
      <c r="AO185" s="753"/>
      <c r="AP185" s="1889"/>
      <c r="AQ185" s="1889"/>
      <c r="AR185" s="1889"/>
      <c r="AS185" s="1889"/>
      <c r="AT185" s="1889"/>
      <c r="AU185" s="722" t="str">
        <f>"Strombezugspreis nach "&amp;V21&amp;" J.:"</f>
        <v>Strombezugspreis nach 20 J.:</v>
      </c>
      <c r="AV185" s="247"/>
      <c r="AW185" s="247"/>
      <c r="AX185" s="247"/>
      <c r="AY185" s="247"/>
      <c r="AZ185" s="247"/>
      <c r="BA185" s="1521">
        <f>$BA$179*(POWER((1+$BA$182),$V$21))</f>
        <v>0.2</v>
      </c>
      <c r="BB185" s="1521"/>
      <c r="BC185" s="1522"/>
      <c r="BD185" s="401"/>
      <c r="BE185" s="401"/>
      <c r="BF185" s="247"/>
    </row>
    <row r="186" spans="1:58" ht="2.1" customHeight="1">
      <c r="C186" s="1376"/>
      <c r="D186" s="1651"/>
      <c r="E186" s="747"/>
      <c r="F186" s="768"/>
      <c r="G186" s="768"/>
      <c r="H186" s="768"/>
      <c r="I186" s="768"/>
      <c r="J186" s="768"/>
      <c r="K186" s="768"/>
      <c r="L186" s="768"/>
      <c r="M186" s="768"/>
      <c r="N186" s="768"/>
      <c r="O186" s="768"/>
      <c r="P186" s="768"/>
      <c r="Q186" s="768"/>
      <c r="R186" s="768"/>
      <c r="S186" s="810"/>
      <c r="T186" s="768"/>
      <c r="U186" s="768"/>
      <c r="V186" s="768"/>
      <c r="W186" s="768"/>
      <c r="X186" s="768"/>
      <c r="Y186" s="768"/>
      <c r="Z186" s="768"/>
      <c r="AA186" s="768"/>
      <c r="AB186" s="768"/>
      <c r="AC186" s="767"/>
      <c r="AD186" s="768"/>
      <c r="AE186" s="768"/>
      <c r="AF186" s="768"/>
      <c r="AG186" s="768"/>
      <c r="AH186" s="768"/>
      <c r="AI186" s="768"/>
      <c r="AJ186" s="768"/>
      <c r="AK186" s="768"/>
      <c r="AL186" s="768"/>
      <c r="AM186" s="768"/>
      <c r="AN186" s="768"/>
      <c r="AO186" s="753"/>
      <c r="AP186" s="1464" t="str">
        <f>"für die durchschnittliche Höhe der EEG-Umlage in den "&amp;V21&amp;" Jahren Laufzeit festzulegen, da sich die Höhe der EEG-Umlage  jährlich verändert."</f>
        <v>für die durchschnittliche Höhe der EEG-Umlage in den 20 Jahren Laufzeit festzulegen, da sich die Höhe der EEG-Umlage  jährlich verändert.</v>
      </c>
      <c r="AQ186" s="1464"/>
      <c r="AR186" s="1464"/>
      <c r="AS186" s="1464"/>
      <c r="AT186" s="1464"/>
      <c r="AU186" s="722"/>
      <c r="AV186" s="247"/>
      <c r="AW186" s="247"/>
      <c r="AX186" s="247"/>
      <c r="AY186" s="247"/>
      <c r="AZ186" s="247"/>
      <c r="BA186" s="1043"/>
      <c r="BB186" s="1043"/>
      <c r="BC186" s="1044"/>
      <c r="BD186" s="401"/>
      <c r="BE186" s="401"/>
      <c r="BF186" s="247"/>
    </row>
    <row r="187" spans="1:58" ht="12.75" customHeight="1">
      <c r="C187" s="1377"/>
      <c r="D187" s="1651"/>
      <c r="E187" s="747"/>
      <c r="F187" s="811" t="s">
        <v>602</v>
      </c>
      <c r="G187" s="812"/>
      <c r="H187" s="812"/>
      <c r="I187" s="812"/>
      <c r="J187" s="812"/>
      <c r="K187" s="812"/>
      <c r="L187" s="812"/>
      <c r="M187" s="812"/>
      <c r="N187" s="812"/>
      <c r="O187" s="812"/>
      <c r="P187" s="812"/>
      <c r="Q187" s="812"/>
      <c r="R187" s="812"/>
      <c r="S187" s="813" t="s">
        <v>430</v>
      </c>
      <c r="T187" s="1551"/>
      <c r="U187" s="1551"/>
      <c r="V187" s="1551"/>
      <c r="W187" s="812" t="s">
        <v>380</v>
      </c>
      <c r="X187" s="812"/>
      <c r="Y187" s="812"/>
      <c r="Z187" s="812"/>
      <c r="AA187" s="812"/>
      <c r="AB187" s="1593">
        <f>IF(T185&gt;0,T185/100*$T$33*(-1),T187*(-1))</f>
        <v>0</v>
      </c>
      <c r="AC187" s="1593"/>
      <c r="AD187" s="1593"/>
      <c r="AE187" s="1593"/>
      <c r="AF187" s="1593"/>
      <c r="AG187" s="1593"/>
      <c r="AH187" s="1593"/>
      <c r="AI187" s="1593"/>
      <c r="AJ187" s="1593"/>
      <c r="AK187" s="823" t="s">
        <v>393</v>
      </c>
      <c r="AL187" s="812"/>
      <c r="AM187" s="812"/>
      <c r="AN187" s="768"/>
      <c r="AO187" s="753"/>
      <c r="AP187" s="1464"/>
      <c r="AQ187" s="1464"/>
      <c r="AR187" s="1464"/>
      <c r="AS187" s="1464"/>
      <c r="AT187" s="1464"/>
      <c r="AU187" s="931" t="str">
        <f>"Ø Strombezugspreis (0-"&amp;V21&amp;" J.):"</f>
        <v>Ø Strombezugspreis (0-20 J.):</v>
      </c>
      <c r="AV187" s="317"/>
      <c r="AW187" s="317"/>
      <c r="AX187" s="318"/>
      <c r="AY187" s="343"/>
      <c r="AZ187" s="343"/>
      <c r="BA187" s="1482">
        <f>(BA179+BA185)/2</f>
        <v>0.2</v>
      </c>
      <c r="BB187" s="1482"/>
      <c r="BC187" s="1483"/>
      <c r="BD187" s="401"/>
      <c r="BE187" s="401"/>
      <c r="BF187" s="247"/>
    </row>
    <row r="188" spans="1:58" ht="2.1" customHeight="1">
      <c r="D188" s="1651"/>
      <c r="E188" s="747"/>
      <c r="F188" s="768"/>
      <c r="G188" s="768"/>
      <c r="H188" s="768"/>
      <c r="I188" s="768"/>
      <c r="J188" s="768"/>
      <c r="K188" s="768"/>
      <c r="L188" s="768"/>
      <c r="M188" s="768"/>
      <c r="N188" s="768"/>
      <c r="O188" s="768"/>
      <c r="P188" s="768"/>
      <c r="Q188" s="768"/>
      <c r="R188" s="768"/>
      <c r="S188" s="768"/>
      <c r="T188" s="768"/>
      <c r="U188" s="768"/>
      <c r="V188" s="768"/>
      <c r="W188" s="768"/>
      <c r="X188" s="768"/>
      <c r="Y188" s="768"/>
      <c r="Z188" s="768"/>
      <c r="AA188" s="768"/>
      <c r="AB188" s="768"/>
      <c r="AC188" s="767"/>
      <c r="AD188" s="768"/>
      <c r="AE188" s="768"/>
      <c r="AF188" s="768"/>
      <c r="AG188" s="768"/>
      <c r="AH188" s="768"/>
      <c r="AI188" s="768"/>
      <c r="AJ188" s="768"/>
      <c r="AK188" s="768"/>
      <c r="AL188" s="768"/>
      <c r="AM188" s="768"/>
      <c r="AN188" s="768"/>
      <c r="AO188" s="753"/>
      <c r="AP188" s="1464"/>
      <c r="AQ188" s="1464"/>
      <c r="AR188" s="1464"/>
      <c r="AS188" s="1464"/>
      <c r="AT188" s="1464"/>
      <c r="AU188" s="936"/>
      <c r="AV188" s="933"/>
      <c r="AW188" s="933"/>
      <c r="AX188" s="933"/>
      <c r="AY188" s="933"/>
      <c r="AZ188" s="933"/>
      <c r="BA188" s="933"/>
      <c r="BB188" s="933"/>
      <c r="BC188" s="937"/>
      <c r="BD188" s="401"/>
      <c r="BE188" s="401"/>
      <c r="BF188" s="247"/>
    </row>
    <row r="189" spans="1:58" ht="12.75" customHeight="1">
      <c r="D189" s="1651"/>
      <c r="E189" s="747"/>
      <c r="F189" s="809" t="s">
        <v>675</v>
      </c>
      <c r="G189" s="768"/>
      <c r="H189" s="768"/>
      <c r="I189" s="768"/>
      <c r="J189" s="768"/>
      <c r="K189" s="768"/>
      <c r="L189" s="768"/>
      <c r="M189" s="768"/>
      <c r="N189" s="768"/>
      <c r="O189" s="768"/>
      <c r="P189" s="768"/>
      <c r="Q189" s="768"/>
      <c r="R189" s="768"/>
      <c r="S189" s="810" t="s">
        <v>413</v>
      </c>
      <c r="T189" s="1551"/>
      <c r="U189" s="1551"/>
      <c r="V189" s="1551"/>
      <c r="W189" s="768" t="s">
        <v>381</v>
      </c>
      <c r="X189" s="768"/>
      <c r="Y189" s="768"/>
      <c r="Z189" s="768"/>
      <c r="AA189" s="768"/>
      <c r="AB189" s="768"/>
      <c r="AC189" s="768"/>
      <c r="AD189" s="768"/>
      <c r="AE189" s="768"/>
      <c r="AF189" s="768"/>
      <c r="AG189" s="768"/>
      <c r="AH189" s="768"/>
      <c r="AI189" s="768"/>
      <c r="AJ189" s="768"/>
      <c r="AK189" s="768"/>
      <c r="AL189" s="768"/>
      <c r="AM189" s="768"/>
      <c r="AN189" s="768"/>
      <c r="AO189" s="753"/>
      <c r="AP189" s="1464"/>
      <c r="AQ189" s="1464"/>
      <c r="AR189" s="1464"/>
      <c r="AS189" s="1464"/>
      <c r="AT189" s="1464"/>
      <c r="AU189" s="639" t="s">
        <v>884</v>
      </c>
      <c r="AV189" s="247"/>
      <c r="AW189" s="247"/>
      <c r="AX189" s="247"/>
      <c r="AY189" s="247"/>
      <c r="AZ189" s="247"/>
      <c r="BA189" s="1482">
        <f>IF(B118&gt;40,BA187-(BJ149/100),BA187)</f>
        <v>0.2</v>
      </c>
      <c r="BB189" s="1482"/>
      <c r="BC189" s="1483"/>
      <c r="BD189" s="401"/>
      <c r="BE189" s="401"/>
      <c r="BF189" s="247"/>
    </row>
    <row r="190" spans="1:58" ht="2.1" customHeight="1">
      <c r="D190" s="1651"/>
      <c r="E190" s="747"/>
      <c r="F190" s="768"/>
      <c r="G190" s="768"/>
      <c r="H190" s="768"/>
      <c r="I190" s="768"/>
      <c r="J190" s="768"/>
      <c r="K190" s="768"/>
      <c r="L190" s="768"/>
      <c r="M190" s="768"/>
      <c r="N190" s="768"/>
      <c r="O190" s="768"/>
      <c r="P190" s="768"/>
      <c r="Q190" s="768"/>
      <c r="R190" s="768"/>
      <c r="S190" s="810"/>
      <c r="T190" s="768"/>
      <c r="U190" s="768"/>
      <c r="V190" s="768"/>
      <c r="W190" s="768"/>
      <c r="X190" s="768"/>
      <c r="Y190" s="768"/>
      <c r="Z190" s="768"/>
      <c r="AA190" s="768"/>
      <c r="AB190" s="768"/>
      <c r="AC190" s="767"/>
      <c r="AD190" s="768"/>
      <c r="AE190" s="768"/>
      <c r="AF190" s="768"/>
      <c r="AG190" s="768"/>
      <c r="AH190" s="768"/>
      <c r="AI190" s="768"/>
      <c r="AJ190" s="768"/>
      <c r="AK190" s="768"/>
      <c r="AL190" s="768"/>
      <c r="AM190" s="768"/>
      <c r="AN190" s="768"/>
      <c r="AO190" s="753"/>
      <c r="AP190" s="1464"/>
      <c r="AQ190" s="1464"/>
      <c r="AR190" s="1464"/>
      <c r="AS190" s="1464"/>
      <c r="AT190" s="1464"/>
      <c r="AU190" s="936"/>
      <c r="AV190" s="933"/>
      <c r="AW190" s="933"/>
      <c r="AX190" s="933"/>
      <c r="AY190" s="933"/>
      <c r="AZ190" s="933"/>
      <c r="BA190" s="933"/>
      <c r="BB190" s="933"/>
      <c r="BC190" s="937"/>
    </row>
    <row r="191" spans="1:58" ht="12.75" customHeight="1">
      <c r="D191" s="1651"/>
      <c r="E191" s="747"/>
      <c r="F191" s="811" t="s">
        <v>602</v>
      </c>
      <c r="G191" s="812"/>
      <c r="H191" s="812"/>
      <c r="I191" s="812"/>
      <c r="J191" s="812"/>
      <c r="K191" s="812"/>
      <c r="L191" s="812"/>
      <c r="M191" s="812"/>
      <c r="N191" s="812"/>
      <c r="O191" s="812"/>
      <c r="P191" s="812"/>
      <c r="Q191" s="812"/>
      <c r="R191" s="812"/>
      <c r="S191" s="813" t="s">
        <v>430</v>
      </c>
      <c r="T191" s="1551"/>
      <c r="U191" s="1551"/>
      <c r="V191" s="1551"/>
      <c r="W191" s="812" t="s">
        <v>380</v>
      </c>
      <c r="X191" s="812"/>
      <c r="Y191" s="812"/>
      <c r="Z191" s="812"/>
      <c r="AA191" s="812"/>
      <c r="AB191" s="1593">
        <f>IF(T189&gt;0,T189/100*$T$33*(-1),T191*(-1))</f>
        <v>0</v>
      </c>
      <c r="AC191" s="1593"/>
      <c r="AD191" s="1593"/>
      <c r="AE191" s="1593"/>
      <c r="AF191" s="1593"/>
      <c r="AG191" s="1593"/>
      <c r="AH191" s="1593"/>
      <c r="AI191" s="1593"/>
      <c r="AJ191" s="1593"/>
      <c r="AK191" s="823" t="s">
        <v>393</v>
      </c>
      <c r="AL191" s="812"/>
      <c r="AM191" s="812"/>
      <c r="AN191" s="768"/>
      <c r="AO191" s="753"/>
      <c r="AP191" s="1464"/>
      <c r="AQ191" s="1464"/>
      <c r="AR191" s="1464"/>
      <c r="AS191" s="1464"/>
      <c r="AT191" s="1464"/>
      <c r="AU191" s="745" t="s">
        <v>310</v>
      </c>
      <c r="AV191" s="350"/>
      <c r="AW191" s="350"/>
      <c r="AX191" s="350"/>
      <c r="AY191" s="1886">
        <f>ROUND(X118,0)</f>
        <v>0</v>
      </c>
      <c r="AZ191" s="1886"/>
      <c r="BA191" s="1886"/>
      <c r="BB191" s="350" t="s">
        <v>387</v>
      </c>
      <c r="BC191" s="351"/>
    </row>
    <row r="192" spans="1:58" ht="2.1" customHeight="1">
      <c r="D192" s="1651"/>
      <c r="E192" s="747"/>
      <c r="F192" s="768"/>
      <c r="G192" s="768"/>
      <c r="H192" s="768"/>
      <c r="I192" s="768"/>
      <c r="J192" s="768"/>
      <c r="K192" s="768"/>
      <c r="L192" s="768"/>
      <c r="M192" s="768"/>
      <c r="N192" s="768"/>
      <c r="O192" s="768"/>
      <c r="P192" s="768"/>
      <c r="Q192" s="768"/>
      <c r="R192" s="768"/>
      <c r="S192" s="768"/>
      <c r="T192" s="768"/>
      <c r="U192" s="768"/>
      <c r="V192" s="768"/>
      <c r="W192" s="768"/>
      <c r="X192" s="768"/>
      <c r="Y192" s="768"/>
      <c r="Z192" s="768"/>
      <c r="AA192" s="768"/>
      <c r="AB192" s="768"/>
      <c r="AC192" s="767"/>
      <c r="AD192" s="768"/>
      <c r="AE192" s="768"/>
      <c r="AF192" s="768"/>
      <c r="AG192" s="768"/>
      <c r="AH192" s="768"/>
      <c r="AI192" s="768"/>
      <c r="AJ192" s="768"/>
      <c r="AK192" s="768"/>
      <c r="AL192" s="768"/>
      <c r="AM192" s="768"/>
      <c r="AN192" s="768"/>
      <c r="AO192" s="753"/>
      <c r="AP192" s="1464"/>
      <c r="AQ192" s="1464"/>
      <c r="AR192" s="1464"/>
      <c r="AS192" s="1464"/>
      <c r="AT192" s="1464"/>
      <c r="AU192" s="313"/>
      <c r="AV192" s="247"/>
      <c r="AW192" s="247"/>
      <c r="AX192" s="247"/>
      <c r="AY192" s="247"/>
      <c r="AZ192" s="247"/>
      <c r="BA192" s="247"/>
      <c r="BB192" s="247"/>
      <c r="BC192" s="314"/>
    </row>
    <row r="193" spans="2:57" ht="12.75" customHeight="1">
      <c r="D193" s="1651"/>
      <c r="E193" s="747"/>
      <c r="F193" s="809" t="s">
        <v>676</v>
      </c>
      <c r="G193" s="768"/>
      <c r="H193" s="768"/>
      <c r="I193" s="768"/>
      <c r="J193" s="768"/>
      <c r="K193" s="768"/>
      <c r="L193" s="1633" t="s">
        <v>603</v>
      </c>
      <c r="M193" s="1634"/>
      <c r="N193" s="1634"/>
      <c r="O193" s="1634"/>
      <c r="P193" s="1634"/>
      <c r="Q193" s="1634"/>
      <c r="R193" s="1634"/>
      <c r="S193" s="810"/>
      <c r="T193" s="1551"/>
      <c r="U193" s="1551"/>
      <c r="V193" s="1551"/>
      <c r="W193" s="798" t="s">
        <v>380</v>
      </c>
      <c r="X193" s="768"/>
      <c r="Y193" s="768"/>
      <c r="Z193" s="768"/>
      <c r="AA193" s="768"/>
      <c r="AB193" s="768"/>
      <c r="AC193" s="767"/>
      <c r="AD193" s="768"/>
      <c r="AE193" s="768"/>
      <c r="AF193" s="768"/>
      <c r="AG193" s="768"/>
      <c r="AH193" s="768"/>
      <c r="AI193" s="768"/>
      <c r="AJ193" s="768"/>
      <c r="AK193" s="768"/>
      <c r="AL193" s="768"/>
      <c r="AM193" s="768"/>
      <c r="AN193" s="768"/>
      <c r="AO193" s="753"/>
      <c r="AP193" s="1464"/>
      <c r="AQ193" s="1464"/>
      <c r="AR193" s="1464"/>
      <c r="AS193" s="1464"/>
      <c r="AT193" s="1464"/>
      <c r="AU193" s="932"/>
      <c r="AV193" s="1880">
        <f>SUM(AV137:AW145)</f>
        <v>100</v>
      </c>
      <c r="AW193" s="1881"/>
      <c r="AX193" s="242" t="s">
        <v>381</v>
      </c>
      <c r="AY193" s="1776">
        <f>SUM(AY137:BA145)</f>
        <v>0</v>
      </c>
      <c r="AZ193" s="1776"/>
      <c r="BA193" s="1776"/>
      <c r="BB193" s="352" t="s">
        <v>387</v>
      </c>
      <c r="BC193" s="353"/>
    </row>
    <row r="194" spans="2:57" ht="2.1" customHeight="1">
      <c r="D194" s="1651"/>
      <c r="E194" s="747"/>
      <c r="F194" s="815"/>
      <c r="G194" s="768"/>
      <c r="H194" s="768"/>
      <c r="I194" s="768"/>
      <c r="J194" s="768"/>
      <c r="K194" s="768"/>
      <c r="L194" s="768"/>
      <c r="M194" s="768"/>
      <c r="N194" s="768"/>
      <c r="O194" s="768"/>
      <c r="P194" s="768"/>
      <c r="Q194" s="768"/>
      <c r="R194" s="768"/>
      <c r="S194" s="810"/>
      <c r="T194" s="810"/>
      <c r="U194" s="810"/>
      <c r="V194" s="810"/>
      <c r="W194" s="810"/>
      <c r="X194" s="810"/>
      <c r="Y194" s="810"/>
      <c r="Z194" s="768"/>
      <c r="AA194" s="768"/>
      <c r="AB194" s="768"/>
      <c r="AC194" s="767"/>
      <c r="AD194" s="768"/>
      <c r="AE194" s="768"/>
      <c r="AF194" s="768"/>
      <c r="AG194" s="768"/>
      <c r="AH194" s="768"/>
      <c r="AI194" s="768"/>
      <c r="AJ194" s="768"/>
      <c r="AK194" s="768"/>
      <c r="AL194" s="768"/>
      <c r="AM194" s="768"/>
      <c r="AN194" s="768"/>
      <c r="AO194" s="753"/>
      <c r="AP194" s="1464"/>
      <c r="AQ194" s="1464"/>
      <c r="AR194" s="1464"/>
      <c r="AS194" s="1464"/>
      <c r="AT194" s="1464"/>
      <c r="AU194" s="247"/>
      <c r="AV194" s="767"/>
      <c r="AW194" s="247"/>
      <c r="AX194" s="247"/>
      <c r="AY194" s="247"/>
      <c r="AZ194" s="247"/>
      <c r="BA194" s="657"/>
      <c r="BB194" s="657"/>
      <c r="BC194" s="657"/>
    </row>
    <row r="195" spans="2:57" ht="12.75" customHeight="1">
      <c r="D195" s="1651"/>
      <c r="E195" s="747"/>
      <c r="F195" s="816" t="s">
        <v>601</v>
      </c>
      <c r="G195" s="768"/>
      <c r="H195" s="768"/>
      <c r="I195" s="768"/>
      <c r="J195" s="768"/>
      <c r="K195" s="768"/>
      <c r="L195" s="1633" t="s">
        <v>657</v>
      </c>
      <c r="M195" s="1634"/>
      <c r="N195" s="1634"/>
      <c r="O195" s="1634"/>
      <c r="P195" s="1634"/>
      <c r="Q195" s="1634"/>
      <c r="R195" s="1634"/>
      <c r="S195" s="810"/>
      <c r="T195" s="1551"/>
      <c r="U195" s="1551"/>
      <c r="V195" s="1551"/>
      <c r="W195" s="790" t="s">
        <v>380</v>
      </c>
      <c r="X195" s="768"/>
      <c r="Y195" s="768"/>
      <c r="Z195" s="768"/>
      <c r="AA195" s="768"/>
      <c r="AB195" s="768"/>
      <c r="AC195" s="768"/>
      <c r="AD195" s="768"/>
      <c r="AE195" s="768"/>
      <c r="AF195" s="768"/>
      <c r="AG195" s="768"/>
      <c r="AH195" s="768"/>
      <c r="AI195" s="768"/>
      <c r="AJ195" s="768"/>
      <c r="AK195" s="768"/>
      <c r="AL195" s="768"/>
      <c r="AM195" s="768"/>
      <c r="AN195" s="768"/>
      <c r="AO195" s="753"/>
      <c r="AP195" s="1464"/>
      <c r="AQ195" s="1464"/>
      <c r="AR195" s="1464"/>
      <c r="AS195" s="1464"/>
      <c r="AT195" s="1464"/>
    </row>
    <row r="196" spans="2:57" ht="2.1" customHeight="1">
      <c r="D196" s="1651"/>
      <c r="E196" s="747"/>
      <c r="F196" s="768"/>
      <c r="G196" s="768"/>
      <c r="H196" s="768"/>
      <c r="I196" s="768"/>
      <c r="J196" s="768"/>
      <c r="K196" s="768"/>
      <c r="L196" s="768"/>
      <c r="M196" s="768"/>
      <c r="N196" s="768"/>
      <c r="O196" s="768"/>
      <c r="P196" s="768"/>
      <c r="Q196" s="768"/>
      <c r="R196" s="768"/>
      <c r="S196" s="810"/>
      <c r="T196" s="768"/>
      <c r="U196" s="768"/>
      <c r="V196" s="768"/>
      <c r="W196" s="767"/>
      <c r="X196" s="768"/>
      <c r="Y196" s="768"/>
      <c r="Z196" s="768"/>
      <c r="AA196" s="768"/>
      <c r="AB196" s="768"/>
      <c r="AC196" s="767"/>
      <c r="AD196" s="768"/>
      <c r="AE196" s="768"/>
      <c r="AF196" s="768"/>
      <c r="AG196" s="768"/>
      <c r="AH196" s="768"/>
      <c r="AI196" s="768"/>
      <c r="AJ196" s="768"/>
      <c r="AK196" s="768"/>
      <c r="AL196" s="768"/>
      <c r="AM196" s="768"/>
      <c r="AN196" s="768"/>
      <c r="AO196" s="753"/>
      <c r="AP196" s="1050"/>
      <c r="AQ196" s="1050"/>
      <c r="AR196" s="1050"/>
      <c r="AS196" s="1050"/>
      <c r="AT196" s="1050"/>
      <c r="AU196" s="247"/>
      <c r="AV196" s="247"/>
      <c r="AW196" s="247"/>
      <c r="AX196" s="247"/>
      <c r="AY196" s="247"/>
      <c r="AZ196" s="247"/>
      <c r="BA196" s="247"/>
      <c r="BB196" s="247"/>
      <c r="BC196" s="247"/>
    </row>
    <row r="197" spans="2:57" ht="12.75" customHeight="1">
      <c r="D197" s="1651"/>
      <c r="E197" s="747"/>
      <c r="F197" s="811"/>
      <c r="G197" s="812"/>
      <c r="H197" s="812"/>
      <c r="I197" s="812"/>
      <c r="J197" s="812"/>
      <c r="K197" s="812"/>
      <c r="L197" s="1633" t="s">
        <v>625</v>
      </c>
      <c r="M197" s="1634"/>
      <c r="N197" s="1634"/>
      <c r="O197" s="1634"/>
      <c r="P197" s="1634"/>
      <c r="Q197" s="1634"/>
      <c r="R197" s="1634"/>
      <c r="S197" s="813"/>
      <c r="T197" s="1551"/>
      <c r="U197" s="1551"/>
      <c r="V197" s="1551"/>
      <c r="W197" s="812" t="s">
        <v>380</v>
      </c>
      <c r="X197" s="812"/>
      <c r="Y197" s="812"/>
      <c r="Z197" s="812"/>
      <c r="AA197" s="812"/>
      <c r="AB197" s="1593">
        <f>(T193+T195+T197)*-1</f>
        <v>0</v>
      </c>
      <c r="AC197" s="1593"/>
      <c r="AD197" s="1593"/>
      <c r="AE197" s="1593"/>
      <c r="AF197" s="1593"/>
      <c r="AG197" s="1593"/>
      <c r="AH197" s="1593"/>
      <c r="AI197" s="1593"/>
      <c r="AJ197" s="1593"/>
      <c r="AK197" s="823" t="s">
        <v>393</v>
      </c>
      <c r="AL197" s="812"/>
      <c r="AM197" s="812"/>
      <c r="AN197" s="768"/>
      <c r="AO197" s="753"/>
      <c r="AP197" s="1887" t="s">
        <v>872</v>
      </c>
      <c r="AQ197" s="1887"/>
      <c r="AR197" s="1887"/>
      <c r="AS197" s="1887"/>
      <c r="AT197" s="1887"/>
    </row>
    <row r="198" spans="2:57" ht="2.1" customHeight="1">
      <c r="D198" s="1651"/>
      <c r="E198" s="747"/>
      <c r="F198" s="768"/>
      <c r="G198" s="768"/>
      <c r="H198" s="768"/>
      <c r="I198" s="768"/>
      <c r="J198" s="768"/>
      <c r="K198" s="768"/>
      <c r="L198" s="768"/>
      <c r="M198" s="768"/>
      <c r="N198" s="768"/>
      <c r="O198" s="768"/>
      <c r="P198" s="819"/>
      <c r="Q198" s="819"/>
      <c r="R198" s="819"/>
      <c r="S198" s="768"/>
      <c r="T198" s="820"/>
      <c r="U198" s="820"/>
      <c r="V198" s="820"/>
      <c r="W198" s="820"/>
      <c r="X198" s="820"/>
      <c r="Y198" s="820"/>
      <c r="Z198" s="768"/>
      <c r="AA198" s="768"/>
      <c r="AB198" s="768"/>
      <c r="AC198" s="767"/>
      <c r="AD198" s="768"/>
      <c r="AE198" s="768"/>
      <c r="AF198" s="768"/>
      <c r="AG198" s="768"/>
      <c r="AH198" s="768"/>
      <c r="AI198" s="768"/>
      <c r="AJ198" s="775"/>
      <c r="AK198" s="768"/>
      <c r="AL198" s="768"/>
      <c r="AM198" s="768"/>
      <c r="AN198" s="768"/>
      <c r="AO198" s="753"/>
      <c r="AP198" s="1887"/>
      <c r="AQ198" s="1887"/>
      <c r="AR198" s="1887"/>
      <c r="AS198" s="1887"/>
      <c r="AT198" s="1887"/>
      <c r="AU198" s="247"/>
      <c r="AV198" s="247"/>
      <c r="AW198" s="247"/>
      <c r="AX198" s="247"/>
      <c r="AY198" s="247"/>
      <c r="AZ198" s="247"/>
      <c r="BA198" s="247"/>
      <c r="BB198" s="247"/>
      <c r="BC198" s="247"/>
    </row>
    <row r="199" spans="2:57" ht="12.75" customHeight="1">
      <c r="D199" s="1651"/>
      <c r="E199" s="747"/>
      <c r="F199" s="817" t="s">
        <v>677</v>
      </c>
      <c r="G199" s="812"/>
      <c r="H199" s="818" t="s">
        <v>424</v>
      </c>
      <c r="I199" s="812" t="str">
        <f>F21</f>
        <v xml:space="preserve">Nutzungsdauer: </v>
      </c>
      <c r="J199" s="812"/>
      <c r="K199" s="812"/>
      <c r="L199" s="818"/>
      <c r="M199" s="1638">
        <f>V21</f>
        <v>20</v>
      </c>
      <c r="N199" s="1638"/>
      <c r="O199" s="812"/>
      <c r="P199" s="821" t="str">
        <f>Y21</f>
        <v>Jahre</v>
      </c>
      <c r="Q199" s="822" t="s">
        <v>425</v>
      </c>
      <c r="R199" s="818"/>
      <c r="S199" s="812"/>
      <c r="T199" s="812"/>
      <c r="U199" s="812"/>
      <c r="V199" s="812"/>
      <c r="W199" s="812"/>
      <c r="X199" s="812"/>
      <c r="Y199" s="812"/>
      <c r="Z199" s="812"/>
      <c r="AA199" s="812"/>
      <c r="AB199" s="1593">
        <f>$T$33/$V$21*(-1)</f>
        <v>0</v>
      </c>
      <c r="AC199" s="1593"/>
      <c r="AD199" s="1593"/>
      <c r="AE199" s="1593"/>
      <c r="AF199" s="1593"/>
      <c r="AG199" s="1593"/>
      <c r="AH199" s="1593"/>
      <c r="AI199" s="1593"/>
      <c r="AJ199" s="1593"/>
      <c r="AK199" s="823" t="s">
        <v>393</v>
      </c>
      <c r="AL199" s="812"/>
      <c r="AM199" s="812"/>
      <c r="AN199" s="768"/>
      <c r="AO199" s="753"/>
      <c r="AP199" s="1887"/>
      <c r="AQ199" s="1887"/>
      <c r="AR199" s="1887"/>
      <c r="AS199" s="1887"/>
      <c r="AT199" s="1887"/>
      <c r="AV199" s="530"/>
      <c r="AW199" s="530"/>
      <c r="AX199" s="530"/>
      <c r="AY199" s="530"/>
      <c r="AZ199" s="530"/>
    </row>
    <row r="200" spans="2:57" ht="2.1" customHeight="1">
      <c r="D200" s="1651"/>
      <c r="E200" s="747"/>
      <c r="F200" s="768"/>
      <c r="G200" s="768"/>
      <c r="H200" s="768"/>
      <c r="I200" s="768"/>
      <c r="J200" s="768"/>
      <c r="K200" s="768"/>
      <c r="L200" s="768"/>
      <c r="M200" s="768"/>
      <c r="N200" s="768"/>
      <c r="O200" s="768"/>
      <c r="P200" s="819"/>
      <c r="Q200" s="819"/>
      <c r="R200" s="819"/>
      <c r="S200" s="768"/>
      <c r="T200" s="820"/>
      <c r="U200" s="820"/>
      <c r="V200" s="820"/>
      <c r="W200" s="820"/>
      <c r="X200" s="820"/>
      <c r="Y200" s="820"/>
      <c r="Z200" s="768"/>
      <c r="AA200" s="768"/>
      <c r="AB200" s="824"/>
      <c r="AC200" s="825"/>
      <c r="AD200" s="824"/>
      <c r="AE200" s="824"/>
      <c r="AF200" s="824"/>
      <c r="AG200" s="824"/>
      <c r="AH200" s="824"/>
      <c r="AI200" s="824"/>
      <c r="AJ200" s="775"/>
      <c r="AK200" s="768"/>
      <c r="AL200" s="768"/>
      <c r="AM200" s="768"/>
      <c r="AN200" s="768"/>
      <c r="AO200" s="753"/>
    </row>
    <row r="201" spans="2:57" ht="12.75" customHeight="1">
      <c r="B201" s="620">
        <v>372</v>
      </c>
      <c r="D201" s="1651"/>
      <c r="E201" s="747"/>
      <c r="F201" s="817" t="s">
        <v>678</v>
      </c>
      <c r="G201" s="812"/>
      <c r="H201" s="812"/>
      <c r="I201" s="812"/>
      <c r="J201" s="812"/>
      <c r="K201" s="812"/>
      <c r="L201" s="812"/>
      <c r="M201" s="812"/>
      <c r="N201" s="812"/>
      <c r="O201" s="812"/>
      <c r="P201" s="818"/>
      <c r="Q201" s="813" t="s">
        <v>471</v>
      </c>
      <c r="R201" s="826">
        <v>50</v>
      </c>
      <c r="S201" s="811" t="s">
        <v>381</v>
      </c>
      <c r="T201" s="827"/>
      <c r="U201" s="827"/>
      <c r="V201" s="827"/>
      <c r="W201" s="828" t="s">
        <v>472</v>
      </c>
      <c r="X201" s="1868">
        <v>5</v>
      </c>
      <c r="Y201" s="1868"/>
      <c r="Z201" s="811" t="s">
        <v>381</v>
      </c>
      <c r="AA201" s="811"/>
      <c r="AB201" s="1593">
        <f>T33*R201/100*X201/100*-1</f>
        <v>0</v>
      </c>
      <c r="AC201" s="1593"/>
      <c r="AD201" s="1593"/>
      <c r="AE201" s="1593"/>
      <c r="AF201" s="1593"/>
      <c r="AG201" s="1593"/>
      <c r="AH201" s="1593"/>
      <c r="AI201" s="1593"/>
      <c r="AJ201" s="1593"/>
      <c r="AK201" s="823" t="s">
        <v>393</v>
      </c>
      <c r="AL201" s="812"/>
      <c r="AM201" s="812"/>
      <c r="AN201" s="768"/>
      <c r="AO201" s="753"/>
      <c r="AP201" s="1518">
        <f>IF(B118&gt;=136,0,B201/100)</f>
        <v>0</v>
      </c>
      <c r="AQ201" s="1518"/>
      <c r="AR201" s="1518"/>
      <c r="AS201" s="1518"/>
      <c r="AT201" s="1518"/>
    </row>
    <row r="202" spans="2:57" ht="2.1" customHeight="1">
      <c r="D202" s="1651"/>
      <c r="E202" s="747"/>
      <c r="F202" s="805"/>
      <c r="G202" s="768"/>
      <c r="H202" s="768"/>
      <c r="I202" s="768"/>
      <c r="J202" s="768"/>
      <c r="K202" s="768"/>
      <c r="L202" s="768"/>
      <c r="M202" s="768"/>
      <c r="N202" s="768"/>
      <c r="O202" s="768"/>
      <c r="P202" s="768"/>
      <c r="Q202" s="768"/>
      <c r="R202" s="768"/>
      <c r="S202" s="768"/>
      <c r="T202" s="768"/>
      <c r="U202" s="768"/>
      <c r="V202" s="768"/>
      <c r="W202" s="768"/>
      <c r="X202" s="768"/>
      <c r="Y202" s="768"/>
      <c r="Z202" s="768"/>
      <c r="AA202" s="768"/>
      <c r="AB202" s="768"/>
      <c r="AC202" s="767"/>
      <c r="AD202" s="768"/>
      <c r="AE202" s="768"/>
      <c r="AF202" s="768"/>
      <c r="AG202" s="768"/>
      <c r="AH202" s="768"/>
      <c r="AI202" s="768"/>
      <c r="AJ202" s="768"/>
      <c r="AK202" s="768"/>
      <c r="AL202" s="768"/>
      <c r="AM202" s="768"/>
      <c r="AN202" s="768"/>
      <c r="AO202" s="753"/>
    </row>
    <row r="203" spans="2:57" ht="12.75" customHeight="1">
      <c r="D203" s="1651"/>
      <c r="E203" s="747"/>
      <c r="F203" s="817" t="s">
        <v>679</v>
      </c>
      <c r="G203" s="812"/>
      <c r="H203" s="812"/>
      <c r="I203" s="812"/>
      <c r="J203" s="812"/>
      <c r="K203" s="812"/>
      <c r="L203" s="812"/>
      <c r="M203" s="812"/>
      <c r="N203" s="812"/>
      <c r="O203" s="812"/>
      <c r="P203" s="813" t="s">
        <v>476</v>
      </c>
      <c r="Q203" s="1637"/>
      <c r="R203" s="1637"/>
      <c r="S203" s="814" t="s">
        <v>474</v>
      </c>
      <c r="T203" s="814"/>
      <c r="U203" s="827"/>
      <c r="V203" s="828" t="s">
        <v>473</v>
      </c>
      <c r="W203" s="1868"/>
      <c r="X203" s="1868"/>
      <c r="Y203" s="1868"/>
      <c r="Z203" s="811" t="s">
        <v>475</v>
      </c>
      <c r="AA203" s="811"/>
      <c r="AB203" s="1593">
        <f>Q203*W203*-1</f>
        <v>0</v>
      </c>
      <c r="AC203" s="1593"/>
      <c r="AD203" s="1593"/>
      <c r="AE203" s="1593"/>
      <c r="AF203" s="1593"/>
      <c r="AG203" s="1593"/>
      <c r="AH203" s="1593"/>
      <c r="AI203" s="1593"/>
      <c r="AJ203" s="1593"/>
      <c r="AK203" s="823" t="s">
        <v>393</v>
      </c>
      <c r="AL203" s="812"/>
      <c r="AM203" s="812"/>
      <c r="AN203" s="768"/>
      <c r="AO203" s="753"/>
      <c r="AP203" s="1486" t="str">
        <f>"in "&amp;V21&amp;" Jahren Laufzeit"</f>
        <v>in 20 Jahren Laufzeit</v>
      </c>
      <c r="AQ203" s="1486"/>
      <c r="AR203" s="1486"/>
      <c r="AS203" s="1486"/>
      <c r="AT203" s="1486"/>
      <c r="BE203" s="192"/>
    </row>
    <row r="204" spans="2:57" ht="3.2" customHeight="1">
      <c r="D204" s="1651"/>
      <c r="E204" s="747"/>
      <c r="F204" s="754"/>
      <c r="G204" s="753"/>
      <c r="H204" s="753"/>
      <c r="I204" s="753"/>
      <c r="J204" s="753"/>
      <c r="K204" s="753"/>
      <c r="L204" s="753"/>
      <c r="M204" s="753"/>
      <c r="N204" s="753"/>
      <c r="O204" s="753"/>
      <c r="P204" s="753"/>
      <c r="Q204" s="753"/>
      <c r="R204" s="753"/>
      <c r="S204" s="753"/>
      <c r="T204" s="753"/>
      <c r="U204" s="753"/>
      <c r="V204" s="753"/>
      <c r="W204" s="753"/>
      <c r="X204" s="753"/>
      <c r="Y204" s="753"/>
      <c r="Z204" s="753"/>
      <c r="AA204" s="753"/>
      <c r="AB204" s="753"/>
      <c r="AC204" s="747"/>
      <c r="AD204" s="753"/>
      <c r="AE204" s="753"/>
      <c r="AF204" s="753"/>
      <c r="AG204" s="753"/>
      <c r="AH204" s="753"/>
      <c r="AI204" s="753"/>
      <c r="AJ204" s="753"/>
      <c r="AK204" s="753"/>
      <c r="AL204" s="753"/>
      <c r="AM204" s="753"/>
      <c r="AN204" s="753"/>
      <c r="AO204" s="753"/>
    </row>
    <row r="205" spans="2:57" ht="12.75" customHeight="1">
      <c r="D205" s="1652"/>
      <c r="E205" s="747"/>
      <c r="F205" s="775" t="str">
        <f>" Kosten (Summe; im Durchschnitt über die gesamte Nutzungsdauer von "&amp;V21&amp;" Jahre)"</f>
        <v xml:space="preserve"> Kosten (Summe; im Durchschnitt über die gesamte Nutzungsdauer von 20 Jahre)</v>
      </c>
      <c r="G205" s="768"/>
      <c r="H205" s="768"/>
      <c r="I205" s="768"/>
      <c r="J205" s="768"/>
      <c r="K205" s="768"/>
      <c r="L205" s="768"/>
      <c r="M205" s="768"/>
      <c r="N205" s="768"/>
      <c r="O205" s="768"/>
      <c r="P205" s="768"/>
      <c r="Q205" s="768"/>
      <c r="R205" s="768"/>
      <c r="S205" s="768"/>
      <c r="T205" s="768"/>
      <c r="U205" s="768"/>
      <c r="V205" s="768"/>
      <c r="W205" s="768"/>
      <c r="X205" s="768"/>
      <c r="Y205" s="768"/>
      <c r="Z205" s="768"/>
      <c r="AA205" s="768"/>
      <c r="AB205" s="1506">
        <f>AB187+AB191+AB197+AB199+AB201+AB203</f>
        <v>0</v>
      </c>
      <c r="AC205" s="1506"/>
      <c r="AD205" s="1506"/>
      <c r="AE205" s="1506"/>
      <c r="AF205" s="1506"/>
      <c r="AG205" s="1506"/>
      <c r="AH205" s="1506"/>
      <c r="AI205" s="1506"/>
      <c r="AJ205" s="1506"/>
      <c r="AK205" s="285" t="s">
        <v>393</v>
      </c>
      <c r="AL205" s="356"/>
      <c r="AM205" s="356"/>
      <c r="AN205" s="719"/>
      <c r="AO205" s="753"/>
    </row>
    <row r="206" spans="2:57" ht="2.1" customHeight="1">
      <c r="D206" s="275"/>
      <c r="E206" s="747"/>
      <c r="F206" s="753"/>
      <c r="G206" s="753"/>
      <c r="H206" s="753"/>
      <c r="I206" s="753"/>
      <c r="J206" s="753"/>
      <c r="K206" s="753"/>
      <c r="L206" s="753"/>
      <c r="M206" s="753"/>
      <c r="N206" s="753"/>
      <c r="O206" s="753"/>
      <c r="P206" s="753"/>
      <c r="Q206" s="753"/>
      <c r="R206" s="753"/>
      <c r="S206" s="753"/>
      <c r="T206" s="753"/>
      <c r="U206" s="753"/>
      <c r="V206" s="753"/>
      <c r="W206" s="753"/>
      <c r="X206" s="753"/>
      <c r="Y206" s="753"/>
      <c r="Z206" s="753"/>
      <c r="AA206" s="753"/>
      <c r="AB206" s="753"/>
      <c r="AC206" s="747"/>
      <c r="AD206" s="753"/>
      <c r="AE206" s="753"/>
      <c r="AF206" s="753"/>
      <c r="AG206" s="753"/>
      <c r="AH206" s="753"/>
      <c r="AI206" s="753"/>
      <c r="AJ206" s="753"/>
      <c r="AK206" s="753"/>
      <c r="AL206" s="753"/>
      <c r="AM206" s="753"/>
      <c r="AN206" s="753"/>
      <c r="AO206" s="753"/>
    </row>
    <row r="207" spans="2:57" ht="2.1" customHeight="1">
      <c r="D207" s="716"/>
      <c r="E207" s="747"/>
      <c r="F207" s="774"/>
      <c r="G207" s="774"/>
      <c r="H207" s="774"/>
      <c r="I207" s="774"/>
      <c r="J207" s="774"/>
      <c r="K207" s="774"/>
      <c r="L207" s="774"/>
      <c r="M207" s="774"/>
      <c r="N207" s="774"/>
      <c r="O207" s="774"/>
      <c r="P207" s="774"/>
      <c r="Q207" s="774"/>
      <c r="R207" s="774"/>
      <c r="S207" s="774"/>
      <c r="T207" s="774"/>
      <c r="U207" s="774"/>
      <c r="V207" s="774"/>
      <c r="W207" s="774"/>
      <c r="X207" s="774"/>
      <c r="Y207" s="774"/>
      <c r="Z207" s="774"/>
      <c r="AA207" s="774"/>
      <c r="AB207" s="774"/>
      <c r="AC207" s="774"/>
      <c r="AD207" s="774"/>
      <c r="AE207" s="774"/>
      <c r="AF207" s="774"/>
      <c r="AG207" s="774"/>
      <c r="AH207" s="774"/>
      <c r="AI207" s="774"/>
      <c r="AJ207" s="774"/>
      <c r="AK207" s="774"/>
      <c r="AL207" s="774"/>
      <c r="AM207" s="774"/>
      <c r="AN207" s="774"/>
      <c r="AO207" s="747"/>
    </row>
    <row r="208" spans="2:57" ht="12.75" customHeight="1">
      <c r="C208" s="1375" t="s">
        <v>501</v>
      </c>
      <c r="D208" s="716"/>
      <c r="E208" s="747"/>
      <c r="F208" s="449" t="str">
        <f>IF(AB208&gt;=0," Ø jährlicher Überschuß"," Ø jährlicher Verlust")</f>
        <v xml:space="preserve"> Ø jährlicher Überschuß</v>
      </c>
      <c r="G208" s="422"/>
      <c r="H208" s="422"/>
      <c r="I208" s="422"/>
      <c r="J208" s="422"/>
      <c r="K208" s="422"/>
      <c r="L208" s="422"/>
      <c r="M208" s="422" t="str">
        <f>IF(AB208&gt;=0,"(Unternehmergewinn; vor Steuern)","")</f>
        <v>(Unternehmergewinn; vor Steuern)</v>
      </c>
      <c r="N208" s="422"/>
      <c r="O208" s="422"/>
      <c r="P208" s="422"/>
      <c r="Q208" s="422"/>
      <c r="R208" s="422"/>
      <c r="S208" s="422"/>
      <c r="T208" s="422"/>
      <c r="U208" s="422"/>
      <c r="V208" s="422"/>
      <c r="W208" s="422"/>
      <c r="X208" s="422"/>
      <c r="Y208" s="422"/>
      <c r="Z208" s="422"/>
      <c r="AA208" s="422"/>
      <c r="AB208" s="1877">
        <f>AB182+AB205</f>
        <v>0</v>
      </c>
      <c r="AC208" s="1877"/>
      <c r="AD208" s="1877"/>
      <c r="AE208" s="1877"/>
      <c r="AF208" s="1877"/>
      <c r="AG208" s="1877"/>
      <c r="AH208" s="1877"/>
      <c r="AI208" s="1877"/>
      <c r="AJ208" s="1877"/>
      <c r="AK208" s="450" t="s">
        <v>393</v>
      </c>
      <c r="AL208" s="451"/>
      <c r="AM208" s="451"/>
      <c r="AN208" s="720"/>
      <c r="AO208" s="745"/>
    </row>
    <row r="209" spans="2:198" s="245" customFormat="1" ht="2.1" customHeight="1">
      <c r="B209" s="706"/>
      <c r="C209" s="1376"/>
      <c r="D209" s="716"/>
      <c r="E209" s="747"/>
      <c r="F209" s="287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358"/>
      <c r="AB209" s="358"/>
      <c r="AC209" s="358"/>
      <c r="AD209" s="358"/>
      <c r="AE209" s="358"/>
      <c r="AF209" s="358"/>
      <c r="AG209" s="358"/>
      <c r="AH209" s="358"/>
      <c r="AI209" s="358"/>
      <c r="AJ209" s="287"/>
      <c r="AK209" s="251"/>
      <c r="AL209" s="251"/>
      <c r="AM209" s="251"/>
      <c r="AN209" s="251"/>
      <c r="AO209" s="747"/>
      <c r="BE209" s="263"/>
      <c r="BG209" s="263"/>
      <c r="BW209" s="263"/>
      <c r="CM209" s="263"/>
      <c r="DC209" s="263"/>
      <c r="DP209" s="263"/>
      <c r="FO209" s="263"/>
      <c r="FP209" s="958"/>
      <c r="FR209" s="619"/>
      <c r="FS209" s="375"/>
      <c r="GP209" s="251"/>
    </row>
    <row r="210" spans="2:198" s="245" customFormat="1" ht="12" customHeight="1">
      <c r="B210" s="706"/>
      <c r="C210" s="1377"/>
      <c r="D210" s="716"/>
      <c r="E210" s="747"/>
      <c r="F210" s="287" t="s">
        <v>684</v>
      </c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358"/>
      <c r="AB210" s="358"/>
      <c r="AC210" s="358"/>
      <c r="AD210" s="358"/>
      <c r="AE210" s="358"/>
      <c r="AF210" s="358"/>
      <c r="AG210" s="358"/>
      <c r="AH210" s="358"/>
      <c r="AI210" s="358"/>
      <c r="AJ210" s="287"/>
      <c r="AK210" s="251"/>
      <c r="AL210" s="251"/>
      <c r="AM210" s="251"/>
      <c r="AN210" s="251"/>
      <c r="AO210" s="747"/>
      <c r="BE210" s="263"/>
      <c r="BG210" s="263"/>
      <c r="BW210" s="263"/>
      <c r="CM210" s="263"/>
      <c r="DC210" s="263"/>
      <c r="DP210" s="263"/>
      <c r="FO210" s="263"/>
      <c r="FP210" s="958"/>
      <c r="FR210" s="619"/>
      <c r="FS210" s="375"/>
      <c r="GP210" s="251"/>
    </row>
    <row r="211" spans="2:198" s="245" customFormat="1" ht="9.9499999999999993" customHeight="1">
      <c r="B211" s="706"/>
      <c r="D211" s="716"/>
      <c r="E211" s="747"/>
      <c r="F211" s="743" t="str">
        <f>IF(AND(AW212&gt;0,AY29&gt;0),"&gt; Bei der statischen Wirtschaftlichkeitsbetrachtung wird ein voraussichtlicher, durchschnittlicher jährlicher Überschuß/Verlust ausgewiesen.","")</f>
        <v/>
      </c>
      <c r="G211" s="743"/>
      <c r="H211" s="743"/>
      <c r="I211" s="743"/>
      <c r="J211" s="743"/>
      <c r="K211" s="743"/>
      <c r="L211" s="741"/>
      <c r="M211" s="741"/>
      <c r="N211" s="741"/>
      <c r="O211" s="741"/>
      <c r="P211" s="741"/>
      <c r="Q211" s="741"/>
      <c r="R211" s="741"/>
      <c r="S211" s="741"/>
      <c r="T211" s="741"/>
      <c r="U211" s="741"/>
      <c r="V211" s="741"/>
      <c r="W211" s="741"/>
      <c r="X211" s="741"/>
      <c r="Y211" s="741"/>
      <c r="Z211" s="741"/>
      <c r="AA211" s="740"/>
      <c r="AB211" s="740"/>
      <c r="AC211" s="740"/>
      <c r="AD211" s="740"/>
      <c r="AE211" s="740"/>
      <c r="AF211" s="740"/>
      <c r="AG211" s="740"/>
      <c r="AH211" s="740"/>
      <c r="AI211" s="740"/>
      <c r="AJ211" s="741"/>
      <c r="AK211" s="741"/>
      <c r="AL211" s="741"/>
      <c r="AM211" s="741"/>
      <c r="AN211" s="741"/>
      <c r="AO211" s="747"/>
      <c r="AU211" s="1214" t="s">
        <v>1297</v>
      </c>
      <c r="AV211" s="1215"/>
      <c r="AW211" s="1215"/>
      <c r="AX211" s="1215"/>
      <c r="AY211" s="1215"/>
      <c r="AZ211" s="1215"/>
      <c r="BA211" s="1215"/>
      <c r="BB211" s="1216"/>
      <c r="BE211" s="263"/>
      <c r="BG211" s="263"/>
      <c r="BW211" s="263"/>
      <c r="CM211" s="263"/>
      <c r="DC211" s="263"/>
      <c r="DP211" s="263"/>
      <c r="FO211" s="263"/>
      <c r="FP211" s="958"/>
      <c r="FR211" s="619"/>
      <c r="FS211" s="375"/>
      <c r="GP211" s="251"/>
    </row>
    <row r="212" spans="2:198" s="245" customFormat="1" ht="9.9499999999999993" customHeight="1">
      <c r="B212" s="706"/>
      <c r="D212" s="716"/>
      <c r="E212" s="747"/>
      <c r="F212" s="743" t="str">
        <f>IF(AND(AW212&gt;0,AY29&gt;0),"&gt; Im vorliegenden Fall errechnet sich ein "&amp;F208&amp;" von "&amp;ROUND(AB208,0)&amp;" €uro/ Jahr.","")</f>
        <v/>
      </c>
      <c r="G212" s="743"/>
      <c r="H212" s="743"/>
      <c r="I212" s="743"/>
      <c r="J212" s="743"/>
      <c r="K212" s="743"/>
      <c r="L212" s="741"/>
      <c r="M212" s="741"/>
      <c r="N212" s="741"/>
      <c r="O212" s="741"/>
      <c r="P212" s="741"/>
      <c r="Q212" s="741"/>
      <c r="R212" s="741"/>
      <c r="S212" s="741"/>
      <c r="T212" s="741"/>
      <c r="U212" s="741"/>
      <c r="V212" s="741"/>
      <c r="W212" s="741"/>
      <c r="X212" s="741"/>
      <c r="Y212" s="741"/>
      <c r="Z212" s="741"/>
      <c r="AA212" s="740"/>
      <c r="AB212" s="740"/>
      <c r="AC212" s="740"/>
      <c r="AD212" s="740"/>
      <c r="AE212" s="740"/>
      <c r="AF212" s="740"/>
      <c r="AG212" s="740"/>
      <c r="AH212" s="740"/>
      <c r="AI212" s="740"/>
      <c r="AJ212" s="741"/>
      <c r="AK212" s="741"/>
      <c r="AL212" s="741"/>
      <c r="AM212" s="741"/>
      <c r="AN212" s="741"/>
      <c r="AO212" s="747"/>
      <c r="AP212" s="192"/>
      <c r="AQ212" s="192"/>
      <c r="AR212" s="192"/>
      <c r="AS212" s="192"/>
      <c r="AU212" s="1648">
        <f>ABS(AB187+AB191+AB197)</f>
        <v>0</v>
      </c>
      <c r="AV212" s="1649"/>
      <c r="AW212" s="1213">
        <f>IF(AU212&lt;&gt;0,1,0)</f>
        <v>0</v>
      </c>
      <c r="AX212" s="1217"/>
      <c r="AY212" s="1217"/>
      <c r="AZ212" s="1217"/>
      <c r="BA212" s="1217"/>
      <c r="BB212" s="1218"/>
      <c r="BE212" s="263"/>
      <c r="BG212" s="263"/>
      <c r="BW212" s="263"/>
      <c r="CM212" s="263"/>
      <c r="DC212" s="263"/>
      <c r="DP212" s="263"/>
      <c r="FO212" s="263"/>
      <c r="FP212" s="958"/>
      <c r="FR212" s="619"/>
      <c r="FS212" s="375"/>
      <c r="GP212" s="251"/>
    </row>
    <row r="213" spans="2:198" s="245" customFormat="1" ht="9.9499999999999993" customHeight="1">
      <c r="B213" s="706"/>
      <c r="D213" s="716"/>
      <c r="E213" s="747"/>
      <c r="F213" s="743" t="str">
        <f>IF(AND(AW212&gt;0,AY29&gt;0),"&gt; Der durchschnittliche jährliche Verkaufserlös von "&amp;ROUND(AB164,0)&amp;" €/Jahr errechnet sich gewichtet aus der nach EEG gewährten Vergütung von","")</f>
        <v/>
      </c>
      <c r="G213" s="743"/>
      <c r="H213" s="743"/>
      <c r="I213" s="743"/>
      <c r="J213" s="743"/>
      <c r="K213" s="743"/>
      <c r="L213" s="741"/>
      <c r="M213" s="741"/>
      <c r="N213" s="741"/>
      <c r="O213" s="741"/>
      <c r="P213" s="741"/>
      <c r="Q213" s="741"/>
      <c r="R213" s="741"/>
      <c r="S213" s="741"/>
      <c r="T213" s="741"/>
      <c r="U213" s="741"/>
      <c r="V213" s="741"/>
      <c r="W213" s="741"/>
      <c r="X213" s="741"/>
      <c r="Y213" s="741"/>
      <c r="Z213" s="741"/>
      <c r="AA213" s="740"/>
      <c r="AB213" s="740"/>
      <c r="AC213" s="740"/>
      <c r="AD213" s="740"/>
      <c r="AE213" s="740"/>
      <c r="AF213" s="740"/>
      <c r="AG213" s="740"/>
      <c r="AH213" s="740"/>
      <c r="AI213" s="740"/>
      <c r="AJ213" s="741"/>
      <c r="AK213" s="741"/>
      <c r="AL213" s="741"/>
      <c r="AM213" s="741"/>
      <c r="AN213" s="741"/>
      <c r="AO213" s="747"/>
      <c r="AP213" s="192"/>
      <c r="AQ213" s="192"/>
      <c r="AR213" s="192"/>
      <c r="AS213" s="192"/>
      <c r="AT213" s="192"/>
      <c r="AU213" s="192"/>
      <c r="AV213" s="192"/>
      <c r="AW213" s="192"/>
      <c r="AX213" s="192"/>
      <c r="AY213" s="192"/>
      <c r="AZ213" s="192"/>
      <c r="BA213" s="192"/>
      <c r="BB213" s="192"/>
      <c r="BC213" s="192"/>
      <c r="BD213" s="192"/>
      <c r="BE213" s="263"/>
      <c r="BG213" s="263"/>
      <c r="BW213" s="263"/>
      <c r="CM213" s="263"/>
      <c r="DC213" s="263"/>
      <c r="DP213" s="263"/>
      <c r="FO213" s="263"/>
      <c r="FP213" s="958"/>
      <c r="FR213" s="619"/>
      <c r="FS213" s="375"/>
      <c r="GP213" s="251"/>
    </row>
    <row r="214" spans="2:198" s="245" customFormat="1" ht="9.9499999999999993" customHeight="1">
      <c r="B214" s="706"/>
      <c r="D214" s="716"/>
      <c r="E214" s="747"/>
      <c r="F214" s="743" t="str">
        <f>IF(AND(AW212&gt;0,AY29&gt;0),"    0 bis 20 Jahre (Anteil 20/"&amp;V21&amp;" = "&amp;ROUND(BA174*100,1)&amp;"%) und den geschätzten jährl. Erlösen aus Stromverkauf (Anteil "&amp;V21-20&amp;"/"&amp;V21&amp;" = "&amp;ROUND(BA175*100,1)&amp;"%) ab dem 21. Jahr.","")</f>
        <v/>
      </c>
      <c r="G214" s="743"/>
      <c r="H214" s="743"/>
      <c r="I214" s="743"/>
      <c r="J214" s="743"/>
      <c r="K214" s="743"/>
      <c r="L214" s="741"/>
      <c r="M214" s="741"/>
      <c r="N214" s="741"/>
      <c r="O214" s="741"/>
      <c r="P214" s="741"/>
      <c r="Q214" s="741"/>
      <c r="R214" s="741"/>
      <c r="S214" s="741"/>
      <c r="T214" s="741"/>
      <c r="U214" s="741"/>
      <c r="V214" s="741"/>
      <c r="W214" s="741"/>
      <c r="X214" s="741"/>
      <c r="Y214" s="741"/>
      <c r="Z214" s="741"/>
      <c r="AA214" s="740"/>
      <c r="AB214" s="740"/>
      <c r="AC214" s="740"/>
      <c r="AD214" s="740"/>
      <c r="AE214" s="740"/>
      <c r="AF214" s="740"/>
      <c r="AG214" s="740"/>
      <c r="AH214" s="740"/>
      <c r="AI214" s="740"/>
      <c r="AJ214" s="741"/>
      <c r="AK214" s="741"/>
      <c r="AL214" s="741"/>
      <c r="AM214" s="741"/>
      <c r="AN214" s="741"/>
      <c r="AO214" s="747"/>
      <c r="AP214" s="192"/>
      <c r="AQ214" s="192"/>
      <c r="AR214" s="192"/>
      <c r="AS214" s="192"/>
      <c r="AT214" s="192"/>
      <c r="BE214" s="263"/>
      <c r="BG214" s="263"/>
      <c r="BW214" s="263"/>
      <c r="CM214" s="263"/>
      <c r="DC214" s="263"/>
      <c r="DP214" s="263"/>
      <c r="FO214" s="263"/>
      <c r="FP214" s="958"/>
      <c r="FR214" s="619"/>
      <c r="FS214" s="375"/>
      <c r="GP214" s="251"/>
    </row>
    <row r="215" spans="2:198" s="245" customFormat="1" ht="9.9499999999999993" customHeight="1">
      <c r="B215" s="706"/>
      <c r="D215" s="716"/>
      <c r="E215" s="747"/>
      <c r="F215" s="743" t="str">
        <f>IF(AND(AW212&gt;0,AY29&gt;0),"&gt; Die Summe der durchschnittlichen jährl. Leistungen beträgt "&amp;ROUND(AB182,0)&amp;" €/Jahr ("&amp;ROUND(AB164,0)&amp;",- + "&amp;ROUND(AB170,0)&amp;",- €/Jahr (Wert d.Eigenstromverbrauchs)).","")</f>
        <v/>
      </c>
      <c r="G215" s="743"/>
      <c r="H215" s="743"/>
      <c r="I215" s="743"/>
      <c r="J215" s="743"/>
      <c r="K215" s="743"/>
      <c r="L215" s="741"/>
      <c r="M215" s="741"/>
      <c r="N215" s="741"/>
      <c r="O215" s="741"/>
      <c r="P215" s="741"/>
      <c r="Q215" s="741"/>
      <c r="R215" s="741"/>
      <c r="S215" s="741"/>
      <c r="T215" s="741"/>
      <c r="U215" s="741"/>
      <c r="V215" s="741"/>
      <c r="W215" s="741"/>
      <c r="X215" s="741"/>
      <c r="Y215" s="741"/>
      <c r="Z215" s="741"/>
      <c r="AA215" s="740"/>
      <c r="AB215" s="740"/>
      <c r="AC215" s="740"/>
      <c r="AD215" s="740"/>
      <c r="AE215" s="740"/>
      <c r="AF215" s="740"/>
      <c r="AG215" s="740"/>
      <c r="AH215" s="740"/>
      <c r="AI215" s="740"/>
      <c r="AJ215" s="741"/>
      <c r="AK215" s="741"/>
      <c r="AL215" s="741"/>
      <c r="AM215" s="741"/>
      <c r="AN215" s="741"/>
      <c r="AO215" s="747"/>
      <c r="AP215" s="192"/>
      <c r="AQ215" s="192"/>
      <c r="AR215" s="192"/>
      <c r="AS215" s="192"/>
      <c r="AT215" s="192"/>
      <c r="BE215" s="263"/>
      <c r="BG215" s="263"/>
      <c r="BW215" s="263"/>
      <c r="CM215" s="263"/>
      <c r="DC215" s="263"/>
      <c r="DP215" s="263"/>
      <c r="FO215" s="263"/>
      <c r="FP215" s="958"/>
      <c r="FR215" s="619"/>
      <c r="FS215" s="375"/>
      <c r="GP215" s="251"/>
    </row>
    <row r="216" spans="2:198" s="245" customFormat="1" ht="9.9499999999999993" customHeight="1">
      <c r="B216" s="706"/>
      <c r="D216" s="716"/>
      <c r="E216" s="747"/>
      <c r="F216" s="743" t="str">
        <f>IF(AND(AW212&gt;0,AY29&gt;0),"&gt; Die Kosten in Höhe von "&amp;ROUND(AB205,0)*-1&amp;" €/Jahr setzen sich zusammen aus einer jährlichen Rückstellung für Wartung/Rep., den Ausgaben für Ver-","")</f>
        <v/>
      </c>
      <c r="G216" s="743"/>
      <c r="H216" s="743"/>
      <c r="I216" s="743"/>
      <c r="J216" s="743"/>
      <c r="K216" s="743"/>
      <c r="L216" s="741"/>
      <c r="M216" s="741"/>
      <c r="N216" s="741"/>
      <c r="O216" s="741"/>
      <c r="P216" s="741"/>
      <c r="Q216" s="741"/>
      <c r="R216" s="741"/>
      <c r="S216" s="741"/>
      <c r="T216" s="741"/>
      <c r="U216" s="741"/>
      <c r="V216" s="741"/>
      <c r="W216" s="741"/>
      <c r="X216" s="741"/>
      <c r="Y216" s="741"/>
      <c r="Z216" s="741"/>
      <c r="AA216" s="740"/>
      <c r="AB216" s="740"/>
      <c r="AC216" s="740"/>
      <c r="AD216" s="740"/>
      <c r="AE216" s="740"/>
      <c r="AF216" s="740"/>
      <c r="AG216" s="740"/>
      <c r="AH216" s="740"/>
      <c r="AI216" s="740"/>
      <c r="AJ216" s="741"/>
      <c r="AK216" s="741"/>
      <c r="AL216" s="741"/>
      <c r="AM216" s="741"/>
      <c r="AN216" s="741"/>
      <c r="AO216" s="747"/>
      <c r="AP216" s="192"/>
      <c r="AQ216" s="192"/>
      <c r="AR216" s="192"/>
      <c r="AS216" s="192"/>
      <c r="AT216" s="192"/>
      <c r="BE216" s="263"/>
      <c r="BG216" s="263"/>
      <c r="BW216" s="263"/>
      <c r="CM216" s="263"/>
      <c r="DC216" s="263"/>
      <c r="DP216" s="263"/>
      <c r="FO216" s="263"/>
      <c r="FP216" s="958"/>
      <c r="FR216" s="619"/>
      <c r="FS216" s="375"/>
      <c r="GP216" s="251"/>
    </row>
    <row r="217" spans="2:198" s="245" customFormat="1" ht="9.9499999999999993" customHeight="1">
      <c r="B217" s="706"/>
      <c r="D217" s="716"/>
      <c r="E217" s="747"/>
      <c r="F217" s="743" t="str">
        <f>IF(AND(AW212&gt;0,AY29&gt;0),"    sicherung und Sonst. Kosten, der Afa (Abschreibung), der kalkulatorischen Entlohnung des eingesetzten Kapitals sowie ggf. Arbeitskosten.","")</f>
        <v/>
      </c>
      <c r="G217" s="743"/>
      <c r="H217" s="743"/>
      <c r="I217" s="743"/>
      <c r="J217" s="743"/>
      <c r="K217" s="743"/>
      <c r="L217" s="741"/>
      <c r="M217" s="741"/>
      <c r="N217" s="741"/>
      <c r="O217" s="741"/>
      <c r="P217" s="741"/>
      <c r="Q217" s="741"/>
      <c r="R217" s="741"/>
      <c r="S217" s="741"/>
      <c r="T217" s="741"/>
      <c r="U217" s="741"/>
      <c r="V217" s="741"/>
      <c r="W217" s="741"/>
      <c r="X217" s="741"/>
      <c r="Y217" s="741"/>
      <c r="Z217" s="741"/>
      <c r="AA217" s="740"/>
      <c r="AB217" s="740"/>
      <c r="AC217" s="740"/>
      <c r="AD217" s="740"/>
      <c r="AE217" s="740"/>
      <c r="AF217" s="740"/>
      <c r="AG217" s="740"/>
      <c r="AH217" s="740"/>
      <c r="AI217" s="740"/>
      <c r="AJ217" s="741"/>
      <c r="AK217" s="741"/>
      <c r="AL217" s="741"/>
      <c r="AM217" s="741"/>
      <c r="AN217" s="741"/>
      <c r="AO217" s="747"/>
      <c r="AP217" s="192"/>
      <c r="AQ217" s="192"/>
      <c r="AR217" s="192"/>
      <c r="AS217" s="192"/>
      <c r="AT217" s="192"/>
      <c r="BE217" s="263"/>
      <c r="BG217" s="263"/>
      <c r="BW217" s="263"/>
      <c r="CM217" s="263"/>
      <c r="DC217" s="263"/>
      <c r="DP217" s="263"/>
      <c r="FO217" s="263"/>
      <c r="FP217" s="958"/>
      <c r="FR217" s="619"/>
      <c r="FS217" s="375"/>
      <c r="GP217" s="251"/>
    </row>
    <row r="218" spans="2:198" s="245" customFormat="1" ht="9.9499999999999993" customHeight="1">
      <c r="B218" s="706"/>
      <c r="D218" s="716"/>
      <c r="E218" s="747"/>
      <c r="F218" s="743" t="str">
        <f>IF(AND(AW212&gt;0,AY29&gt;0),"&gt; Die Kalkulation unterstellt, dass im Durchschnitt  50% des eingesetzten Kapitals festgelegt ist (im Herstellungsjahr 100%; im "&amp;V21&amp;". Jahr 0%). ","")</f>
        <v/>
      </c>
      <c r="G218" s="743"/>
      <c r="H218" s="743"/>
      <c r="I218" s="743"/>
      <c r="J218" s="743"/>
      <c r="K218" s="743"/>
      <c r="L218" s="741"/>
      <c r="M218" s="741"/>
      <c r="N218" s="741"/>
      <c r="O218" s="741"/>
      <c r="P218" s="741"/>
      <c r="Q218" s="741"/>
      <c r="R218" s="741"/>
      <c r="S218" s="741"/>
      <c r="T218" s="741"/>
      <c r="U218" s="741"/>
      <c r="V218" s="741"/>
      <c r="W218" s="741"/>
      <c r="X218" s="741"/>
      <c r="Y218" s="741"/>
      <c r="Z218" s="741"/>
      <c r="AA218" s="740"/>
      <c r="AB218" s="740"/>
      <c r="AC218" s="740"/>
      <c r="AD218" s="740"/>
      <c r="AE218" s="740"/>
      <c r="AF218" s="740"/>
      <c r="AG218" s="740"/>
      <c r="AH218" s="740"/>
      <c r="AI218" s="740"/>
      <c r="AJ218" s="741"/>
      <c r="AK218" s="741"/>
      <c r="AL218" s="741"/>
      <c r="AM218" s="741"/>
      <c r="AN218" s="741"/>
      <c r="AO218" s="747"/>
      <c r="AP218" s="192"/>
      <c r="AQ218" s="192"/>
      <c r="AR218" s="192"/>
      <c r="AS218" s="192"/>
      <c r="AT218" s="192"/>
      <c r="BE218" s="263"/>
      <c r="BG218" s="263"/>
      <c r="BW218" s="263"/>
      <c r="CM218" s="263"/>
      <c r="DC218" s="263"/>
      <c r="DP218" s="263"/>
      <c r="FO218" s="263"/>
      <c r="FP218" s="958"/>
      <c r="FR218" s="619"/>
      <c r="FS218" s="375"/>
      <c r="GP218" s="251"/>
    </row>
    <row r="219" spans="2:198" s="245" customFormat="1" ht="9.9499999999999993" customHeight="1">
      <c r="B219" s="706"/>
      <c r="D219" s="716"/>
      <c r="E219" s="747"/>
      <c r="F219" s="743" t="str">
        <f>IF(AND(AW212&gt;0,AY29&gt;0),"&gt; Geht man davon aus, dass sich das Kapital zu "&amp;ROUND(X201,1)&amp;"% verzinsen sollte, beträgt der Zinsansatz (kalk.Kosten d. Kapitals) "&amp;ROUND(AB201,0)*-1&amp;" €/ Jahr.","")</f>
        <v/>
      </c>
      <c r="G219" s="743"/>
      <c r="H219" s="743"/>
      <c r="I219" s="743"/>
      <c r="J219" s="743"/>
      <c r="K219" s="743"/>
      <c r="L219" s="741"/>
      <c r="M219" s="741"/>
      <c r="N219" s="741"/>
      <c r="O219" s="741"/>
      <c r="P219" s="741"/>
      <c r="Q219" s="741"/>
      <c r="R219" s="741"/>
      <c r="S219" s="741"/>
      <c r="T219" s="741"/>
      <c r="U219" s="741"/>
      <c r="V219" s="741"/>
      <c r="W219" s="741"/>
      <c r="X219" s="741"/>
      <c r="Y219" s="741"/>
      <c r="Z219" s="741"/>
      <c r="AA219" s="740"/>
      <c r="AB219" s="740"/>
      <c r="AC219" s="740"/>
      <c r="AD219" s="740"/>
      <c r="AE219" s="740"/>
      <c r="AF219" s="740"/>
      <c r="AG219" s="740"/>
      <c r="AH219" s="740"/>
      <c r="AI219" s="740"/>
      <c r="AJ219" s="741"/>
      <c r="AK219" s="741"/>
      <c r="AL219" s="741"/>
      <c r="AM219" s="741"/>
      <c r="AN219" s="741"/>
      <c r="AO219" s="747"/>
      <c r="AP219" s="192"/>
      <c r="AQ219" s="192"/>
      <c r="AR219" s="192"/>
      <c r="AS219" s="192"/>
      <c r="AT219" s="192"/>
      <c r="BE219" s="263"/>
      <c r="BG219" s="263"/>
      <c r="BW219" s="263"/>
      <c r="CM219" s="263"/>
      <c r="DC219" s="263"/>
      <c r="DP219" s="263"/>
      <c r="FO219" s="263"/>
      <c r="FP219" s="958"/>
      <c r="FR219" s="619"/>
      <c r="FS219" s="375"/>
      <c r="GP219" s="251"/>
    </row>
    <row r="220" spans="2:198" s="245" customFormat="1" ht="9.9499999999999993" customHeight="1">
      <c r="B220" s="706"/>
      <c r="D220" s="716"/>
      <c r="E220" s="747"/>
      <c r="F220" s="743" t="str">
        <f>IF(AY29&gt;0,IF(AB203&lt;0,"&gt; Als Arbeitskosten wurden "&amp;ROUND(AB203,0)*-1&amp;" €/Jahr ("&amp;ROUND(Q203,1)&amp;" Akh x "&amp;ROUND(W203,2)&amp;" €/Akh) angesetzt.",""),"")</f>
        <v/>
      </c>
      <c r="G220" s="743"/>
      <c r="H220" s="743"/>
      <c r="I220" s="743"/>
      <c r="J220" s="743"/>
      <c r="K220" s="743"/>
      <c r="L220" s="741"/>
      <c r="M220" s="741"/>
      <c r="N220" s="741"/>
      <c r="O220" s="741"/>
      <c r="P220" s="741"/>
      <c r="Q220" s="741"/>
      <c r="R220" s="741"/>
      <c r="S220" s="741"/>
      <c r="T220" s="741"/>
      <c r="U220" s="741"/>
      <c r="V220" s="741"/>
      <c r="W220" s="741"/>
      <c r="X220" s="741"/>
      <c r="Y220" s="741"/>
      <c r="Z220" s="741"/>
      <c r="AA220" s="740"/>
      <c r="AB220" s="740"/>
      <c r="AC220" s="740"/>
      <c r="AD220" s="740"/>
      <c r="AE220" s="740"/>
      <c r="AF220" s="740"/>
      <c r="AG220" s="740"/>
      <c r="AH220" s="740"/>
      <c r="AI220" s="740"/>
      <c r="AJ220" s="741"/>
      <c r="AK220" s="741"/>
      <c r="AL220" s="741"/>
      <c r="AM220" s="741"/>
      <c r="AN220" s="741"/>
      <c r="AO220" s="747"/>
      <c r="AP220" s="192"/>
      <c r="AQ220" s="192"/>
      <c r="AR220" s="192"/>
      <c r="AS220" s="192"/>
      <c r="AT220" s="192"/>
      <c r="BE220" s="263"/>
      <c r="BG220" s="263"/>
      <c r="BW220" s="263"/>
      <c r="CM220" s="263"/>
      <c r="DC220" s="263"/>
      <c r="DP220" s="263"/>
      <c r="FO220" s="263"/>
      <c r="FP220" s="958"/>
      <c r="FR220" s="619"/>
      <c r="FS220" s="375"/>
      <c r="GP220" s="251"/>
    </row>
    <row r="221" spans="2:198" s="245" customFormat="1" ht="5.0999999999999996" customHeight="1">
      <c r="B221" s="706"/>
      <c r="D221" s="716"/>
      <c r="E221" s="747"/>
      <c r="F221" s="759"/>
      <c r="G221" s="759"/>
      <c r="H221" s="759"/>
      <c r="I221" s="759"/>
      <c r="J221" s="759"/>
      <c r="K221" s="759"/>
      <c r="L221" s="752"/>
      <c r="M221" s="752"/>
      <c r="N221" s="752"/>
      <c r="O221" s="752"/>
      <c r="P221" s="752"/>
      <c r="Q221" s="752"/>
      <c r="R221" s="752"/>
      <c r="S221" s="752"/>
      <c r="T221" s="752"/>
      <c r="U221" s="752"/>
      <c r="V221" s="752"/>
      <c r="W221" s="752"/>
      <c r="X221" s="752"/>
      <c r="Y221" s="752"/>
      <c r="Z221" s="752"/>
      <c r="AA221" s="760"/>
      <c r="AB221" s="760"/>
      <c r="AC221" s="760"/>
      <c r="AD221" s="760"/>
      <c r="AE221" s="760"/>
      <c r="AF221" s="760"/>
      <c r="AG221" s="760"/>
      <c r="AH221" s="760"/>
      <c r="AI221" s="760"/>
      <c r="AJ221" s="752"/>
      <c r="AK221" s="752"/>
      <c r="AL221" s="752"/>
      <c r="AM221" s="752"/>
      <c r="AN221" s="752"/>
      <c r="AO221" s="747"/>
      <c r="AP221" s="192"/>
      <c r="AQ221" s="192"/>
      <c r="AR221" s="192"/>
      <c r="AS221" s="192"/>
      <c r="AT221" s="192"/>
      <c r="BE221" s="263"/>
      <c r="BG221" s="263"/>
      <c r="BW221" s="263"/>
      <c r="CM221" s="263"/>
      <c r="DC221" s="263"/>
      <c r="DP221" s="263"/>
      <c r="FO221" s="263"/>
      <c r="FP221" s="958"/>
      <c r="FR221" s="619"/>
      <c r="FS221" s="375"/>
      <c r="GP221" s="251"/>
    </row>
    <row r="222" spans="2:198" s="245" customFormat="1" ht="9.9499999999999993" customHeight="1">
      <c r="B222" s="706"/>
      <c r="D222" s="716"/>
      <c r="E222" s="716"/>
      <c r="F222" s="715"/>
      <c r="G222" s="716"/>
      <c r="H222" s="716"/>
      <c r="I222" s="716"/>
      <c r="J222" s="716"/>
      <c r="K222" s="716"/>
      <c r="L222" s="716"/>
      <c r="M222" s="716"/>
      <c r="N222" s="716"/>
      <c r="O222" s="716"/>
      <c r="P222" s="716"/>
      <c r="Q222" s="716"/>
      <c r="R222" s="716"/>
      <c r="S222" s="716"/>
      <c r="T222" s="716"/>
      <c r="U222" s="716"/>
      <c r="V222" s="716"/>
      <c r="W222" s="716"/>
      <c r="X222" s="716"/>
      <c r="Y222" s="716"/>
      <c r="Z222" s="716"/>
      <c r="AA222" s="778"/>
      <c r="AB222" s="778"/>
      <c r="AC222" s="778"/>
      <c r="AD222" s="778"/>
      <c r="AE222" s="778"/>
      <c r="AF222" s="778"/>
      <c r="AG222" s="778"/>
      <c r="AH222" s="778"/>
      <c r="AI222" s="778"/>
      <c r="AJ222" s="715"/>
      <c r="AK222" s="716"/>
      <c r="AL222" s="716"/>
      <c r="AM222" s="716"/>
      <c r="AN222" s="716"/>
      <c r="AO222" s="716"/>
      <c r="AP222" s="192"/>
      <c r="AQ222" s="192"/>
      <c r="AR222" s="192"/>
      <c r="AS222" s="192"/>
      <c r="AT222" s="192"/>
      <c r="BE222" s="263"/>
      <c r="BG222" s="263"/>
      <c r="BW222" s="263"/>
      <c r="CM222" s="263"/>
      <c r="DC222" s="263"/>
      <c r="DP222" s="263"/>
      <c r="FO222" s="263"/>
      <c r="FP222" s="958"/>
      <c r="FR222" s="619"/>
      <c r="FS222" s="375"/>
      <c r="GP222" s="251"/>
    </row>
    <row r="223" spans="2:198" ht="2.1" customHeight="1">
      <c r="C223" s="1375" t="s">
        <v>501</v>
      </c>
      <c r="D223" s="336"/>
      <c r="E223" s="269"/>
      <c r="F223" s="269"/>
      <c r="G223" s="269"/>
      <c r="H223" s="269"/>
      <c r="I223" s="269"/>
      <c r="J223" s="269"/>
      <c r="K223" s="269"/>
      <c r="L223" s="269"/>
      <c r="M223" s="269"/>
      <c r="N223" s="269"/>
      <c r="O223" s="269"/>
      <c r="P223" s="269"/>
      <c r="Q223" s="269"/>
      <c r="R223" s="269"/>
      <c r="S223" s="269"/>
      <c r="T223" s="269"/>
      <c r="U223" s="269"/>
      <c r="V223" s="269"/>
      <c r="W223" s="269"/>
      <c r="X223" s="269"/>
      <c r="Y223" s="269"/>
      <c r="Z223" s="269"/>
      <c r="AA223" s="269"/>
      <c r="AB223" s="269"/>
      <c r="AC223" s="269"/>
      <c r="AD223" s="269"/>
      <c r="AE223" s="269"/>
      <c r="AF223" s="269"/>
      <c r="AG223" s="269"/>
      <c r="AH223" s="269"/>
      <c r="AI223" s="269"/>
      <c r="AJ223" s="269"/>
      <c r="AK223" s="269"/>
      <c r="AL223" s="269"/>
      <c r="AM223" s="269"/>
      <c r="AN223" s="269"/>
      <c r="AO223" s="269"/>
    </row>
    <row r="224" spans="2:198" ht="24.95" customHeight="1">
      <c r="C224" s="1376"/>
      <c r="D224" s="271" t="s">
        <v>343</v>
      </c>
      <c r="E224" s="624"/>
      <c r="F224" s="357"/>
      <c r="G224" s="272"/>
      <c r="H224" s="272"/>
      <c r="I224" s="272"/>
      <c r="J224" s="272"/>
      <c r="K224" s="272"/>
      <c r="L224" s="272"/>
      <c r="M224" s="272"/>
      <c r="N224" s="272"/>
      <c r="O224" s="272"/>
      <c r="P224" s="272"/>
      <c r="Q224" s="272"/>
      <c r="R224" s="272"/>
      <c r="S224" s="272"/>
      <c r="T224" s="272"/>
      <c r="U224" s="272"/>
      <c r="V224" s="272"/>
      <c r="W224" s="272"/>
      <c r="X224" s="272"/>
      <c r="Y224" s="272"/>
      <c r="Z224" s="272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7"/>
      <c r="AK224" s="272"/>
      <c r="AL224" s="272"/>
      <c r="AM224" s="272"/>
      <c r="AN224" s="272"/>
      <c r="AO224" s="272"/>
    </row>
    <row r="225" spans="2:198" s="245" customFormat="1" ht="5.0999999999999996" customHeight="1">
      <c r="B225" s="706"/>
      <c r="C225" s="1377"/>
      <c r="D225" s="259"/>
      <c r="E225" s="747"/>
      <c r="F225" s="746"/>
      <c r="G225" s="747"/>
      <c r="H225" s="747"/>
      <c r="I225" s="747"/>
      <c r="J225" s="747"/>
      <c r="K225" s="747"/>
      <c r="L225" s="747"/>
      <c r="M225" s="747"/>
      <c r="N225" s="747"/>
      <c r="O225" s="747"/>
      <c r="P225" s="747"/>
      <c r="Q225" s="747"/>
      <c r="R225" s="747"/>
      <c r="S225" s="747"/>
      <c r="T225" s="747"/>
      <c r="U225" s="747"/>
      <c r="V225" s="747"/>
      <c r="W225" s="747"/>
      <c r="X225" s="747"/>
      <c r="Y225" s="747"/>
      <c r="Z225" s="747"/>
      <c r="AA225" s="782"/>
      <c r="AB225" s="782"/>
      <c r="AC225" s="782"/>
      <c r="AD225" s="782"/>
      <c r="AE225" s="782"/>
      <c r="AF225" s="782"/>
      <c r="AG225" s="782"/>
      <c r="AH225" s="782"/>
      <c r="AI225" s="782"/>
      <c r="AJ225" s="746"/>
      <c r="AK225" s="747"/>
      <c r="AL225" s="747"/>
      <c r="AM225" s="747"/>
      <c r="AN225" s="747"/>
      <c r="AO225" s="747"/>
      <c r="AP225" s="192"/>
      <c r="AQ225" s="192"/>
      <c r="AR225" s="192"/>
      <c r="AS225" s="192"/>
      <c r="AT225" s="192"/>
      <c r="BE225" s="263"/>
      <c r="BG225" s="263"/>
      <c r="BW225" s="263"/>
      <c r="CM225" s="263"/>
      <c r="DP225" s="263"/>
      <c r="FO225" s="263"/>
      <c r="FP225" s="958"/>
      <c r="FR225" s="619"/>
      <c r="FS225" s="375"/>
      <c r="GP225" s="251"/>
    </row>
    <row r="226" spans="2:198" s="245" customFormat="1">
      <c r="B226" s="706"/>
      <c r="D226" s="717"/>
      <c r="E226" s="753"/>
      <c r="F226" s="1659" t="s">
        <v>338</v>
      </c>
      <c r="G226" s="1660"/>
      <c r="H226" s="1660"/>
      <c r="I226" s="1660"/>
      <c r="J226" s="1660"/>
      <c r="K226" s="1838" t="s">
        <v>683</v>
      </c>
      <c r="L226" s="1839"/>
      <c r="M226" s="1839"/>
      <c r="N226" s="1839"/>
      <c r="O226" s="1839"/>
      <c r="P226" s="1839"/>
      <c r="Q226" s="1839"/>
      <c r="R226" s="1839"/>
      <c r="S226" s="1839"/>
      <c r="T226" s="1837">
        <f>T33</f>
        <v>0</v>
      </c>
      <c r="U226" s="1837"/>
      <c r="V226" s="1837"/>
      <c r="W226" s="1873" t="str">
        <f>IF(N463&lt;0,"weist eine negative Verzinsung auf.","verzinst sich mit einem Zinssatz von")</f>
        <v>verzinst sich mit einem Zinssatz von</v>
      </c>
      <c r="X226" s="1660"/>
      <c r="Y226" s="1660"/>
      <c r="Z226" s="1660"/>
      <c r="AA226" s="1660"/>
      <c r="AB226" s="1660"/>
      <c r="AC226" s="1660"/>
      <c r="AD226" s="1660"/>
      <c r="AE226" s="1660"/>
      <c r="AF226" s="1660"/>
      <c r="AG226" s="1660"/>
      <c r="AH226" s="1660"/>
      <c r="AI226" s="1635">
        <f>IF(N463&lt;0,"---",IF(N436=0,0,ROUNDDOWN(IRR(N436:N462),3)))</f>
        <v>0</v>
      </c>
      <c r="AJ226" s="1635"/>
      <c r="AK226" s="1635"/>
      <c r="AL226" s="1635"/>
      <c r="AM226" s="422"/>
      <c r="AN226" s="424"/>
      <c r="AO226" s="747"/>
      <c r="AP226" s="192"/>
      <c r="AQ226" s="192"/>
      <c r="AR226" s="192"/>
      <c r="AS226" s="192"/>
      <c r="AT226" s="192"/>
      <c r="BE226" s="263"/>
      <c r="BG226" s="263"/>
      <c r="BW226" s="263"/>
      <c r="CM226" s="263"/>
      <c r="DP226" s="263"/>
      <c r="FO226" s="263"/>
      <c r="FP226" s="958"/>
      <c r="FR226" s="619"/>
      <c r="FS226" s="375"/>
      <c r="GP226" s="251"/>
    </row>
    <row r="227" spans="2:198" ht="5.0999999999999996" customHeight="1">
      <c r="D227" s="717"/>
      <c r="E227" s="753"/>
      <c r="F227" s="753"/>
      <c r="G227" s="753"/>
      <c r="H227" s="753"/>
      <c r="I227" s="753"/>
      <c r="J227" s="753"/>
      <c r="K227" s="753"/>
      <c r="L227" s="753"/>
      <c r="M227" s="753"/>
      <c r="N227" s="753"/>
      <c r="O227" s="753"/>
      <c r="P227" s="753"/>
      <c r="Q227" s="753"/>
      <c r="R227" s="753"/>
      <c r="S227" s="753"/>
      <c r="T227" s="753"/>
      <c r="U227" s="753"/>
      <c r="V227" s="753"/>
      <c r="W227" s="753"/>
      <c r="X227" s="753"/>
      <c r="Y227" s="753"/>
      <c r="Z227" s="753"/>
      <c r="AA227" s="753"/>
      <c r="AB227" s="753"/>
      <c r="AC227" s="747"/>
      <c r="AD227" s="753"/>
      <c r="AE227" s="753"/>
      <c r="AF227" s="753"/>
      <c r="AG227" s="753"/>
      <c r="AH227" s="753"/>
      <c r="AI227" s="753"/>
      <c r="AJ227" s="753"/>
      <c r="AK227" s="753"/>
      <c r="AL227" s="753"/>
      <c r="AM227" s="753"/>
      <c r="AN227" s="753"/>
      <c r="AO227" s="753"/>
    </row>
    <row r="228" spans="2:198" s="245" customFormat="1" ht="2.1" customHeight="1">
      <c r="B228" s="706"/>
      <c r="D228" s="716"/>
      <c r="E228" s="747"/>
      <c r="F228" s="287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358"/>
      <c r="AB228" s="358"/>
      <c r="AC228" s="358"/>
      <c r="AD228" s="358"/>
      <c r="AE228" s="358"/>
      <c r="AF228" s="358"/>
      <c r="AG228" s="358"/>
      <c r="AH228" s="358"/>
      <c r="AI228" s="358"/>
      <c r="AJ228" s="287"/>
      <c r="AK228" s="251"/>
      <c r="AL228" s="251"/>
      <c r="AM228" s="251"/>
      <c r="AN228" s="251"/>
      <c r="AO228" s="747"/>
      <c r="AP228" s="192"/>
      <c r="AQ228" s="192"/>
      <c r="AR228" s="192"/>
      <c r="AS228" s="192"/>
      <c r="AT228" s="192"/>
      <c r="BE228" s="263"/>
      <c r="BG228" s="263"/>
      <c r="BW228" s="263"/>
      <c r="CM228" s="263"/>
      <c r="DC228" s="263"/>
      <c r="DP228" s="263"/>
      <c r="FO228" s="263"/>
      <c r="FP228" s="958"/>
      <c r="FR228" s="619"/>
      <c r="FS228" s="375"/>
      <c r="GP228" s="251"/>
    </row>
    <row r="229" spans="2:198" s="245" customFormat="1" ht="12.75" customHeight="1">
      <c r="B229" s="706"/>
      <c r="D229" s="716"/>
      <c r="E229" s="747"/>
      <c r="F229" s="287" t="s">
        <v>684</v>
      </c>
      <c r="G229" s="251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358"/>
      <c r="AB229" s="358"/>
      <c r="AC229" s="358"/>
      <c r="AD229" s="358"/>
      <c r="AE229" s="358"/>
      <c r="AF229" s="358"/>
      <c r="AG229" s="358"/>
      <c r="AH229" s="358"/>
      <c r="AI229" s="358"/>
      <c r="AJ229" s="287"/>
      <c r="AK229" s="251"/>
      <c r="AL229" s="251"/>
      <c r="AM229" s="251"/>
      <c r="AN229" s="251"/>
      <c r="AO229" s="747"/>
      <c r="AP229" s="192"/>
      <c r="AQ229" s="192"/>
      <c r="AR229" s="192"/>
      <c r="AS229" s="192"/>
      <c r="AT229" s="192"/>
      <c r="BE229" s="263"/>
      <c r="BG229" s="263"/>
      <c r="BW229" s="263"/>
      <c r="CM229" s="263"/>
      <c r="DC229" s="263"/>
      <c r="DP229" s="263"/>
      <c r="FO229" s="263"/>
      <c r="FP229" s="958"/>
      <c r="FR229" s="619"/>
      <c r="FS229" s="375"/>
      <c r="GP229" s="251"/>
    </row>
    <row r="230" spans="2:198" s="245" customFormat="1" ht="9.9499999999999993" customHeight="1">
      <c r="B230" s="706"/>
      <c r="D230" s="716"/>
      <c r="E230" s="747"/>
      <c r="F230" s="743" t="str">
        <f>IF(N463&lt;0,"",IF(AY29&gt;0,"&gt; Im vorliegenden Fall verzinst sich das in der Investiton gebundene Kapital mit "&amp;ROUND(AI226*100,2)&amp;"%.",""))</f>
        <v/>
      </c>
      <c r="G230" s="743"/>
      <c r="H230" s="743"/>
      <c r="I230" s="743"/>
      <c r="J230" s="743"/>
      <c r="K230" s="743"/>
      <c r="L230" s="741"/>
      <c r="M230" s="741"/>
      <c r="N230" s="741"/>
      <c r="O230" s="741"/>
      <c r="P230" s="741"/>
      <c r="Q230" s="741"/>
      <c r="R230" s="741"/>
      <c r="S230" s="741"/>
      <c r="T230" s="741"/>
      <c r="U230" s="741"/>
      <c r="V230" s="741"/>
      <c r="W230" s="741"/>
      <c r="X230" s="741"/>
      <c r="Y230" s="741"/>
      <c r="Z230" s="741"/>
      <c r="AA230" s="740"/>
      <c r="AB230" s="740"/>
      <c r="AC230" s="740"/>
      <c r="AD230" s="740"/>
      <c r="AE230" s="740"/>
      <c r="AF230" s="740"/>
      <c r="AG230" s="740"/>
      <c r="AH230" s="740"/>
      <c r="AI230" s="740"/>
      <c r="AJ230" s="741"/>
      <c r="AK230" s="741"/>
      <c r="AL230" s="741"/>
      <c r="AM230" s="741"/>
      <c r="AN230" s="741"/>
      <c r="AO230" s="747"/>
      <c r="AP230" s="192"/>
      <c r="AQ230" s="192"/>
      <c r="AR230" s="192"/>
      <c r="AS230" s="192"/>
      <c r="AT230" s="192"/>
      <c r="BE230" s="263"/>
      <c r="BG230" s="263"/>
      <c r="BW230" s="263"/>
      <c r="CM230" s="263"/>
      <c r="DC230" s="263"/>
      <c r="DP230" s="263"/>
      <c r="FO230" s="263"/>
      <c r="FP230" s="958"/>
      <c r="FR230" s="619"/>
      <c r="FS230" s="375"/>
      <c r="GP230" s="251"/>
    </row>
    <row r="231" spans="2:198" s="245" customFormat="1" ht="9.9499999999999993" customHeight="1">
      <c r="B231" s="706"/>
      <c r="D231" s="716"/>
      <c r="E231" s="747"/>
      <c r="F231" s="743" t="str">
        <f>IF(AY29&gt;0,"&gt; Der 'Interner Zinsfuß' (dynamische Methode) kennzeichnet die Rentabilität des jeweils in der Investition (Anlage) gebundenen Kapitals","")</f>
        <v/>
      </c>
      <c r="G231" s="743"/>
      <c r="H231" s="743"/>
      <c r="I231" s="743"/>
      <c r="J231" s="743"/>
      <c r="K231" s="743"/>
      <c r="L231" s="741"/>
      <c r="M231" s="741"/>
      <c r="N231" s="741"/>
      <c r="O231" s="741"/>
      <c r="P231" s="741"/>
      <c r="Q231" s="741"/>
      <c r="R231" s="741"/>
      <c r="S231" s="741"/>
      <c r="T231" s="741"/>
      <c r="U231" s="741"/>
      <c r="V231" s="741"/>
      <c r="W231" s="741"/>
      <c r="X231" s="741"/>
      <c r="Y231" s="741"/>
      <c r="Z231" s="741"/>
      <c r="AA231" s="740"/>
      <c r="AB231" s="740"/>
      <c r="AC231" s="740"/>
      <c r="AD231" s="740"/>
      <c r="AE231" s="740"/>
      <c r="AF231" s="740"/>
      <c r="AG231" s="740"/>
      <c r="AH231" s="740"/>
      <c r="AI231" s="740"/>
      <c r="AJ231" s="741"/>
      <c r="AK231" s="741"/>
      <c r="AL231" s="741"/>
      <c r="AM231" s="741"/>
      <c r="AN231" s="741"/>
      <c r="AO231" s="747"/>
      <c r="AP231" s="192"/>
      <c r="AQ231" s="192"/>
      <c r="AR231" s="192"/>
      <c r="AS231" s="192"/>
      <c r="AT231" s="192"/>
      <c r="BE231" s="263"/>
      <c r="BG231" s="263"/>
      <c r="BW231" s="263"/>
      <c r="CM231" s="263"/>
      <c r="DC231" s="263"/>
      <c r="DP231" s="263"/>
      <c r="FO231" s="263"/>
      <c r="FP231" s="958"/>
      <c r="FR231" s="619"/>
      <c r="FS231" s="375"/>
      <c r="GP231" s="251"/>
    </row>
    <row r="232" spans="2:198" s="245" customFormat="1" ht="9.9499999999999993" customHeight="1">
      <c r="B232" s="706"/>
      <c r="D232" s="716"/>
      <c r="E232" s="747"/>
      <c r="F232" s="743" t="str">
        <f>IF(AY29&gt;0,"   (effektive Verzinsung bzw. interne Rendite einer Investition, unabhängig von der Finanzierungsart).","")</f>
        <v/>
      </c>
      <c r="G232" s="743"/>
      <c r="H232" s="743"/>
      <c r="I232" s="743"/>
      <c r="J232" s="743"/>
      <c r="K232" s="743"/>
      <c r="L232" s="741"/>
      <c r="M232" s="741"/>
      <c r="N232" s="741"/>
      <c r="O232" s="741"/>
      <c r="P232" s="741"/>
      <c r="Q232" s="741"/>
      <c r="R232" s="741"/>
      <c r="S232" s="741"/>
      <c r="T232" s="741"/>
      <c r="U232" s="741"/>
      <c r="V232" s="741"/>
      <c r="W232" s="741"/>
      <c r="X232" s="741"/>
      <c r="Y232" s="741"/>
      <c r="Z232" s="741"/>
      <c r="AA232" s="740"/>
      <c r="AB232" s="740"/>
      <c r="AC232" s="740"/>
      <c r="AD232" s="740"/>
      <c r="AE232" s="740"/>
      <c r="AF232" s="740"/>
      <c r="AG232" s="740"/>
      <c r="AH232" s="740"/>
      <c r="AI232" s="740"/>
      <c r="AJ232" s="741"/>
      <c r="AK232" s="741"/>
      <c r="AL232" s="741"/>
      <c r="AM232" s="741"/>
      <c r="AN232" s="741"/>
      <c r="AO232" s="747"/>
      <c r="AP232" s="192"/>
      <c r="AQ232" s="192"/>
      <c r="AR232" s="192"/>
      <c r="AS232" s="192"/>
      <c r="AT232" s="192"/>
      <c r="BE232" s="263"/>
      <c r="BG232" s="263"/>
      <c r="BW232" s="263"/>
      <c r="CM232" s="263"/>
      <c r="DC232" s="263"/>
      <c r="DP232" s="263"/>
      <c r="FO232" s="263"/>
      <c r="FP232" s="958"/>
      <c r="FR232" s="619"/>
      <c r="FS232" s="375"/>
      <c r="GP232" s="251"/>
    </row>
    <row r="233" spans="2:198" s="245" customFormat="1" ht="5.0999999999999996" customHeight="1">
      <c r="B233" s="706"/>
      <c r="D233" s="716"/>
      <c r="E233" s="747"/>
      <c r="F233" s="759"/>
      <c r="G233" s="759"/>
      <c r="H233" s="759"/>
      <c r="I233" s="759"/>
      <c r="J233" s="759"/>
      <c r="K233" s="759"/>
      <c r="L233" s="752"/>
      <c r="M233" s="752"/>
      <c r="N233" s="752"/>
      <c r="O233" s="752"/>
      <c r="P233" s="752"/>
      <c r="Q233" s="752"/>
      <c r="R233" s="752"/>
      <c r="S233" s="752"/>
      <c r="T233" s="752"/>
      <c r="U233" s="752"/>
      <c r="V233" s="752"/>
      <c r="W233" s="752"/>
      <c r="X233" s="752"/>
      <c r="Y233" s="752"/>
      <c r="Z233" s="752"/>
      <c r="AA233" s="760"/>
      <c r="AB233" s="760"/>
      <c r="AC233" s="760"/>
      <c r="AD233" s="760"/>
      <c r="AE233" s="760"/>
      <c r="AF233" s="760"/>
      <c r="AG233" s="760"/>
      <c r="AH233" s="760"/>
      <c r="AI233" s="760"/>
      <c r="AJ233" s="752"/>
      <c r="AK233" s="752"/>
      <c r="AL233" s="752"/>
      <c r="AM233" s="752"/>
      <c r="AN233" s="752"/>
      <c r="AO233" s="747"/>
      <c r="AP233" s="192"/>
      <c r="AQ233" s="192"/>
      <c r="AR233" s="192"/>
      <c r="AS233" s="192"/>
      <c r="AT233" s="192"/>
      <c r="BE233" s="263"/>
      <c r="BG233" s="263"/>
      <c r="BW233" s="263"/>
      <c r="CM233" s="263"/>
      <c r="DC233" s="263"/>
      <c r="DP233" s="263"/>
      <c r="FO233" s="263"/>
      <c r="FP233" s="958"/>
      <c r="FR233" s="619"/>
      <c r="FS233" s="375"/>
      <c r="GP233" s="251"/>
    </row>
    <row r="234" spans="2:198" s="245" customFormat="1" ht="9.9499999999999993" customHeight="1">
      <c r="B234" s="706"/>
      <c r="D234" s="716"/>
      <c r="E234" s="716"/>
      <c r="F234" s="779"/>
      <c r="G234" s="779"/>
      <c r="H234" s="779"/>
      <c r="I234" s="779"/>
      <c r="J234" s="779"/>
      <c r="K234" s="779"/>
      <c r="L234" s="780"/>
      <c r="M234" s="780"/>
      <c r="N234" s="780"/>
      <c r="O234" s="780"/>
      <c r="P234" s="780"/>
      <c r="Q234" s="780"/>
      <c r="R234" s="780"/>
      <c r="S234" s="780"/>
      <c r="T234" s="780"/>
      <c r="U234" s="780"/>
      <c r="V234" s="780"/>
      <c r="W234" s="780"/>
      <c r="X234" s="780"/>
      <c r="Y234" s="780"/>
      <c r="Z234" s="780"/>
      <c r="AA234" s="781"/>
      <c r="AB234" s="781"/>
      <c r="AC234" s="781"/>
      <c r="AD234" s="781"/>
      <c r="AE234" s="781"/>
      <c r="AF234" s="781"/>
      <c r="AG234" s="781"/>
      <c r="AH234" s="781"/>
      <c r="AI234" s="781"/>
      <c r="AJ234" s="780"/>
      <c r="AK234" s="780"/>
      <c r="AL234" s="780"/>
      <c r="AM234" s="780"/>
      <c r="AN234" s="780"/>
      <c r="AO234" s="716"/>
      <c r="BE234" s="263"/>
      <c r="BG234" s="263"/>
      <c r="BW234" s="263"/>
      <c r="CM234" s="263"/>
      <c r="DC234" s="263"/>
      <c r="DP234" s="263"/>
      <c r="FO234" s="263"/>
      <c r="FP234" s="958"/>
      <c r="FR234" s="619"/>
      <c r="FS234" s="375"/>
      <c r="GP234" s="251"/>
    </row>
    <row r="235" spans="2:198" ht="3.2" customHeight="1">
      <c r="C235" s="1375" t="s">
        <v>501</v>
      </c>
      <c r="D235" s="269"/>
      <c r="E235" s="269"/>
      <c r="F235" s="269"/>
      <c r="G235" s="269"/>
      <c r="H235" s="269"/>
      <c r="I235" s="269"/>
      <c r="J235" s="269"/>
      <c r="K235" s="269"/>
      <c r="L235" s="269"/>
      <c r="M235" s="269"/>
      <c r="N235" s="269"/>
      <c r="O235" s="269"/>
      <c r="P235" s="269"/>
      <c r="Q235" s="269"/>
      <c r="R235" s="269"/>
      <c r="S235" s="269"/>
      <c r="T235" s="269"/>
      <c r="U235" s="269"/>
      <c r="V235" s="269"/>
      <c r="W235" s="269"/>
      <c r="X235" s="269"/>
      <c r="Y235" s="269"/>
      <c r="Z235" s="269"/>
      <c r="AA235" s="269"/>
      <c r="AB235" s="269"/>
      <c r="AC235" s="269"/>
      <c r="AD235" s="269"/>
      <c r="AE235" s="269"/>
      <c r="AF235" s="269"/>
      <c r="AG235" s="269"/>
      <c r="AH235" s="269"/>
      <c r="AI235" s="269"/>
      <c r="AJ235" s="269"/>
      <c r="AK235" s="269"/>
      <c r="AL235" s="269"/>
      <c r="AM235" s="269"/>
      <c r="AN235" s="269"/>
      <c r="AO235" s="270"/>
    </row>
    <row r="236" spans="2:198" ht="24.95" customHeight="1">
      <c r="C236" s="1376"/>
      <c r="D236" s="624" t="s">
        <v>477</v>
      </c>
      <c r="E236" s="624"/>
      <c r="F236" s="357"/>
      <c r="G236" s="272"/>
      <c r="H236" s="272"/>
      <c r="I236" s="272"/>
      <c r="J236" s="272"/>
      <c r="K236" s="272"/>
      <c r="L236" s="272"/>
      <c r="M236" s="272"/>
      <c r="N236" s="272"/>
      <c r="O236" s="272"/>
      <c r="P236" s="272"/>
      <c r="Q236" s="272"/>
      <c r="R236" s="272"/>
      <c r="S236" s="272"/>
      <c r="T236" s="272"/>
      <c r="U236" s="272"/>
      <c r="V236" s="272"/>
      <c r="W236" s="272"/>
      <c r="X236" s="272"/>
      <c r="Y236" s="272"/>
      <c r="Z236" s="272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7"/>
      <c r="AK236" s="272"/>
      <c r="AL236" s="272"/>
      <c r="AM236" s="272"/>
      <c r="AN236" s="272"/>
      <c r="AO236" s="273"/>
    </row>
    <row r="237" spans="2:198" ht="2.1" customHeight="1">
      <c r="C237" s="1377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  <c r="R237" s="249"/>
      <c r="S237" s="249"/>
      <c r="T237" s="249"/>
      <c r="U237" s="249"/>
      <c r="V237" s="249"/>
      <c r="W237" s="249"/>
      <c r="X237" s="249"/>
      <c r="Y237" s="249"/>
      <c r="Z237" s="249"/>
      <c r="AA237" s="249"/>
      <c r="AB237" s="249"/>
      <c r="AC237" s="249"/>
      <c r="AD237" s="249"/>
      <c r="AE237" s="249"/>
      <c r="AF237" s="249"/>
      <c r="AG237" s="249"/>
      <c r="AH237" s="249"/>
      <c r="AI237" s="249"/>
      <c r="AJ237" s="249"/>
      <c r="AK237" s="249"/>
      <c r="AL237" s="249"/>
      <c r="AM237" s="249"/>
      <c r="AN237" s="249"/>
      <c r="AO237" s="259"/>
      <c r="AP237" s="247"/>
      <c r="AQ237" s="247"/>
      <c r="AR237" s="247"/>
      <c r="AS237" s="247"/>
      <c r="AT237" s="247"/>
      <c r="AU237" s="247"/>
      <c r="AV237" s="247"/>
      <c r="AW237" s="247"/>
    </row>
    <row r="238" spans="2:198" ht="12.75" customHeight="1">
      <c r="D238" s="275"/>
      <c r="E238" s="275"/>
      <c r="F238" s="1664" t="str">
        <f>"** Der Wert des eigen verbrauchten Stroms wird in der Liquiditätsvorschau grundsätzlich als Einnahme (Einzahlung)
   behandelt. Bewertet wird der Wert des Eigenstroms mit "&amp;T172*100&amp;" ct/kWh (plus Inflation)."</f>
        <v>** Der Wert des eigen verbrauchten Stroms wird in der Liquiditätsvorschau grundsätzlich als Einnahme (Einzahlung)
   behandelt. Bewertet wird der Wert des Eigenstroms mit 20 ct/kWh (plus Inflation).</v>
      </c>
      <c r="G238" s="1664"/>
      <c r="H238" s="1664"/>
      <c r="I238" s="1664"/>
      <c r="J238" s="1664"/>
      <c r="K238" s="1664"/>
      <c r="L238" s="1664"/>
      <c r="M238" s="1664"/>
      <c r="N238" s="1664"/>
      <c r="O238" s="1664"/>
      <c r="P238" s="1664"/>
      <c r="Q238" s="1664"/>
      <c r="R238" s="1664"/>
      <c r="S238" s="1664"/>
      <c r="T238" s="1664"/>
      <c r="U238" s="1664"/>
      <c r="V238" s="1664"/>
      <c r="W238" s="1665"/>
      <c r="X238" s="360"/>
      <c r="Y238" s="361"/>
      <c r="Z238" s="362"/>
      <c r="AA238" s="361"/>
      <c r="AB238" s="361"/>
      <c r="AC238" s="363" t="s">
        <v>464</v>
      </c>
      <c r="AD238" s="1876">
        <v>1</v>
      </c>
      <c r="AE238" s="1876"/>
      <c r="AF238" s="1876"/>
      <c r="AG238" s="364" t="s">
        <v>381</v>
      </c>
      <c r="AH238" s="275"/>
      <c r="AI238" s="275"/>
      <c r="AJ238" s="275"/>
      <c r="AK238" s="275"/>
      <c r="AL238" s="275"/>
      <c r="AM238" s="275"/>
      <c r="AN238" s="275"/>
      <c r="AO238" s="259"/>
      <c r="AP238" s="247"/>
      <c r="AQ238" s="247"/>
      <c r="AR238" s="247"/>
      <c r="AS238" s="247"/>
      <c r="AT238" s="247"/>
    </row>
    <row r="239" spans="2:198" ht="12.75" customHeight="1">
      <c r="D239" s="448"/>
      <c r="E239" s="448"/>
      <c r="F239" s="1666"/>
      <c r="G239" s="1666"/>
      <c r="H239" s="1666"/>
      <c r="I239" s="1666"/>
      <c r="J239" s="1666"/>
      <c r="K239" s="1666"/>
      <c r="L239" s="1666"/>
      <c r="M239" s="1666"/>
      <c r="N239" s="1666"/>
      <c r="O239" s="1666"/>
      <c r="P239" s="1666"/>
      <c r="Q239" s="1666"/>
      <c r="R239" s="1666"/>
      <c r="S239" s="1666"/>
      <c r="T239" s="1666"/>
      <c r="U239" s="1666"/>
      <c r="V239" s="1666"/>
      <c r="W239" s="1667"/>
      <c r="X239" s="365"/>
      <c r="Y239" s="366"/>
      <c r="Z239" s="367"/>
      <c r="AA239" s="366"/>
      <c r="AB239" s="366"/>
      <c r="AC239" s="368" t="s">
        <v>488</v>
      </c>
      <c r="AD239" s="1770">
        <v>8.5</v>
      </c>
      <c r="AE239" s="1770"/>
      <c r="AF239" s="1770"/>
      <c r="AG239" s="369" t="s">
        <v>381</v>
      </c>
      <c r="AH239" s="355"/>
      <c r="AI239" s="354"/>
      <c r="AJ239" s="354"/>
      <c r="AK239" s="354"/>
      <c r="AL239" s="354"/>
      <c r="AM239" s="354"/>
      <c r="AN239" s="354"/>
      <c r="AO239" s="259"/>
      <c r="AP239" s="247"/>
      <c r="AQ239" s="247"/>
      <c r="AR239" s="247"/>
      <c r="AS239" s="247"/>
      <c r="AT239" s="247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</row>
    <row r="240" spans="2:198" ht="2.1" customHeight="1"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259"/>
      <c r="O240" s="259"/>
      <c r="P240" s="259"/>
      <c r="Q240" s="259"/>
      <c r="R240" s="259"/>
      <c r="S240" s="259"/>
      <c r="T240" s="259"/>
      <c r="U240" s="259"/>
      <c r="V240" s="259"/>
      <c r="W240" s="259"/>
      <c r="X240" s="259"/>
      <c r="Y240" s="259"/>
      <c r="Z240" s="259"/>
      <c r="AA240" s="259"/>
      <c r="AB240" s="259"/>
      <c r="AC240" s="259"/>
      <c r="AD240" s="259"/>
      <c r="AE240" s="259"/>
      <c r="AF240" s="259"/>
      <c r="AG240" s="259"/>
      <c r="AH240" s="259"/>
      <c r="AI240" s="259"/>
      <c r="AJ240" s="259"/>
      <c r="AK240" s="259"/>
      <c r="AL240" s="259"/>
      <c r="AM240" s="259"/>
      <c r="AN240" s="259"/>
      <c r="AO240" s="259"/>
      <c r="AP240" s="247"/>
      <c r="AQ240" s="247"/>
      <c r="AR240" s="247"/>
      <c r="AS240" s="247"/>
      <c r="AT240" s="247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</row>
    <row r="241" spans="4:77" ht="12.75" customHeight="1">
      <c r="D241" s="1550" t="s">
        <v>377</v>
      </c>
      <c r="E241" s="1550"/>
      <c r="F241" s="1550"/>
      <c r="G241" s="1629" t="s">
        <v>11</v>
      </c>
      <c r="H241" s="1630"/>
      <c r="I241" s="1630"/>
      <c r="J241" s="1630"/>
      <c r="K241" s="1630"/>
      <c r="L241" s="1630"/>
      <c r="M241" s="1631"/>
      <c r="N241" s="259"/>
      <c r="O241" s="1629" t="s">
        <v>12</v>
      </c>
      <c r="P241" s="1765"/>
      <c r="Q241" s="1765"/>
      <c r="R241" s="1765"/>
      <c r="S241" s="1765"/>
      <c r="T241" s="1765"/>
      <c r="U241" s="1765"/>
      <c r="V241" s="1765"/>
      <c r="W241" s="1766"/>
      <c r="X241" s="259"/>
      <c r="Y241" s="1764" t="s">
        <v>646</v>
      </c>
      <c r="Z241" s="1765"/>
      <c r="AA241" s="1765"/>
      <c r="AB241" s="1765"/>
      <c r="AC241" s="1765"/>
      <c r="AD241" s="1765"/>
      <c r="AE241" s="1765"/>
      <c r="AF241" s="1765"/>
      <c r="AG241" s="1765"/>
      <c r="AH241" s="1765"/>
      <c r="AI241" s="1765"/>
      <c r="AJ241" s="1765"/>
      <c r="AK241" s="1765"/>
      <c r="AL241" s="1765"/>
      <c r="AM241" s="1765"/>
      <c r="AN241" s="1766"/>
      <c r="AO241" s="259"/>
      <c r="AP241" s="247"/>
      <c r="AQ241" s="247"/>
      <c r="AR241" s="247"/>
      <c r="AS241" s="247"/>
      <c r="AT241" s="247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</row>
    <row r="242" spans="4:77" ht="8.1" customHeight="1">
      <c r="D242" s="275"/>
      <c r="E242" s="275"/>
      <c r="F242" s="304"/>
      <c r="G242" s="1668" t="s">
        <v>382</v>
      </c>
      <c r="H242" s="1567"/>
      <c r="I242" s="1567"/>
      <c r="J242" s="1632"/>
      <c r="K242" s="1632"/>
      <c r="L242" s="1567" t="str">
        <f>IF(AB170&gt;0,"Wert **","Wert")</f>
        <v>Wert</v>
      </c>
      <c r="M242" s="1636"/>
      <c r="N242" s="259"/>
      <c r="O242" s="1668" t="s">
        <v>46</v>
      </c>
      <c r="P242" s="1567"/>
      <c r="Q242" s="1767"/>
      <c r="R242" s="1767"/>
      <c r="S242" s="511" t="s">
        <v>327</v>
      </c>
      <c r="T242" s="1567" t="s">
        <v>329</v>
      </c>
      <c r="U242" s="1567"/>
      <c r="V242" s="1567" t="s">
        <v>331</v>
      </c>
      <c r="W242" s="1636"/>
      <c r="X242" s="259"/>
      <c r="Y242" s="1668" t="s">
        <v>375</v>
      </c>
      <c r="Z242" s="1567"/>
      <c r="AA242" s="1567" t="s">
        <v>334</v>
      </c>
      <c r="AB242" s="1567"/>
      <c r="AC242" s="1567"/>
      <c r="AD242" s="1567"/>
      <c r="AE242" s="1567"/>
      <c r="AF242" s="1567"/>
      <c r="AG242" s="1567"/>
      <c r="AH242" s="1567" t="s">
        <v>333</v>
      </c>
      <c r="AI242" s="1567"/>
      <c r="AJ242" s="1567"/>
      <c r="AK242" s="1567"/>
      <c r="AL242" s="1567"/>
      <c r="AM242" s="1567"/>
      <c r="AN242" s="1636"/>
      <c r="AO242" s="259"/>
      <c r="AP242" s="247"/>
      <c r="AQ242" s="247"/>
      <c r="AR242" s="247"/>
      <c r="AS242" s="247"/>
      <c r="AT242" s="247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</row>
    <row r="243" spans="4:77" ht="8.1" customHeight="1">
      <c r="D243" s="259"/>
      <c r="E243" s="259"/>
      <c r="F243" s="259"/>
      <c r="G243" s="1769" t="s">
        <v>326</v>
      </c>
      <c r="H243" s="1779"/>
      <c r="I243" s="1779"/>
      <c r="J243" s="1594"/>
      <c r="K243" s="1594"/>
      <c r="L243" s="1594" t="s">
        <v>319</v>
      </c>
      <c r="M243" s="1768"/>
      <c r="N243" s="259"/>
      <c r="O243" s="1769" t="str">
        <f>IF(AA102&gt;0,"Ansparung / Tilg.","Tilgung")</f>
        <v>Tilgung</v>
      </c>
      <c r="P243" s="1594"/>
      <c r="Q243" s="1594" t="s">
        <v>375</v>
      </c>
      <c r="R243" s="1594"/>
      <c r="S243" s="510" t="s">
        <v>328</v>
      </c>
      <c r="T243" s="1594" t="s">
        <v>330</v>
      </c>
      <c r="U243" s="1594"/>
      <c r="V243" s="1594" t="s">
        <v>332</v>
      </c>
      <c r="W243" s="1768"/>
      <c r="X243" s="259"/>
      <c r="Y243" s="1769" t="s">
        <v>336</v>
      </c>
      <c r="Z243" s="1594"/>
      <c r="AA243" s="1594" t="s">
        <v>335</v>
      </c>
      <c r="AB243" s="1594"/>
      <c r="AC243" s="1594"/>
      <c r="AD243" s="1594"/>
      <c r="AE243" s="1594"/>
      <c r="AF243" s="1594"/>
      <c r="AG243" s="1594"/>
      <c r="AH243" s="1594" t="s">
        <v>337</v>
      </c>
      <c r="AI243" s="1594"/>
      <c r="AJ243" s="1594"/>
      <c r="AK243" s="1594"/>
      <c r="AL243" s="1594"/>
      <c r="AM243" s="1594"/>
      <c r="AN243" s="1768"/>
      <c r="AO243" s="259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</row>
    <row r="244" spans="4:77" ht="8.1" customHeight="1">
      <c r="D244" s="259"/>
      <c r="E244" s="259"/>
      <c r="F244" s="259"/>
      <c r="G244" s="1771"/>
      <c r="H244" s="1772"/>
      <c r="I244" s="1772"/>
      <c r="J244" s="1672"/>
      <c r="K244" s="1672"/>
      <c r="L244" s="1672"/>
      <c r="M244" s="1778"/>
      <c r="N244" s="259"/>
      <c r="O244" s="1771"/>
      <c r="P244" s="1672"/>
      <c r="Q244" s="1672"/>
      <c r="R244" s="1672"/>
      <c r="S244" s="536"/>
      <c r="T244" s="1672"/>
      <c r="U244" s="1672"/>
      <c r="V244" s="1672"/>
      <c r="W244" s="1778"/>
      <c r="X244" s="259"/>
      <c r="Y244" s="1771"/>
      <c r="Z244" s="1672"/>
      <c r="AA244" s="1672"/>
      <c r="AB244" s="1672"/>
      <c r="AC244" s="1672"/>
      <c r="AD244" s="1672"/>
      <c r="AE244" s="1672"/>
      <c r="AF244" s="1672"/>
      <c r="AG244" s="1672"/>
      <c r="AH244" s="1672"/>
      <c r="AI244" s="1672"/>
      <c r="AJ244" s="1672"/>
      <c r="AK244" s="1672"/>
      <c r="AL244" s="1672"/>
      <c r="AM244" s="1672"/>
      <c r="AN244" s="1778"/>
      <c r="AO244" s="259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</row>
    <row r="245" spans="4:77" ht="12.75" customHeight="1">
      <c r="D245" s="1860" t="str">
        <f>IF($V$21&gt;=0,"Herst.jahr",0)</f>
        <v>Herst.jahr</v>
      </c>
      <c r="E245" s="1860"/>
      <c r="F245" s="1860"/>
      <c r="G245" s="1607">
        <f>IF($V$21&gt;=0,SUM(FD338:FD349),0)</f>
        <v>0</v>
      </c>
      <c r="H245" s="1608"/>
      <c r="I245" s="1609"/>
      <c r="J245" s="1605"/>
      <c r="K245" s="1608"/>
      <c r="L245" s="1605">
        <f>IF($V$21&gt;=0,SUM(FQ338:FQ349),0)</f>
        <v>0</v>
      </c>
      <c r="M245" s="1606"/>
      <c r="N245" s="457"/>
      <c r="O245" s="1639">
        <f>IF($V$21&gt;=0,SUM(GH338:GH349),0)</f>
        <v>0</v>
      </c>
      <c r="P245" s="1640"/>
      <c r="Q245" s="1641">
        <f>IF($V$21&gt;=0,SUM(GL338:GL349),0)</f>
        <v>0</v>
      </c>
      <c r="R245" s="1640"/>
      <c r="S245" s="452">
        <f>IF($V$21&gt;=0,SUM(EF338:EF349)*(-1),0)</f>
        <v>0</v>
      </c>
      <c r="T245" s="1641">
        <f>IF($V$21&gt;=0,SUM(EL338:EL349)*(-1),0)</f>
        <v>0</v>
      </c>
      <c r="U245" s="1640"/>
      <c r="V245" s="1641">
        <f>IF($V$21&gt;=0,SUM(ER338:ER349)*(-1),0)</f>
        <v>0</v>
      </c>
      <c r="W245" s="1684"/>
      <c r="X245" s="457"/>
      <c r="Y245" s="1581">
        <f>IF($V$21&gt;=0,SUM(FY338:FY349),0)</f>
        <v>0</v>
      </c>
      <c r="Z245" s="1582"/>
      <c r="AA245" s="1616">
        <f>IF($V$21&gt;=0,(G245+J245+L245)-(O245+Q245+S245+T245+V245)+Y245,0)</f>
        <v>0</v>
      </c>
      <c r="AB245" s="1616"/>
      <c r="AC245" s="1616"/>
      <c r="AD245" s="1616"/>
      <c r="AE245" s="1616"/>
      <c r="AF245" s="1616"/>
      <c r="AG245" s="1616"/>
      <c r="AH245" s="1616">
        <f>AA245</f>
        <v>0</v>
      </c>
      <c r="AI245" s="1616"/>
      <c r="AJ245" s="1616"/>
      <c r="AK245" s="1616"/>
      <c r="AL245" s="1616"/>
      <c r="AM245" s="1616"/>
      <c r="AN245" s="1617"/>
      <c r="AO245" s="259"/>
      <c r="AP245" s="539"/>
      <c r="AQ245" s="539"/>
      <c r="AR245" s="539"/>
      <c r="AS245" s="539"/>
      <c r="AT245" s="539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</row>
    <row r="246" spans="4:77" ht="2.1" customHeight="1">
      <c r="D246" s="259"/>
      <c r="E246" s="259"/>
      <c r="F246" s="259"/>
      <c r="G246" s="1607"/>
      <c r="H246" s="1608"/>
      <c r="I246" s="1609"/>
      <c r="J246" s="1605"/>
      <c r="K246" s="1608"/>
      <c r="L246" s="1605"/>
      <c r="M246" s="1606"/>
      <c r="N246" s="457"/>
      <c r="O246" s="1639"/>
      <c r="P246" s="1640"/>
      <c r="Q246" s="1641"/>
      <c r="R246" s="1640"/>
      <c r="S246" s="452"/>
      <c r="T246" s="1641"/>
      <c r="U246" s="1640"/>
      <c r="V246" s="1641"/>
      <c r="W246" s="1684"/>
      <c r="X246" s="457"/>
      <c r="Y246" s="1581"/>
      <c r="Z246" s="1582"/>
      <c r="AA246" s="1616"/>
      <c r="AB246" s="1616"/>
      <c r="AC246" s="1616"/>
      <c r="AD246" s="1616"/>
      <c r="AE246" s="1616"/>
      <c r="AF246" s="1616"/>
      <c r="AG246" s="1616"/>
      <c r="AH246" s="1569"/>
      <c r="AI246" s="1570"/>
      <c r="AJ246" s="1570"/>
      <c r="AK246" s="1570"/>
      <c r="AL246" s="1570"/>
      <c r="AM246" s="1570"/>
      <c r="AN246" s="1571"/>
      <c r="AO246" s="259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</row>
    <row r="247" spans="4:77" ht="12.75" customHeight="1">
      <c r="D247" s="1613">
        <f>IF($V$21-1&gt;=0,1,0)</f>
        <v>1</v>
      </c>
      <c r="E247" s="1613"/>
      <c r="F247" s="1613"/>
      <c r="G247" s="1607">
        <f>IF(D247&gt;0,SUM(FD350:FD361),0)</f>
        <v>0</v>
      </c>
      <c r="H247" s="1608"/>
      <c r="I247" s="1609"/>
      <c r="J247" s="1605"/>
      <c r="K247" s="1608"/>
      <c r="L247" s="1605">
        <f>IF(D247&gt;0,SUM(FQ350:FQ361),0)</f>
        <v>0</v>
      </c>
      <c r="M247" s="1606"/>
      <c r="N247" s="457"/>
      <c r="O247" s="1639">
        <f>IF(D247&gt;0,SUM(GH350:GH361),0)</f>
        <v>0</v>
      </c>
      <c r="P247" s="1640"/>
      <c r="Q247" s="1641">
        <f>IF(D247&gt;0,SUM(GL350:GL361),0)</f>
        <v>0</v>
      </c>
      <c r="R247" s="1640"/>
      <c r="S247" s="452">
        <f>IF(D247&gt;0,SUM(EF350:EF361)*(-1),0)</f>
        <v>0</v>
      </c>
      <c r="T247" s="1641">
        <f>IF(D247&gt;0,SUM(EL350:EL361)*(-1),0)</f>
        <v>0</v>
      </c>
      <c r="U247" s="1640"/>
      <c r="V247" s="1641">
        <f>IF(D247&gt;0,SUM(ER350:ER361)*(-1),0)</f>
        <v>0</v>
      </c>
      <c r="W247" s="1684"/>
      <c r="X247" s="457"/>
      <c r="Y247" s="1581">
        <f>IF(D247&gt;0,SUM(FY350:FY361),0)</f>
        <v>0</v>
      </c>
      <c r="Z247" s="1582"/>
      <c r="AA247" s="1616">
        <f>IF(D247&gt;0,(G247+J247+L247)-(O247+Q247+S247+T247+V247)+Y247,0)</f>
        <v>0</v>
      </c>
      <c r="AB247" s="1616"/>
      <c r="AC247" s="1616"/>
      <c r="AD247" s="1616"/>
      <c r="AE247" s="1616"/>
      <c r="AF247" s="1616"/>
      <c r="AG247" s="1616"/>
      <c r="AH247" s="1616">
        <f>IF(D247&gt;0,AH245+AA247,0)</f>
        <v>0</v>
      </c>
      <c r="AI247" s="1616"/>
      <c r="AJ247" s="1616"/>
      <c r="AK247" s="1616"/>
      <c r="AL247" s="1616"/>
      <c r="AM247" s="1616"/>
      <c r="AN247" s="1617"/>
      <c r="AO247" s="259"/>
      <c r="AP247" s="539"/>
      <c r="AQ247" s="539"/>
      <c r="AR247" s="539"/>
      <c r="AS247" s="539"/>
      <c r="AT247" s="539"/>
      <c r="AU247" s="540">
        <f>IF(AH247&lt;0,1,0)</f>
        <v>0</v>
      </c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</row>
    <row r="248" spans="4:77" ht="2.1" customHeight="1">
      <c r="D248" s="259"/>
      <c r="E248" s="259"/>
      <c r="F248" s="259"/>
      <c r="G248" s="1607"/>
      <c r="H248" s="1608"/>
      <c r="I248" s="1609"/>
      <c r="J248" s="1605"/>
      <c r="K248" s="1608"/>
      <c r="L248" s="1605"/>
      <c r="M248" s="1606"/>
      <c r="N248" s="457"/>
      <c r="O248" s="1639"/>
      <c r="P248" s="1640"/>
      <c r="Q248" s="1641"/>
      <c r="R248" s="1640"/>
      <c r="S248" s="452"/>
      <c r="T248" s="1641"/>
      <c r="U248" s="1640"/>
      <c r="V248" s="1641"/>
      <c r="W248" s="1684"/>
      <c r="X248" s="457"/>
      <c r="Y248" s="1581"/>
      <c r="Z248" s="1582"/>
      <c r="AA248" s="1616"/>
      <c r="AB248" s="1616"/>
      <c r="AC248" s="1616"/>
      <c r="AD248" s="1616"/>
      <c r="AE248" s="1616"/>
      <c r="AF248" s="1616"/>
      <c r="AG248" s="1616"/>
      <c r="AH248" s="1569"/>
      <c r="AI248" s="1570"/>
      <c r="AJ248" s="1570"/>
      <c r="AK248" s="1570"/>
      <c r="AL248" s="1570"/>
      <c r="AM248" s="1570"/>
      <c r="AN248" s="1571"/>
      <c r="AO248" s="259"/>
      <c r="AU248" s="541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</row>
    <row r="249" spans="4:77" ht="12.75" customHeight="1">
      <c r="D249" s="1613">
        <f>IF($V$21-2&gt;=0,2,0)</f>
        <v>2</v>
      </c>
      <c r="E249" s="1613"/>
      <c r="F249" s="1613"/>
      <c r="G249" s="1607">
        <f>IF(D249&gt;0,SUM(FD362:FD373),0)</f>
        <v>0</v>
      </c>
      <c r="H249" s="1608"/>
      <c r="I249" s="1609"/>
      <c r="J249" s="1605"/>
      <c r="K249" s="1608"/>
      <c r="L249" s="1605">
        <f>IF(D249&gt;0,SUM(FQ362:FQ373),0)</f>
        <v>0</v>
      </c>
      <c r="M249" s="1606"/>
      <c r="N249" s="457"/>
      <c r="O249" s="1639">
        <f>IF(D249&gt;0,SUM(GH362:GH373),0)</f>
        <v>0</v>
      </c>
      <c r="P249" s="1640"/>
      <c r="Q249" s="1641">
        <f>IF(D249&gt;0,SUM(GL362:GO373),0)</f>
        <v>0</v>
      </c>
      <c r="R249" s="1640"/>
      <c r="S249" s="452">
        <f>IF(D249&gt;0,SUM(EF362:EF373)*(-1),0)</f>
        <v>0</v>
      </c>
      <c r="T249" s="1641">
        <f>IF(D249&gt;0,SUM(EL362:EL373)*(-1),0)</f>
        <v>0</v>
      </c>
      <c r="U249" s="1640"/>
      <c r="V249" s="1641">
        <f>IF(D249&gt;0,SUM(ER362:ER373)*(-1),0)</f>
        <v>0</v>
      </c>
      <c r="W249" s="1684"/>
      <c r="X249" s="457"/>
      <c r="Y249" s="1581">
        <f>IF(D249&gt;0,SUM(FY362:FY373),0)</f>
        <v>0</v>
      </c>
      <c r="Z249" s="1582"/>
      <c r="AA249" s="1616">
        <f>IF(D249&gt;0,(G249+J249+L249)-(O249+Q249+S249+T249+V249)+Y249,0)</f>
        <v>0</v>
      </c>
      <c r="AB249" s="1616"/>
      <c r="AC249" s="1616"/>
      <c r="AD249" s="1616"/>
      <c r="AE249" s="1616"/>
      <c r="AF249" s="1616"/>
      <c r="AG249" s="1616"/>
      <c r="AH249" s="1616">
        <f>IF(D249&gt;0,AH247+AA249,0)</f>
        <v>0</v>
      </c>
      <c r="AI249" s="1616"/>
      <c r="AJ249" s="1616"/>
      <c r="AK249" s="1616"/>
      <c r="AL249" s="1616"/>
      <c r="AM249" s="1616"/>
      <c r="AN249" s="1617"/>
      <c r="AO249" s="259"/>
      <c r="AU249" s="541">
        <f>IF(AH249&lt;0,1,0)</f>
        <v>0</v>
      </c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</row>
    <row r="250" spans="4:77" ht="2.1" customHeight="1">
      <c r="D250" s="259"/>
      <c r="E250" s="259"/>
      <c r="F250" s="259"/>
      <c r="G250" s="1607"/>
      <c r="H250" s="1608"/>
      <c r="I250" s="1609"/>
      <c r="J250" s="1605"/>
      <c r="K250" s="1608"/>
      <c r="L250" s="1605"/>
      <c r="M250" s="1606"/>
      <c r="N250" s="457"/>
      <c r="O250" s="1639"/>
      <c r="P250" s="1640"/>
      <c r="Q250" s="1641"/>
      <c r="R250" s="1640"/>
      <c r="S250" s="452"/>
      <c r="T250" s="1641"/>
      <c r="U250" s="1640"/>
      <c r="V250" s="1641"/>
      <c r="W250" s="1684"/>
      <c r="X250" s="457"/>
      <c r="Y250" s="1581"/>
      <c r="Z250" s="1582"/>
      <c r="AA250" s="1616"/>
      <c r="AB250" s="1616"/>
      <c r="AC250" s="1616"/>
      <c r="AD250" s="1616"/>
      <c r="AE250" s="1616"/>
      <c r="AF250" s="1616"/>
      <c r="AG250" s="1616"/>
      <c r="AH250" s="1569"/>
      <c r="AI250" s="1570"/>
      <c r="AJ250" s="1570"/>
      <c r="AK250" s="1570"/>
      <c r="AL250" s="1570"/>
      <c r="AM250" s="1570"/>
      <c r="AN250" s="1571"/>
      <c r="AO250" s="259"/>
      <c r="AU250" s="541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</row>
    <row r="251" spans="4:77" ht="12.75" customHeight="1">
      <c r="D251" s="1613">
        <f>IF($V$21-3&gt;=0,3,0)</f>
        <v>3</v>
      </c>
      <c r="E251" s="1613"/>
      <c r="F251" s="1613"/>
      <c r="G251" s="1607">
        <f>IF(D251&gt;0,SUM(FD374:FD385),0)</f>
        <v>0</v>
      </c>
      <c r="H251" s="1608"/>
      <c r="I251" s="1609"/>
      <c r="J251" s="1605"/>
      <c r="K251" s="1608"/>
      <c r="L251" s="1605">
        <f>IF(D251&gt;0,SUM(FQ374:FQ385),0)</f>
        <v>0</v>
      </c>
      <c r="M251" s="1606"/>
      <c r="N251" s="457"/>
      <c r="O251" s="1639">
        <f>IF(D251&gt;0,SUM(GH374:GH385),0)</f>
        <v>0</v>
      </c>
      <c r="P251" s="1640"/>
      <c r="Q251" s="1641">
        <f>IF(D251&gt;0,SUM(GL374:GL385),0)</f>
        <v>0</v>
      </c>
      <c r="R251" s="1640"/>
      <c r="S251" s="452">
        <f>IF(D251&gt;0,SUM(EF374:EF385)*(-1),0)</f>
        <v>0</v>
      </c>
      <c r="T251" s="1641">
        <f>IF(D251&gt;0,SUM(EL374:EL385)*(-1),0)</f>
        <v>0</v>
      </c>
      <c r="U251" s="1640"/>
      <c r="V251" s="1641">
        <f>IF(D251&gt;0,SUM(ER374:ER385)*(-1),0)</f>
        <v>0</v>
      </c>
      <c r="W251" s="1684"/>
      <c r="X251" s="457"/>
      <c r="Y251" s="1581">
        <f>IF(D251&gt;0,SUM(FY374:FY385),0)</f>
        <v>0</v>
      </c>
      <c r="Z251" s="1582"/>
      <c r="AA251" s="1616">
        <f>IF(D251&gt;0,(G251+J251+L251)-(O251+Q251+S251+T251+V251)+Y251,0)</f>
        <v>0</v>
      </c>
      <c r="AB251" s="1616"/>
      <c r="AC251" s="1616"/>
      <c r="AD251" s="1616"/>
      <c r="AE251" s="1616"/>
      <c r="AF251" s="1616"/>
      <c r="AG251" s="1616"/>
      <c r="AH251" s="1616">
        <f>IF(D251&gt;0,AH249+AA251,0)</f>
        <v>0</v>
      </c>
      <c r="AI251" s="1616"/>
      <c r="AJ251" s="1616"/>
      <c r="AK251" s="1616"/>
      <c r="AL251" s="1616"/>
      <c r="AM251" s="1616"/>
      <c r="AN251" s="1617"/>
      <c r="AO251" s="259"/>
      <c r="AU251" s="541">
        <f>IF(AH251&lt;0,1,0)</f>
        <v>0</v>
      </c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</row>
    <row r="252" spans="4:77" ht="2.1" customHeight="1">
      <c r="D252" s="259"/>
      <c r="E252" s="259"/>
      <c r="F252" s="259"/>
      <c r="G252" s="1607"/>
      <c r="H252" s="1608"/>
      <c r="I252" s="1609"/>
      <c r="J252" s="1605"/>
      <c r="K252" s="1608"/>
      <c r="L252" s="1605"/>
      <c r="M252" s="1606"/>
      <c r="N252" s="457"/>
      <c r="O252" s="1639"/>
      <c r="P252" s="1640"/>
      <c r="Q252" s="1641"/>
      <c r="R252" s="1640"/>
      <c r="S252" s="452"/>
      <c r="T252" s="1641"/>
      <c r="U252" s="1640"/>
      <c r="V252" s="1641"/>
      <c r="W252" s="1684"/>
      <c r="X252" s="457"/>
      <c r="Y252" s="1581"/>
      <c r="Z252" s="1582"/>
      <c r="AA252" s="1616"/>
      <c r="AB252" s="1616"/>
      <c r="AC252" s="1616"/>
      <c r="AD252" s="1616"/>
      <c r="AE252" s="1616"/>
      <c r="AF252" s="1616"/>
      <c r="AG252" s="1616"/>
      <c r="AH252" s="1569"/>
      <c r="AI252" s="1570"/>
      <c r="AJ252" s="1570"/>
      <c r="AK252" s="1570"/>
      <c r="AL252" s="1570"/>
      <c r="AM252" s="1570"/>
      <c r="AN252" s="1571"/>
      <c r="AO252" s="259"/>
      <c r="AU252" s="541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</row>
    <row r="253" spans="4:77" ht="12.75" customHeight="1">
      <c r="D253" s="1613">
        <f>IF($V$21-4&gt;=0,4,0)</f>
        <v>4</v>
      </c>
      <c r="E253" s="1613"/>
      <c r="F253" s="1613"/>
      <c r="G253" s="1607">
        <f>IF(D253&gt;0,SUM(FD386:FD397),0)</f>
        <v>0</v>
      </c>
      <c r="H253" s="1608"/>
      <c r="I253" s="1609"/>
      <c r="J253" s="1605"/>
      <c r="K253" s="1608"/>
      <c r="L253" s="1605">
        <f>IF(D253&gt;0,SUM(FQ386:FQ397),0)</f>
        <v>0</v>
      </c>
      <c r="M253" s="1606"/>
      <c r="N253" s="457"/>
      <c r="O253" s="1639">
        <f>IF(D253&gt;0,SUM(GH386:GH397),0)</f>
        <v>0</v>
      </c>
      <c r="P253" s="1640"/>
      <c r="Q253" s="1641">
        <f>IF(D253&gt;0,SUM(GL386:GL397),0)</f>
        <v>0</v>
      </c>
      <c r="R253" s="1640"/>
      <c r="S253" s="452">
        <f>IF(D253&gt;0,SUM(EF386:EF397)*(-1),0)</f>
        <v>0</v>
      </c>
      <c r="T253" s="1641">
        <f>IF(D253&gt;0,SUM(EL386:EL397)*(-1),0)</f>
        <v>0</v>
      </c>
      <c r="U253" s="1640"/>
      <c r="V253" s="1641">
        <f>IF(D253&gt;0,SUM(ER386:ER397)*(-1),0)</f>
        <v>0</v>
      </c>
      <c r="W253" s="1684"/>
      <c r="X253" s="457"/>
      <c r="Y253" s="1581">
        <f>IF(D253&gt;0,SUM(FY386:FY397),0)</f>
        <v>0</v>
      </c>
      <c r="Z253" s="1582"/>
      <c r="AA253" s="1616">
        <f>IF(D253&gt;0,(G253+J253+L253)-(O253+Q253+S253+T253+V253)+Y253,0)</f>
        <v>0</v>
      </c>
      <c r="AB253" s="1616"/>
      <c r="AC253" s="1616"/>
      <c r="AD253" s="1616"/>
      <c r="AE253" s="1616"/>
      <c r="AF253" s="1616"/>
      <c r="AG253" s="1616"/>
      <c r="AH253" s="1616">
        <f>IF(D253&gt;0,AH251+AA253,0)</f>
        <v>0</v>
      </c>
      <c r="AI253" s="1616"/>
      <c r="AJ253" s="1616"/>
      <c r="AK253" s="1616"/>
      <c r="AL253" s="1616"/>
      <c r="AM253" s="1616"/>
      <c r="AN253" s="1617"/>
      <c r="AO253" s="259"/>
      <c r="AU253" s="541">
        <f>IF(AH253&lt;0,1,0)</f>
        <v>0</v>
      </c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</row>
    <row r="254" spans="4:77" ht="2.1" customHeight="1">
      <c r="D254" s="259"/>
      <c r="E254" s="259"/>
      <c r="F254" s="259"/>
      <c r="G254" s="1607"/>
      <c r="H254" s="1608"/>
      <c r="I254" s="1609"/>
      <c r="J254" s="1605"/>
      <c r="K254" s="1608"/>
      <c r="L254" s="1605"/>
      <c r="M254" s="1606"/>
      <c r="N254" s="457"/>
      <c r="O254" s="1639"/>
      <c r="P254" s="1640"/>
      <c r="Q254" s="1641"/>
      <c r="R254" s="1640"/>
      <c r="S254" s="452"/>
      <c r="T254" s="1641"/>
      <c r="U254" s="1640"/>
      <c r="V254" s="1641"/>
      <c r="W254" s="1684"/>
      <c r="X254" s="457"/>
      <c r="Y254" s="1581"/>
      <c r="Z254" s="1582"/>
      <c r="AA254" s="1616"/>
      <c r="AB254" s="1616"/>
      <c r="AC254" s="1616"/>
      <c r="AD254" s="1616"/>
      <c r="AE254" s="1616"/>
      <c r="AF254" s="1616"/>
      <c r="AG254" s="1616"/>
      <c r="AH254" s="1569"/>
      <c r="AI254" s="1570"/>
      <c r="AJ254" s="1570"/>
      <c r="AK254" s="1570"/>
      <c r="AL254" s="1570"/>
      <c r="AM254" s="1570"/>
      <c r="AN254" s="1571"/>
      <c r="AO254" s="259"/>
      <c r="AU254" s="541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</row>
    <row r="255" spans="4:77" ht="12.75" customHeight="1">
      <c r="D255" s="1613">
        <f>IF($V$21-5&gt;=0,5,0)</f>
        <v>5</v>
      </c>
      <c r="E255" s="1613"/>
      <c r="F255" s="1613"/>
      <c r="G255" s="1607">
        <f>IF(D255&gt;0,SUM(FD398:FD409),0)</f>
        <v>0</v>
      </c>
      <c r="H255" s="1608"/>
      <c r="I255" s="1609"/>
      <c r="J255" s="1605"/>
      <c r="K255" s="1608"/>
      <c r="L255" s="1605">
        <f>IF(D255&gt;0,SUM(FQ398:FQ409),0)</f>
        <v>0</v>
      </c>
      <c r="M255" s="1606"/>
      <c r="N255" s="457"/>
      <c r="O255" s="1639">
        <f>IF(D255&gt;0,SUM(GH398:GH409),0)</f>
        <v>0</v>
      </c>
      <c r="P255" s="1640"/>
      <c r="Q255" s="1641">
        <f>IF(D255&gt;0,SUM(GL398:GL409),0)</f>
        <v>0</v>
      </c>
      <c r="R255" s="1640"/>
      <c r="S255" s="452">
        <f>IF(D255&gt;0,SUM(EF398:EF409)*(-1),0)</f>
        <v>0</v>
      </c>
      <c r="T255" s="1641">
        <f>IF(D255&gt;0,SUM(EL398:EL409)*(-1),0)</f>
        <v>0</v>
      </c>
      <c r="U255" s="1640"/>
      <c r="V255" s="1641">
        <f>IF(D255&gt;0,SUM(ER398:ER409)*(-1),0)</f>
        <v>0</v>
      </c>
      <c r="W255" s="1684"/>
      <c r="X255" s="457"/>
      <c r="Y255" s="1581">
        <f>IF(D255&gt;0,SUM(FY398:FY409),0)</f>
        <v>0</v>
      </c>
      <c r="Z255" s="1582"/>
      <c r="AA255" s="1616">
        <f>IF(D255&gt;0,(G255+J255+L255)-(O255+Q255+S255+T255+V255)+Y255,0)</f>
        <v>0</v>
      </c>
      <c r="AB255" s="1616"/>
      <c r="AC255" s="1616"/>
      <c r="AD255" s="1616"/>
      <c r="AE255" s="1616"/>
      <c r="AF255" s="1616"/>
      <c r="AG255" s="1616"/>
      <c r="AH255" s="1616">
        <f>IF(D255&gt;0,AH253+AA255,0)</f>
        <v>0</v>
      </c>
      <c r="AI255" s="1616"/>
      <c r="AJ255" s="1616"/>
      <c r="AK255" s="1616"/>
      <c r="AL255" s="1616"/>
      <c r="AM255" s="1616"/>
      <c r="AN255" s="1617"/>
      <c r="AO255" s="259"/>
      <c r="AU255" s="541">
        <f>IF(AH255&lt;0,1,0)</f>
        <v>0</v>
      </c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</row>
    <row r="256" spans="4:77" ht="2.1" customHeight="1">
      <c r="D256" s="259"/>
      <c r="E256" s="259"/>
      <c r="F256" s="259"/>
      <c r="G256" s="1607"/>
      <c r="H256" s="1608"/>
      <c r="I256" s="1609"/>
      <c r="J256" s="1605"/>
      <c r="K256" s="1608"/>
      <c r="L256" s="1605"/>
      <c r="M256" s="1606"/>
      <c r="N256" s="457"/>
      <c r="O256" s="1639"/>
      <c r="P256" s="1640"/>
      <c r="Q256" s="1641"/>
      <c r="R256" s="1640"/>
      <c r="S256" s="452"/>
      <c r="T256" s="1641"/>
      <c r="U256" s="1640"/>
      <c r="V256" s="1641"/>
      <c r="W256" s="1684"/>
      <c r="X256" s="457"/>
      <c r="Y256" s="1581"/>
      <c r="Z256" s="1582"/>
      <c r="AA256" s="1616"/>
      <c r="AB256" s="1616"/>
      <c r="AC256" s="1616"/>
      <c r="AD256" s="1616"/>
      <c r="AE256" s="1616"/>
      <c r="AF256" s="1616"/>
      <c r="AG256" s="1616"/>
      <c r="AH256" s="1569"/>
      <c r="AI256" s="1570"/>
      <c r="AJ256" s="1570"/>
      <c r="AK256" s="1570"/>
      <c r="AL256" s="1570"/>
      <c r="AM256" s="1570"/>
      <c r="AN256" s="1571"/>
      <c r="AO256" s="259"/>
      <c r="AU256" s="541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</row>
    <row r="257" spans="4:135" ht="12.75" customHeight="1">
      <c r="D257" s="1613">
        <f>IF($V$21-6&gt;=0,6,0)</f>
        <v>6</v>
      </c>
      <c r="E257" s="1613"/>
      <c r="F257" s="1613"/>
      <c r="G257" s="1607">
        <f>IF(D257&gt;0,SUM(FD410:FD421),0)</f>
        <v>0</v>
      </c>
      <c r="H257" s="1608"/>
      <c r="I257" s="1609"/>
      <c r="J257" s="1605"/>
      <c r="K257" s="1608"/>
      <c r="L257" s="1605">
        <f>IF(D257&gt;0,SUM(FQ410:FQ421),0)</f>
        <v>0</v>
      </c>
      <c r="M257" s="1606"/>
      <c r="N257" s="457"/>
      <c r="O257" s="1639">
        <f>IF(D257&gt;0,SUM(GH410:GH421),0)</f>
        <v>0</v>
      </c>
      <c r="P257" s="1640"/>
      <c r="Q257" s="1641">
        <f>IF(D257&gt;0,SUM(GL410:GL421),0)</f>
        <v>0</v>
      </c>
      <c r="R257" s="1640"/>
      <c r="S257" s="452">
        <f>IF(D257&gt;0,SUM(EF410:EF421)*(-1),0)</f>
        <v>0</v>
      </c>
      <c r="T257" s="1641">
        <f>IF(D257&gt;0,SUM(EL410:EL421)*(-1),0)</f>
        <v>0</v>
      </c>
      <c r="U257" s="1640"/>
      <c r="V257" s="1641">
        <f>IF(D257&gt;0,SUM(ER410:ER421)*(-1),0)</f>
        <v>0</v>
      </c>
      <c r="W257" s="1684"/>
      <c r="X257" s="457"/>
      <c r="Y257" s="1581">
        <f>IF(D257&gt;0,SUM(FY410:FY421),0)</f>
        <v>0</v>
      </c>
      <c r="Z257" s="1582"/>
      <c r="AA257" s="1616">
        <f>IF(D257&gt;0,(G257+J257+L257)-(O257+Q257+S257+T257+V257)+Y257,0)</f>
        <v>0</v>
      </c>
      <c r="AB257" s="1616"/>
      <c r="AC257" s="1616"/>
      <c r="AD257" s="1616"/>
      <c r="AE257" s="1616"/>
      <c r="AF257" s="1616"/>
      <c r="AG257" s="1616"/>
      <c r="AH257" s="1616">
        <f>IF(D257&gt;0,AH255+AA257,0)</f>
        <v>0</v>
      </c>
      <c r="AI257" s="1616"/>
      <c r="AJ257" s="1616"/>
      <c r="AK257" s="1616"/>
      <c r="AL257" s="1616"/>
      <c r="AM257" s="1616"/>
      <c r="AN257" s="1617"/>
      <c r="AO257" s="259"/>
      <c r="AU257" s="541">
        <f>IF(AH257&lt;0,1,0)</f>
        <v>0</v>
      </c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</row>
    <row r="258" spans="4:135" ht="2.1" customHeight="1">
      <c r="D258" s="259"/>
      <c r="E258" s="259"/>
      <c r="F258" s="259"/>
      <c r="G258" s="1607"/>
      <c r="H258" s="1608"/>
      <c r="I258" s="1609"/>
      <c r="J258" s="1605"/>
      <c r="K258" s="1608"/>
      <c r="L258" s="1605"/>
      <c r="M258" s="1606"/>
      <c r="N258" s="457"/>
      <c r="O258" s="1639"/>
      <c r="P258" s="1640"/>
      <c r="Q258" s="1641"/>
      <c r="R258" s="1640"/>
      <c r="S258" s="452"/>
      <c r="T258" s="1641"/>
      <c r="U258" s="1640"/>
      <c r="V258" s="1641"/>
      <c r="W258" s="1684"/>
      <c r="X258" s="457"/>
      <c r="Y258" s="1581"/>
      <c r="Z258" s="1582"/>
      <c r="AA258" s="1616"/>
      <c r="AB258" s="1616"/>
      <c r="AC258" s="1616"/>
      <c r="AD258" s="1616"/>
      <c r="AE258" s="1616"/>
      <c r="AF258" s="1616"/>
      <c r="AG258" s="1616"/>
      <c r="AH258" s="1569"/>
      <c r="AI258" s="1570"/>
      <c r="AJ258" s="1570"/>
      <c r="AK258" s="1570"/>
      <c r="AL258" s="1570"/>
      <c r="AM258" s="1570"/>
      <c r="AN258" s="1571"/>
      <c r="AO258" s="259"/>
      <c r="AU258" s="541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</row>
    <row r="259" spans="4:135" ht="12.75" customHeight="1">
      <c r="D259" s="1613">
        <f>IF($V$21-7&gt;=0,7,0)</f>
        <v>7</v>
      </c>
      <c r="E259" s="1613"/>
      <c r="F259" s="1613"/>
      <c r="G259" s="1607">
        <f>IF(D259&gt;0,SUM(FD422:FD433),0)</f>
        <v>0</v>
      </c>
      <c r="H259" s="1608"/>
      <c r="I259" s="1609"/>
      <c r="J259" s="1605"/>
      <c r="K259" s="1608"/>
      <c r="L259" s="1605">
        <f>IF(D259&gt;0,SUM(FQ422:FQ433),0)</f>
        <v>0</v>
      </c>
      <c r="M259" s="1606"/>
      <c r="N259" s="457"/>
      <c r="O259" s="1639">
        <f>IF(D259&gt;0,SUM(GH422:GH433),0)</f>
        <v>0</v>
      </c>
      <c r="P259" s="1640"/>
      <c r="Q259" s="1641">
        <f>IF(D259&gt;0,SUM(GL422:GL433),0)</f>
        <v>0</v>
      </c>
      <c r="R259" s="1640"/>
      <c r="S259" s="452">
        <f>IF(D259&gt;0,SUM(EF422:EF433)*(-1),0)</f>
        <v>0</v>
      </c>
      <c r="T259" s="1641">
        <f>IF(D259&gt;0,SUM(EL422:EL433)*(-1),0)</f>
        <v>0</v>
      </c>
      <c r="U259" s="1640"/>
      <c r="V259" s="1641">
        <f>IF(D259&gt;0,SUM(ER422:ER433)*(-1),0)</f>
        <v>0</v>
      </c>
      <c r="W259" s="1684"/>
      <c r="X259" s="457"/>
      <c r="Y259" s="1581">
        <f>IF(D259&gt;0,SUM(FY422:FY433),0)</f>
        <v>0</v>
      </c>
      <c r="Z259" s="1582"/>
      <c r="AA259" s="1616">
        <f>IF(D259&gt;0,(G259+J259+L259)-(O259+Q259+S259+T259+V259)+Y259,0)</f>
        <v>0</v>
      </c>
      <c r="AB259" s="1616"/>
      <c r="AC259" s="1616"/>
      <c r="AD259" s="1616"/>
      <c r="AE259" s="1616"/>
      <c r="AF259" s="1616"/>
      <c r="AG259" s="1616"/>
      <c r="AH259" s="1616">
        <f>IF(D259&gt;0,AH257+AA259,0)</f>
        <v>0</v>
      </c>
      <c r="AI259" s="1616"/>
      <c r="AJ259" s="1616"/>
      <c r="AK259" s="1616"/>
      <c r="AL259" s="1616"/>
      <c r="AM259" s="1616"/>
      <c r="AN259" s="1617"/>
      <c r="AO259" s="259"/>
      <c r="AU259" s="541">
        <f>IF(AH259&lt;0,1,0)</f>
        <v>0</v>
      </c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</row>
    <row r="260" spans="4:135" ht="2.1" customHeight="1">
      <c r="D260" s="259"/>
      <c r="E260" s="259"/>
      <c r="F260" s="259"/>
      <c r="G260" s="1607"/>
      <c r="H260" s="1608"/>
      <c r="I260" s="1609"/>
      <c r="J260" s="1605"/>
      <c r="K260" s="1608"/>
      <c r="L260" s="1605"/>
      <c r="M260" s="1606"/>
      <c r="N260" s="457"/>
      <c r="O260" s="1639"/>
      <c r="P260" s="1640"/>
      <c r="Q260" s="1641"/>
      <c r="R260" s="1640"/>
      <c r="S260" s="452"/>
      <c r="T260" s="1641"/>
      <c r="U260" s="1640"/>
      <c r="V260" s="1641"/>
      <c r="W260" s="1684"/>
      <c r="X260" s="457"/>
      <c r="Y260" s="1581"/>
      <c r="Z260" s="1582"/>
      <c r="AA260" s="1616"/>
      <c r="AB260" s="1616"/>
      <c r="AC260" s="1616"/>
      <c r="AD260" s="1616"/>
      <c r="AE260" s="1616"/>
      <c r="AF260" s="1616"/>
      <c r="AG260" s="1616"/>
      <c r="AH260" s="1569"/>
      <c r="AI260" s="1570"/>
      <c r="AJ260" s="1570"/>
      <c r="AK260" s="1570"/>
      <c r="AL260" s="1570"/>
      <c r="AM260" s="1570"/>
      <c r="AN260" s="1571"/>
      <c r="AO260" s="259"/>
      <c r="AU260" s="541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</row>
    <row r="261" spans="4:135" ht="12.75" customHeight="1">
      <c r="D261" s="1613">
        <f>IF($V$21-8&gt;=0,8,0)</f>
        <v>8</v>
      </c>
      <c r="E261" s="1613"/>
      <c r="F261" s="1613"/>
      <c r="G261" s="1607">
        <f>IF(D261&gt;0,SUM(FD434:FD445),0)</f>
        <v>0</v>
      </c>
      <c r="H261" s="1608"/>
      <c r="I261" s="1609"/>
      <c r="J261" s="1605"/>
      <c r="K261" s="1608"/>
      <c r="L261" s="1605">
        <f>IF(D261&gt;0,SUM(FQ434:FQ445),0)</f>
        <v>0</v>
      </c>
      <c r="M261" s="1606"/>
      <c r="N261" s="457"/>
      <c r="O261" s="1639">
        <f>IF(D261&gt;0,SUM(GH434:GH445),0)</f>
        <v>0</v>
      </c>
      <c r="P261" s="1640"/>
      <c r="Q261" s="1641">
        <f>IF(D261&gt;0,SUM(GL434:GL445),0)</f>
        <v>0</v>
      </c>
      <c r="R261" s="1640"/>
      <c r="S261" s="452">
        <f>IF(D261&gt;0,SUM(EF434:EF445)*(-1),0)</f>
        <v>0</v>
      </c>
      <c r="T261" s="1641">
        <f>IF(D261&gt;0,SUM(EL434:EL445)*(-1),0)</f>
        <v>0</v>
      </c>
      <c r="U261" s="1640"/>
      <c r="V261" s="1641">
        <f>IF(D261&gt;0,SUM(ER434:ER445)*(-1),0)</f>
        <v>0</v>
      </c>
      <c r="W261" s="1684"/>
      <c r="X261" s="457"/>
      <c r="Y261" s="1581">
        <f>IF(D261&gt;0,SUM(FY434:FY445),0)</f>
        <v>0</v>
      </c>
      <c r="Z261" s="1582"/>
      <c r="AA261" s="1616">
        <f>IF(D261&gt;0,(G261+J261+L261)-(O261+Q261+S261+T261+V261)+Y261,0)</f>
        <v>0</v>
      </c>
      <c r="AB261" s="1616"/>
      <c r="AC261" s="1616"/>
      <c r="AD261" s="1616"/>
      <c r="AE261" s="1616"/>
      <c r="AF261" s="1616"/>
      <c r="AG261" s="1616"/>
      <c r="AH261" s="1616">
        <f>IF(D261&gt;0,AH259+AA261,0)</f>
        <v>0</v>
      </c>
      <c r="AI261" s="1616"/>
      <c r="AJ261" s="1616"/>
      <c r="AK261" s="1616"/>
      <c r="AL261" s="1616"/>
      <c r="AM261" s="1616"/>
      <c r="AN261" s="1617"/>
      <c r="AO261" s="259"/>
      <c r="AU261" s="541">
        <f>IF(AH261&lt;0,1,0)</f>
        <v>0</v>
      </c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</row>
    <row r="262" spans="4:135" ht="2.1" customHeight="1">
      <c r="D262" s="259"/>
      <c r="E262" s="259"/>
      <c r="F262" s="259"/>
      <c r="G262" s="1607"/>
      <c r="H262" s="1608"/>
      <c r="I262" s="1609"/>
      <c r="J262" s="1605"/>
      <c r="K262" s="1608"/>
      <c r="L262" s="1605"/>
      <c r="M262" s="1606"/>
      <c r="N262" s="457"/>
      <c r="O262" s="1639"/>
      <c r="P262" s="1640"/>
      <c r="Q262" s="1641"/>
      <c r="R262" s="1640"/>
      <c r="S262" s="452"/>
      <c r="T262" s="1641"/>
      <c r="U262" s="1640"/>
      <c r="V262" s="1641"/>
      <c r="W262" s="1684"/>
      <c r="X262" s="457"/>
      <c r="Y262" s="1581"/>
      <c r="Z262" s="1582"/>
      <c r="AA262" s="1616"/>
      <c r="AB262" s="1616"/>
      <c r="AC262" s="1616"/>
      <c r="AD262" s="1616"/>
      <c r="AE262" s="1616"/>
      <c r="AF262" s="1616"/>
      <c r="AG262" s="1616"/>
      <c r="AH262" s="1569"/>
      <c r="AI262" s="1570"/>
      <c r="AJ262" s="1570"/>
      <c r="AK262" s="1570"/>
      <c r="AL262" s="1570"/>
      <c r="AM262" s="1570"/>
      <c r="AN262" s="1571"/>
      <c r="AO262" s="259"/>
      <c r="AU262" s="541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</row>
    <row r="263" spans="4:135" ht="12.75" customHeight="1">
      <c r="D263" s="1613">
        <f>IF($V$21-9&gt;=0,9,0)</f>
        <v>9</v>
      </c>
      <c r="E263" s="1613"/>
      <c r="F263" s="1613"/>
      <c r="G263" s="1607">
        <f>IF(D263&gt;0,SUM(FD446:FD457),0)</f>
        <v>0</v>
      </c>
      <c r="H263" s="1608"/>
      <c r="I263" s="1609"/>
      <c r="J263" s="1605"/>
      <c r="K263" s="1608"/>
      <c r="L263" s="1605">
        <f>IF(D263&gt;0,SUM(FQ446:FQ457),0)</f>
        <v>0</v>
      </c>
      <c r="M263" s="1606"/>
      <c r="N263" s="457"/>
      <c r="O263" s="1639">
        <f>IF(D263&gt;0,SUM(GH446:GH457),0)</f>
        <v>0</v>
      </c>
      <c r="P263" s="1640"/>
      <c r="Q263" s="1641">
        <f>IF(D263&gt;0,SUM(GL446:GL457),0)</f>
        <v>0</v>
      </c>
      <c r="R263" s="1640"/>
      <c r="S263" s="452">
        <f>IF(D263&gt;0,SUM(EF446:EF457)*(-1),0)</f>
        <v>0</v>
      </c>
      <c r="T263" s="1641">
        <f>IF(D263&gt;0,SUM(EL446:EL457)*(-1),0)</f>
        <v>0</v>
      </c>
      <c r="U263" s="1640"/>
      <c r="V263" s="1641">
        <f>IF(D263&gt;0,SUM(ER446:ER457)*(-1),0)</f>
        <v>0</v>
      </c>
      <c r="W263" s="1684"/>
      <c r="X263" s="457"/>
      <c r="Y263" s="1581">
        <f>IF(D263&gt;0,SUM(FY446:FY457),0)</f>
        <v>0</v>
      </c>
      <c r="Z263" s="1582"/>
      <c r="AA263" s="1616">
        <f>IF(D263&gt;0,(G263+J263+L263)-(O263+Q263+S263+T263+V263)+Y263,0)</f>
        <v>0</v>
      </c>
      <c r="AB263" s="1616"/>
      <c r="AC263" s="1616"/>
      <c r="AD263" s="1616"/>
      <c r="AE263" s="1616"/>
      <c r="AF263" s="1616"/>
      <c r="AG263" s="1616"/>
      <c r="AH263" s="1616">
        <f>IF(D263&gt;0,AH261+AA263,0)</f>
        <v>0</v>
      </c>
      <c r="AI263" s="1616"/>
      <c r="AJ263" s="1616"/>
      <c r="AK263" s="1616"/>
      <c r="AL263" s="1616"/>
      <c r="AM263" s="1616"/>
      <c r="AN263" s="1617"/>
      <c r="AO263" s="259"/>
      <c r="AU263" s="541">
        <f>IF(AH263&lt;0,1,0)</f>
        <v>0</v>
      </c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</row>
    <row r="264" spans="4:135" ht="2.1" customHeight="1">
      <c r="D264" s="259"/>
      <c r="E264" s="259"/>
      <c r="F264" s="259"/>
      <c r="G264" s="1607"/>
      <c r="H264" s="1608"/>
      <c r="I264" s="1609"/>
      <c r="J264" s="1605"/>
      <c r="K264" s="1608"/>
      <c r="L264" s="1605"/>
      <c r="M264" s="1606"/>
      <c r="N264" s="457"/>
      <c r="O264" s="1639"/>
      <c r="P264" s="1640"/>
      <c r="Q264" s="1641"/>
      <c r="R264" s="1640"/>
      <c r="S264" s="452"/>
      <c r="T264" s="1641"/>
      <c r="U264" s="1640"/>
      <c r="V264" s="1641"/>
      <c r="W264" s="1684"/>
      <c r="X264" s="457"/>
      <c r="Y264" s="1581"/>
      <c r="Z264" s="1582"/>
      <c r="AA264" s="1616"/>
      <c r="AB264" s="1616"/>
      <c r="AC264" s="1616"/>
      <c r="AD264" s="1616"/>
      <c r="AE264" s="1616"/>
      <c r="AF264" s="1616"/>
      <c r="AG264" s="1616"/>
      <c r="AH264" s="1569"/>
      <c r="AI264" s="1570"/>
      <c r="AJ264" s="1570"/>
      <c r="AK264" s="1570"/>
      <c r="AL264" s="1570"/>
      <c r="AM264" s="1570"/>
      <c r="AN264" s="1571"/>
      <c r="AO264" s="259"/>
      <c r="AU264" s="541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</row>
    <row r="265" spans="4:135" ht="12.75" customHeight="1">
      <c r="D265" s="1613">
        <f>IF($V$21-10&gt;=0,10,0)</f>
        <v>10</v>
      </c>
      <c r="E265" s="1613"/>
      <c r="F265" s="1613"/>
      <c r="G265" s="1607">
        <f>IF(D265&gt;0,SUM(FD458:FD469),0)</f>
        <v>0</v>
      </c>
      <c r="H265" s="1608"/>
      <c r="I265" s="1609"/>
      <c r="J265" s="1605"/>
      <c r="K265" s="1608"/>
      <c r="L265" s="1605">
        <f>IF(D265&gt;0,SUM(FQ458:FQ469),0)</f>
        <v>0</v>
      </c>
      <c r="M265" s="1606"/>
      <c r="N265" s="457"/>
      <c r="O265" s="1639">
        <f>IF(D265&gt;0,SUM(GH458:GH469),0)</f>
        <v>0</v>
      </c>
      <c r="P265" s="1640"/>
      <c r="Q265" s="1641">
        <f>IF(D265&gt;0,SUM(GL458:GL469),0)</f>
        <v>0</v>
      </c>
      <c r="R265" s="1640"/>
      <c r="S265" s="452">
        <f>IF(D265&gt;0,SUM(EF458:EF469)*(-1),0)</f>
        <v>0</v>
      </c>
      <c r="T265" s="1641">
        <f>IF(D265&gt;0,SUM(EL458:EL469)*(-1),0)</f>
        <v>0</v>
      </c>
      <c r="U265" s="1640"/>
      <c r="V265" s="1641">
        <f>IF(D265&gt;0,SUM(ER458:ER469)*(-1),0)</f>
        <v>0</v>
      </c>
      <c r="W265" s="1684"/>
      <c r="X265" s="457"/>
      <c r="Y265" s="1581">
        <f>IF(D265&gt;0,SUM(FY458:FY469),0)</f>
        <v>0</v>
      </c>
      <c r="Z265" s="1582"/>
      <c r="AA265" s="1616">
        <f>IF(D265&gt;0,(G265+J265+L265)-(O265+Q265+S265+T265+V265)+Y265,0)</f>
        <v>0</v>
      </c>
      <c r="AB265" s="1616"/>
      <c r="AC265" s="1616"/>
      <c r="AD265" s="1616"/>
      <c r="AE265" s="1616"/>
      <c r="AF265" s="1616"/>
      <c r="AG265" s="1616"/>
      <c r="AH265" s="1616">
        <f>IF(D265&gt;0,AH263+AA265,0)</f>
        <v>0</v>
      </c>
      <c r="AI265" s="1616"/>
      <c r="AJ265" s="1616"/>
      <c r="AK265" s="1616"/>
      <c r="AL265" s="1616"/>
      <c r="AM265" s="1616"/>
      <c r="AN265" s="1617"/>
      <c r="AO265" s="259"/>
      <c r="AU265" s="541">
        <f>IF(AH265&lt;0,1,0)</f>
        <v>0</v>
      </c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56"/>
      <c r="CA265" s="256"/>
      <c r="CB265" s="256"/>
      <c r="CC265" s="256"/>
      <c r="CD265" s="256"/>
      <c r="CE265" s="256"/>
      <c r="CF265" s="256"/>
      <c r="CG265" s="256"/>
      <c r="CH265" s="256"/>
      <c r="CI265" s="256"/>
      <c r="CJ265" s="256"/>
      <c r="CK265" s="256"/>
      <c r="CL265" s="256"/>
      <c r="CM265" s="256"/>
      <c r="CN265" s="256"/>
      <c r="CO265" s="256"/>
      <c r="CP265" s="256"/>
      <c r="CQ265" s="256"/>
      <c r="CR265" s="256"/>
      <c r="CS265" s="256"/>
      <c r="CT265" s="256"/>
      <c r="CU265" s="256"/>
      <c r="CV265" s="256"/>
      <c r="CW265" s="256"/>
      <c r="CX265" s="256"/>
      <c r="CY265" s="256"/>
      <c r="CZ265" s="256"/>
      <c r="DA265" s="256"/>
      <c r="DB265" s="256"/>
      <c r="DC265" s="256"/>
      <c r="DD265" s="256"/>
      <c r="DE265" s="256"/>
      <c r="DF265" s="256"/>
      <c r="DG265" s="256"/>
      <c r="DH265" s="256"/>
      <c r="DI265" s="256"/>
      <c r="DJ265" s="256"/>
      <c r="DK265" s="256"/>
      <c r="DL265" s="256"/>
      <c r="DM265" s="256"/>
      <c r="DN265" s="256"/>
      <c r="DO265" s="256"/>
      <c r="DP265" s="256"/>
      <c r="DQ265" s="256"/>
      <c r="DR265" s="256"/>
      <c r="DS265" s="256"/>
      <c r="DT265" s="256"/>
      <c r="DU265" s="256"/>
      <c r="DV265" s="256"/>
      <c r="DW265" s="256"/>
      <c r="DX265" s="256"/>
      <c r="DY265" s="256"/>
      <c r="DZ265" s="256"/>
      <c r="EA265" s="256"/>
      <c r="EB265" s="256"/>
      <c r="EC265" s="256"/>
      <c r="ED265" s="256"/>
      <c r="EE265" s="256"/>
    </row>
    <row r="266" spans="4:135" ht="2.1" customHeight="1">
      <c r="D266" s="259"/>
      <c r="E266" s="259"/>
      <c r="F266" s="259"/>
      <c r="G266" s="1607"/>
      <c r="H266" s="1608"/>
      <c r="I266" s="1609"/>
      <c r="J266" s="1605"/>
      <c r="K266" s="1608"/>
      <c r="L266" s="1605"/>
      <c r="M266" s="1606"/>
      <c r="N266" s="457"/>
      <c r="O266" s="1639"/>
      <c r="P266" s="1640"/>
      <c r="Q266" s="1641"/>
      <c r="R266" s="1640"/>
      <c r="S266" s="452"/>
      <c r="T266" s="1641"/>
      <c r="U266" s="1640"/>
      <c r="V266" s="1641"/>
      <c r="W266" s="1684"/>
      <c r="X266" s="457"/>
      <c r="Y266" s="1581"/>
      <c r="Z266" s="1582"/>
      <c r="AA266" s="1616"/>
      <c r="AB266" s="1616"/>
      <c r="AC266" s="1616"/>
      <c r="AD266" s="1616"/>
      <c r="AE266" s="1616"/>
      <c r="AF266" s="1616"/>
      <c r="AG266" s="1616"/>
      <c r="AH266" s="1569"/>
      <c r="AI266" s="1570"/>
      <c r="AJ266" s="1570"/>
      <c r="AK266" s="1570"/>
      <c r="AL266" s="1570"/>
      <c r="AM266" s="1570"/>
      <c r="AN266" s="1571"/>
      <c r="AO266" s="259"/>
      <c r="AU266" s="541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56"/>
      <c r="CA266" s="256"/>
      <c r="CB266" s="256"/>
      <c r="CC266" s="256"/>
      <c r="CD266" s="256"/>
      <c r="CE266" s="256"/>
      <c r="CF266" s="256"/>
      <c r="CG266" s="256"/>
      <c r="CH266" s="256"/>
      <c r="CI266" s="256"/>
      <c r="CJ266" s="256"/>
      <c r="CK266" s="256"/>
      <c r="CL266" s="256"/>
      <c r="CM266" s="256"/>
      <c r="CN266" s="256"/>
      <c r="CO266" s="256"/>
      <c r="CP266" s="256"/>
      <c r="CQ266" s="256"/>
      <c r="CR266" s="256"/>
      <c r="CS266" s="256"/>
      <c r="CT266" s="256"/>
      <c r="CU266" s="256"/>
      <c r="CV266" s="256"/>
      <c r="CW266" s="256"/>
      <c r="CX266" s="256"/>
      <c r="CY266" s="256"/>
      <c r="CZ266" s="256"/>
      <c r="DA266" s="256"/>
      <c r="DB266" s="256"/>
      <c r="DC266" s="256"/>
      <c r="DD266" s="256"/>
      <c r="DE266" s="256"/>
      <c r="DF266" s="256"/>
      <c r="DG266" s="256"/>
      <c r="DH266" s="256"/>
      <c r="DI266" s="256"/>
      <c r="DJ266" s="256"/>
      <c r="DK266" s="256"/>
      <c r="DL266" s="256"/>
      <c r="DM266" s="256"/>
      <c r="DN266" s="256"/>
      <c r="DO266" s="256"/>
      <c r="DP266" s="256"/>
      <c r="DQ266" s="256"/>
      <c r="DR266" s="256"/>
      <c r="DS266" s="256"/>
      <c r="DT266" s="256"/>
      <c r="DU266" s="256"/>
      <c r="DV266" s="256"/>
      <c r="DW266" s="256"/>
      <c r="DX266" s="256"/>
      <c r="DY266" s="256"/>
      <c r="DZ266" s="256"/>
      <c r="EA266" s="256"/>
      <c r="EB266" s="256"/>
      <c r="EC266" s="256"/>
      <c r="ED266" s="256"/>
      <c r="EE266" s="256"/>
    </row>
    <row r="267" spans="4:135" ht="12.75" customHeight="1">
      <c r="D267" s="1613">
        <f>IF($V$21-11&gt;=0,11,0)</f>
        <v>11</v>
      </c>
      <c r="E267" s="1613"/>
      <c r="F267" s="1613"/>
      <c r="G267" s="1607">
        <f>IF(D267&gt;0,SUM(FD470:FD481),0)</f>
        <v>0</v>
      </c>
      <c r="H267" s="1608"/>
      <c r="I267" s="1609"/>
      <c r="J267" s="1605"/>
      <c r="K267" s="1608"/>
      <c r="L267" s="1605">
        <f>IF(D267&gt;0,SUM(FQ470:FQ481),0)</f>
        <v>0</v>
      </c>
      <c r="M267" s="1606"/>
      <c r="N267" s="457"/>
      <c r="O267" s="1639">
        <f>IF(D267&gt;0,SUM(GH470:GH481),0)</f>
        <v>0</v>
      </c>
      <c r="P267" s="1640"/>
      <c r="Q267" s="1641">
        <f>IF(D267&gt;0,SUM(GL470:GL481),0)</f>
        <v>0</v>
      </c>
      <c r="R267" s="1640"/>
      <c r="S267" s="452">
        <f>IF(D267&gt;0,SUM(EF470:EF481)*(-1),0)</f>
        <v>0</v>
      </c>
      <c r="T267" s="1641">
        <f>IF(D267&gt;0,SUM(EL470:EL481)*(-1),0)</f>
        <v>0</v>
      </c>
      <c r="U267" s="1640"/>
      <c r="V267" s="1641">
        <f>IF(D267&gt;0,SUM(ER470:ER481)*(-1),0)</f>
        <v>0</v>
      </c>
      <c r="W267" s="1684"/>
      <c r="X267" s="457"/>
      <c r="Y267" s="1581">
        <f>IF(D267&gt;0,SUM(FY470:FY481),0)</f>
        <v>0</v>
      </c>
      <c r="Z267" s="1582"/>
      <c r="AA267" s="1616">
        <f>IF(D267&gt;0,(G267+J267+L267)-(O267+Q267+S267+T267+V267)+Y267,0)</f>
        <v>0</v>
      </c>
      <c r="AB267" s="1616"/>
      <c r="AC267" s="1616"/>
      <c r="AD267" s="1616"/>
      <c r="AE267" s="1616"/>
      <c r="AF267" s="1616"/>
      <c r="AG267" s="1616"/>
      <c r="AH267" s="1616">
        <f>IF(D267&gt;0,AH265+AA267,0)</f>
        <v>0</v>
      </c>
      <c r="AI267" s="1616"/>
      <c r="AJ267" s="1616"/>
      <c r="AK267" s="1616"/>
      <c r="AL267" s="1616"/>
      <c r="AM267" s="1616"/>
      <c r="AN267" s="1617"/>
      <c r="AO267" s="259"/>
      <c r="AU267" s="541">
        <f>IF(AH267&lt;0,1,0)</f>
        <v>0</v>
      </c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56"/>
      <c r="CA267" s="256"/>
      <c r="CB267" s="256"/>
      <c r="CC267" s="256"/>
      <c r="CD267" s="256"/>
      <c r="CE267" s="256"/>
      <c r="CF267" s="256"/>
      <c r="CG267" s="256"/>
      <c r="CH267" s="256"/>
      <c r="CI267" s="256"/>
      <c r="CJ267" s="256"/>
      <c r="CK267" s="256"/>
      <c r="CL267" s="256"/>
      <c r="CM267" s="256"/>
      <c r="CN267" s="256"/>
      <c r="CO267" s="256"/>
      <c r="CP267" s="256"/>
      <c r="CQ267" s="256"/>
      <c r="CR267" s="256"/>
      <c r="CS267" s="256"/>
      <c r="CT267" s="256"/>
      <c r="CU267" s="256"/>
      <c r="CV267" s="256"/>
      <c r="CW267" s="256"/>
      <c r="CX267" s="256"/>
      <c r="CY267" s="256"/>
      <c r="CZ267" s="256"/>
      <c r="DA267" s="256"/>
      <c r="DB267" s="256"/>
      <c r="DC267" s="256"/>
      <c r="DD267" s="256"/>
      <c r="DE267" s="256"/>
      <c r="DF267" s="256"/>
      <c r="DG267" s="256"/>
      <c r="DH267" s="256"/>
      <c r="DI267" s="256"/>
      <c r="DJ267" s="256"/>
      <c r="DK267" s="256"/>
      <c r="DL267" s="256"/>
      <c r="DM267" s="256"/>
      <c r="DN267" s="256"/>
      <c r="DO267" s="256"/>
      <c r="DP267" s="256"/>
      <c r="DQ267" s="256"/>
      <c r="DR267" s="256"/>
      <c r="DS267" s="256"/>
      <c r="DT267" s="256"/>
      <c r="DU267" s="256"/>
      <c r="DV267" s="256"/>
      <c r="DW267" s="256"/>
      <c r="DX267" s="256"/>
      <c r="DY267" s="256"/>
      <c r="DZ267" s="256"/>
      <c r="EA267" s="256"/>
      <c r="EB267" s="256"/>
      <c r="EC267" s="256"/>
      <c r="ED267" s="256"/>
      <c r="EE267" s="256"/>
    </row>
    <row r="268" spans="4:135" ht="2.1" customHeight="1">
      <c r="D268" s="259"/>
      <c r="E268" s="259"/>
      <c r="F268" s="259"/>
      <c r="G268" s="1607"/>
      <c r="H268" s="1608"/>
      <c r="I268" s="1609"/>
      <c r="J268" s="1605"/>
      <c r="K268" s="1608"/>
      <c r="L268" s="1605"/>
      <c r="M268" s="1606"/>
      <c r="N268" s="457"/>
      <c r="O268" s="1639"/>
      <c r="P268" s="1640"/>
      <c r="Q268" s="1641"/>
      <c r="R268" s="1640"/>
      <c r="S268" s="452"/>
      <c r="T268" s="1641"/>
      <c r="U268" s="1640"/>
      <c r="V268" s="1641"/>
      <c r="W268" s="1684"/>
      <c r="X268" s="457"/>
      <c r="Y268" s="1581"/>
      <c r="Z268" s="1582"/>
      <c r="AA268" s="1616"/>
      <c r="AB268" s="1616"/>
      <c r="AC268" s="1616"/>
      <c r="AD268" s="1616"/>
      <c r="AE268" s="1616"/>
      <c r="AF268" s="1616"/>
      <c r="AG268" s="1616"/>
      <c r="AH268" s="1569"/>
      <c r="AI268" s="1570"/>
      <c r="AJ268" s="1570"/>
      <c r="AK268" s="1570"/>
      <c r="AL268" s="1570"/>
      <c r="AM268" s="1570"/>
      <c r="AN268" s="1571"/>
      <c r="AO268" s="259"/>
      <c r="AU268" s="541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56"/>
      <c r="CA268" s="256"/>
      <c r="CB268" s="256"/>
      <c r="CC268" s="256"/>
      <c r="CD268" s="256"/>
      <c r="CE268" s="256"/>
      <c r="CF268" s="256"/>
      <c r="CG268" s="256"/>
      <c r="CH268" s="256"/>
      <c r="CI268" s="256"/>
      <c r="CJ268" s="256"/>
      <c r="CK268" s="256"/>
      <c r="CL268" s="256"/>
      <c r="CM268" s="256"/>
      <c r="CN268" s="256"/>
      <c r="CO268" s="256"/>
      <c r="CP268" s="256"/>
      <c r="CQ268" s="256"/>
      <c r="CR268" s="256"/>
      <c r="CS268" s="256"/>
      <c r="CT268" s="256"/>
      <c r="CU268" s="256"/>
      <c r="CV268" s="256"/>
      <c r="CW268" s="256"/>
      <c r="CX268" s="256"/>
      <c r="CY268" s="256"/>
      <c r="CZ268" s="256"/>
      <c r="DA268" s="256"/>
      <c r="DB268" s="256"/>
      <c r="DC268" s="256"/>
      <c r="DD268" s="256"/>
      <c r="DE268" s="256"/>
      <c r="DF268" s="256"/>
      <c r="DG268" s="256"/>
      <c r="DH268" s="256"/>
      <c r="DI268" s="256"/>
      <c r="DJ268" s="256"/>
      <c r="DK268" s="256"/>
      <c r="DL268" s="256"/>
      <c r="DM268" s="256"/>
      <c r="DN268" s="256"/>
      <c r="DO268" s="256"/>
      <c r="DP268" s="256"/>
      <c r="DQ268" s="256"/>
      <c r="DR268" s="256"/>
      <c r="DS268" s="256"/>
      <c r="DT268" s="256"/>
      <c r="DU268" s="256"/>
      <c r="DV268" s="256"/>
      <c r="DW268" s="256"/>
      <c r="DX268" s="256"/>
      <c r="DY268" s="256"/>
      <c r="DZ268" s="256"/>
      <c r="EA268" s="256"/>
      <c r="EB268" s="256"/>
      <c r="EC268" s="256"/>
      <c r="ED268" s="256"/>
      <c r="EE268" s="256"/>
    </row>
    <row r="269" spans="4:135" ht="12.75" customHeight="1">
      <c r="D269" s="1613">
        <f>IF($V$21-12&gt;=0,12,0)</f>
        <v>12</v>
      </c>
      <c r="E269" s="1613"/>
      <c r="F269" s="1613"/>
      <c r="G269" s="1607">
        <f>IF(D269&gt;0,SUM(FD482:FD493),0)</f>
        <v>0</v>
      </c>
      <c r="H269" s="1608"/>
      <c r="I269" s="1609"/>
      <c r="J269" s="1605"/>
      <c r="K269" s="1608"/>
      <c r="L269" s="1605">
        <f>IF(D269&gt;0,SUM(FQ482:FQ493),0)</f>
        <v>0</v>
      </c>
      <c r="M269" s="1606"/>
      <c r="N269" s="457"/>
      <c r="O269" s="1639">
        <f>IF(D269&gt;0,SUM(GH482:GH493),0)</f>
        <v>0</v>
      </c>
      <c r="P269" s="1640"/>
      <c r="Q269" s="1641">
        <f>IF(D269&gt;0,SUM(GL482:GL493),0)</f>
        <v>0</v>
      </c>
      <c r="R269" s="1640"/>
      <c r="S269" s="452">
        <f>IF(D269&gt;0,SUM(EF482:EF493)*(-1),0)</f>
        <v>0</v>
      </c>
      <c r="T269" s="1641">
        <f>IF(D269&gt;0,SUM(EL482:EL493)*(-1),0)</f>
        <v>0</v>
      </c>
      <c r="U269" s="1640"/>
      <c r="V269" s="1641">
        <f>IF(D269&gt;0,SUM(ER482:ER493)*(-1),0)</f>
        <v>0</v>
      </c>
      <c r="W269" s="1684"/>
      <c r="X269" s="457"/>
      <c r="Y269" s="1581">
        <f>IF(D269&gt;0,SUM(FY482:FY493),0)</f>
        <v>0</v>
      </c>
      <c r="Z269" s="1582"/>
      <c r="AA269" s="1616">
        <f>IF(D269&gt;0,(G269+J269+L269)-(O269+Q269+S269+T269+V269)+Y269,0)</f>
        <v>0</v>
      </c>
      <c r="AB269" s="1616"/>
      <c r="AC269" s="1616"/>
      <c r="AD269" s="1616"/>
      <c r="AE269" s="1616"/>
      <c r="AF269" s="1616"/>
      <c r="AG269" s="1616"/>
      <c r="AH269" s="1616">
        <f>IF(D269&gt;0,AH267+AA269,0)</f>
        <v>0</v>
      </c>
      <c r="AI269" s="1616"/>
      <c r="AJ269" s="1616"/>
      <c r="AK269" s="1616"/>
      <c r="AL269" s="1616"/>
      <c r="AM269" s="1616"/>
      <c r="AN269" s="1617"/>
      <c r="AO269" s="259"/>
      <c r="AU269" s="541">
        <f>IF(AH269&lt;0,1,0)</f>
        <v>0</v>
      </c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56"/>
      <c r="CA269" s="256"/>
      <c r="CB269" s="256"/>
      <c r="CC269" s="256"/>
      <c r="CD269" s="256"/>
      <c r="CE269" s="256"/>
      <c r="CF269" s="256"/>
      <c r="CG269" s="256"/>
      <c r="CH269" s="256"/>
      <c r="CI269" s="256"/>
      <c r="CJ269" s="256"/>
      <c r="CK269" s="256"/>
      <c r="CL269" s="256"/>
      <c r="CM269" s="256"/>
      <c r="CN269" s="256"/>
      <c r="CO269" s="256"/>
      <c r="CP269" s="256"/>
      <c r="CQ269" s="256"/>
      <c r="CR269" s="256"/>
      <c r="CS269" s="256"/>
      <c r="CT269" s="256"/>
      <c r="CU269" s="256"/>
      <c r="CV269" s="256"/>
      <c r="CW269" s="256"/>
      <c r="CX269" s="256"/>
      <c r="CY269" s="256"/>
      <c r="CZ269" s="256"/>
      <c r="DA269" s="256"/>
      <c r="DB269" s="256"/>
      <c r="DC269" s="256"/>
      <c r="DD269" s="256"/>
      <c r="DE269" s="256"/>
      <c r="DF269" s="256"/>
      <c r="DG269" s="256"/>
      <c r="DH269" s="256"/>
      <c r="DI269" s="256"/>
      <c r="DJ269" s="256"/>
      <c r="DK269" s="256"/>
      <c r="DL269" s="256"/>
      <c r="DM269" s="256"/>
      <c r="DN269" s="256"/>
      <c r="DO269" s="256"/>
      <c r="DP269" s="256"/>
      <c r="DQ269" s="256"/>
      <c r="DR269" s="256"/>
      <c r="DS269" s="256"/>
      <c r="DT269" s="256"/>
      <c r="DU269" s="256"/>
      <c r="DV269" s="256"/>
      <c r="DW269" s="256"/>
      <c r="DX269" s="256"/>
      <c r="DY269" s="256"/>
      <c r="DZ269" s="256"/>
      <c r="EA269" s="256"/>
      <c r="EB269" s="256"/>
      <c r="EC269" s="256"/>
      <c r="ED269" s="256"/>
      <c r="EE269" s="256"/>
    </row>
    <row r="270" spans="4:135" ht="2.1" customHeight="1">
      <c r="D270" s="259"/>
      <c r="E270" s="259"/>
      <c r="F270" s="259"/>
      <c r="G270" s="1607"/>
      <c r="H270" s="1608"/>
      <c r="I270" s="1609"/>
      <c r="J270" s="1605"/>
      <c r="K270" s="1608"/>
      <c r="L270" s="1605"/>
      <c r="M270" s="1606"/>
      <c r="N270" s="457"/>
      <c r="O270" s="1639"/>
      <c r="P270" s="1640"/>
      <c r="Q270" s="1641"/>
      <c r="R270" s="1640"/>
      <c r="S270" s="452"/>
      <c r="T270" s="1641"/>
      <c r="U270" s="1640"/>
      <c r="V270" s="1641"/>
      <c r="W270" s="1684"/>
      <c r="X270" s="457"/>
      <c r="Y270" s="1581"/>
      <c r="Z270" s="1582"/>
      <c r="AA270" s="1616"/>
      <c r="AB270" s="1616"/>
      <c r="AC270" s="1616"/>
      <c r="AD270" s="1616"/>
      <c r="AE270" s="1616"/>
      <c r="AF270" s="1616"/>
      <c r="AG270" s="1616"/>
      <c r="AH270" s="1569"/>
      <c r="AI270" s="1570"/>
      <c r="AJ270" s="1570"/>
      <c r="AK270" s="1570"/>
      <c r="AL270" s="1570"/>
      <c r="AM270" s="1570"/>
      <c r="AN270" s="1571"/>
      <c r="AO270" s="259"/>
      <c r="AU270" s="541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56"/>
      <c r="CA270" s="256"/>
      <c r="CB270" s="256"/>
      <c r="CC270" s="256"/>
      <c r="CD270" s="256"/>
      <c r="CE270" s="256"/>
      <c r="CF270" s="256"/>
      <c r="CG270" s="256"/>
      <c r="CH270" s="256"/>
      <c r="CI270" s="256"/>
      <c r="CJ270" s="256"/>
      <c r="CK270" s="256"/>
      <c r="CL270" s="256"/>
      <c r="CM270" s="256"/>
      <c r="CN270" s="256"/>
      <c r="CO270" s="256"/>
      <c r="CP270" s="256"/>
      <c r="CQ270" s="256"/>
      <c r="CR270" s="256"/>
      <c r="CS270" s="256"/>
      <c r="CT270" s="256"/>
      <c r="CU270" s="256"/>
      <c r="CV270" s="256"/>
      <c r="CW270" s="256"/>
      <c r="CX270" s="256"/>
      <c r="CY270" s="256"/>
      <c r="CZ270" s="256"/>
      <c r="DA270" s="256"/>
      <c r="DB270" s="256"/>
      <c r="DC270" s="256"/>
      <c r="DD270" s="256"/>
      <c r="DE270" s="256"/>
      <c r="DF270" s="256"/>
      <c r="DG270" s="256"/>
      <c r="DH270" s="256"/>
      <c r="DI270" s="256"/>
      <c r="DJ270" s="256"/>
      <c r="DK270" s="256"/>
      <c r="DL270" s="256"/>
      <c r="DM270" s="256"/>
      <c r="DN270" s="256"/>
      <c r="DO270" s="256"/>
      <c r="DP270" s="256"/>
      <c r="DQ270" s="256"/>
      <c r="DR270" s="256"/>
      <c r="DS270" s="256"/>
      <c r="DT270" s="256"/>
      <c r="DU270" s="256"/>
      <c r="DV270" s="256"/>
      <c r="DW270" s="256"/>
      <c r="DX270" s="256"/>
      <c r="DY270" s="256"/>
      <c r="DZ270" s="256"/>
      <c r="EA270" s="256"/>
      <c r="EB270" s="256"/>
      <c r="EC270" s="256"/>
      <c r="ED270" s="256"/>
      <c r="EE270" s="256"/>
    </row>
    <row r="271" spans="4:135" ht="12.75" customHeight="1">
      <c r="D271" s="1613">
        <f>IF($V$21-13&gt;=0,13,0)</f>
        <v>13</v>
      </c>
      <c r="E271" s="1613"/>
      <c r="F271" s="1613"/>
      <c r="G271" s="1607">
        <f>IF(D271&gt;0,SUM(FD494:FD505),0)</f>
        <v>0</v>
      </c>
      <c r="H271" s="1608"/>
      <c r="I271" s="1609"/>
      <c r="J271" s="1605"/>
      <c r="K271" s="1608"/>
      <c r="L271" s="1605">
        <f>IF(D271&gt;0,SUM(FQ494:FQ505),0)</f>
        <v>0</v>
      </c>
      <c r="M271" s="1606"/>
      <c r="N271" s="457"/>
      <c r="O271" s="1639">
        <f>IF(D271&gt;0,SUM(GH494:GH505),0)</f>
        <v>0</v>
      </c>
      <c r="P271" s="1640"/>
      <c r="Q271" s="1641">
        <f>IF(D271&gt;0,SUM(GL494:GL505),0)</f>
        <v>0</v>
      </c>
      <c r="R271" s="1640"/>
      <c r="S271" s="452">
        <f>IF(D271&gt;0,SUM(EF494:EF505)*(-1),0)</f>
        <v>0</v>
      </c>
      <c r="T271" s="1641">
        <f>IF(D271&gt;0,SUM(EL494:EL505)*(-1),0)</f>
        <v>0</v>
      </c>
      <c r="U271" s="1640"/>
      <c r="V271" s="1641">
        <f>IF(D271&gt;0,SUM(ER494:ER505)*(-1),0)</f>
        <v>0</v>
      </c>
      <c r="W271" s="1684"/>
      <c r="X271" s="457"/>
      <c r="Y271" s="1581">
        <f>IF(D271&gt;0,SUM(FY494:FY505),0)</f>
        <v>0</v>
      </c>
      <c r="Z271" s="1582"/>
      <c r="AA271" s="1616">
        <f>IF(D271&gt;0,(G271+J271+L271)-(O271+Q271+S271+T271+V271)+Y271,0)</f>
        <v>0</v>
      </c>
      <c r="AB271" s="1616"/>
      <c r="AC271" s="1616"/>
      <c r="AD271" s="1616"/>
      <c r="AE271" s="1616"/>
      <c r="AF271" s="1616"/>
      <c r="AG271" s="1616"/>
      <c r="AH271" s="1616">
        <f>IF(D271&gt;0,AH269+AA271,0)</f>
        <v>0</v>
      </c>
      <c r="AI271" s="1616"/>
      <c r="AJ271" s="1616"/>
      <c r="AK271" s="1616"/>
      <c r="AL271" s="1616"/>
      <c r="AM271" s="1616"/>
      <c r="AN271" s="1617"/>
      <c r="AO271" s="259"/>
      <c r="AU271" s="541">
        <f>IF(AH271&lt;0,1,0)</f>
        <v>0</v>
      </c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56"/>
      <c r="CA271" s="256"/>
      <c r="CB271" s="256"/>
      <c r="CC271" s="256"/>
      <c r="CD271" s="256"/>
      <c r="CE271" s="256"/>
      <c r="CF271" s="256"/>
      <c r="CG271" s="256"/>
      <c r="CH271" s="256"/>
      <c r="CI271" s="256"/>
      <c r="CJ271" s="256"/>
      <c r="CK271" s="256"/>
      <c r="CL271" s="256"/>
      <c r="CM271" s="256"/>
      <c r="CN271" s="256"/>
      <c r="CO271" s="256"/>
      <c r="CP271" s="256"/>
      <c r="CQ271" s="256"/>
      <c r="CR271" s="256"/>
      <c r="CS271" s="256"/>
      <c r="CT271" s="256"/>
      <c r="CU271" s="256"/>
      <c r="CV271" s="256"/>
      <c r="CW271" s="256"/>
      <c r="CX271" s="256"/>
      <c r="CY271" s="256"/>
      <c r="CZ271" s="256"/>
      <c r="DA271" s="256"/>
      <c r="DB271" s="256"/>
      <c r="DC271" s="256"/>
      <c r="DD271" s="256"/>
      <c r="DE271" s="256"/>
      <c r="DF271" s="256"/>
      <c r="DG271" s="256"/>
      <c r="DH271" s="256"/>
      <c r="DI271" s="256"/>
      <c r="DJ271" s="256"/>
      <c r="DK271" s="256"/>
      <c r="DL271" s="256"/>
      <c r="DM271" s="256"/>
      <c r="DN271" s="256"/>
      <c r="DO271" s="256"/>
      <c r="DP271" s="256"/>
      <c r="DQ271" s="256"/>
      <c r="DR271" s="256"/>
      <c r="DS271" s="256"/>
      <c r="DT271" s="256"/>
      <c r="DU271" s="256"/>
      <c r="DV271" s="256"/>
      <c r="DW271" s="256"/>
      <c r="DX271" s="256"/>
      <c r="DY271" s="256"/>
      <c r="DZ271" s="256"/>
      <c r="EA271" s="256"/>
      <c r="EB271" s="256"/>
      <c r="EC271" s="256"/>
      <c r="ED271" s="256"/>
      <c r="EE271" s="256"/>
    </row>
    <row r="272" spans="4:135" ht="2.1" customHeight="1">
      <c r="D272" s="259"/>
      <c r="E272" s="259"/>
      <c r="F272" s="259"/>
      <c r="G272" s="1607"/>
      <c r="H272" s="1608"/>
      <c r="I272" s="1609"/>
      <c r="J272" s="1605"/>
      <c r="K272" s="1608"/>
      <c r="L272" s="1605"/>
      <c r="M272" s="1606"/>
      <c r="N272" s="457"/>
      <c r="O272" s="1639"/>
      <c r="P272" s="1640"/>
      <c r="Q272" s="1641"/>
      <c r="R272" s="1640"/>
      <c r="S272" s="452"/>
      <c r="T272" s="1641"/>
      <c r="U272" s="1640"/>
      <c r="V272" s="1641"/>
      <c r="W272" s="1684"/>
      <c r="X272" s="457"/>
      <c r="Y272" s="1581"/>
      <c r="Z272" s="1582"/>
      <c r="AA272" s="1616"/>
      <c r="AB272" s="1616"/>
      <c r="AC272" s="1616"/>
      <c r="AD272" s="1616"/>
      <c r="AE272" s="1616"/>
      <c r="AF272" s="1616"/>
      <c r="AG272" s="1616"/>
      <c r="AH272" s="1569"/>
      <c r="AI272" s="1570"/>
      <c r="AJ272" s="1570"/>
      <c r="AK272" s="1570"/>
      <c r="AL272" s="1570"/>
      <c r="AM272" s="1570"/>
      <c r="AN272" s="1571"/>
      <c r="AO272" s="259"/>
      <c r="AU272" s="541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56"/>
      <c r="CA272" s="256"/>
      <c r="CB272" s="256"/>
      <c r="CC272" s="256"/>
      <c r="CD272" s="256"/>
      <c r="CE272" s="256"/>
      <c r="CF272" s="256"/>
      <c r="CG272" s="256"/>
      <c r="CH272" s="256"/>
      <c r="CI272" s="256"/>
      <c r="CJ272" s="256"/>
      <c r="CK272" s="256"/>
      <c r="CL272" s="256"/>
      <c r="CM272" s="256"/>
      <c r="CN272" s="256"/>
      <c r="CO272" s="256"/>
      <c r="CP272" s="256"/>
      <c r="CQ272" s="256"/>
      <c r="CR272" s="256"/>
      <c r="CS272" s="256"/>
      <c r="CT272" s="256"/>
      <c r="CU272" s="256"/>
      <c r="CV272" s="256"/>
      <c r="CW272" s="256"/>
      <c r="CX272" s="256"/>
      <c r="CY272" s="256"/>
      <c r="CZ272" s="256"/>
      <c r="DA272" s="256"/>
      <c r="DB272" s="256"/>
      <c r="DC272" s="256"/>
      <c r="DD272" s="256"/>
      <c r="DE272" s="256"/>
      <c r="DF272" s="256"/>
      <c r="DG272" s="256"/>
      <c r="DH272" s="256"/>
      <c r="DI272" s="256"/>
      <c r="DJ272" s="256"/>
      <c r="DK272" s="256"/>
      <c r="DL272" s="256"/>
      <c r="DM272" s="256"/>
      <c r="DN272" s="256"/>
      <c r="DO272" s="256"/>
      <c r="DP272" s="256"/>
      <c r="DQ272" s="256"/>
      <c r="DR272" s="256"/>
      <c r="DS272" s="256"/>
      <c r="DT272" s="256"/>
      <c r="DU272" s="256"/>
      <c r="DV272" s="256"/>
      <c r="DW272" s="256"/>
      <c r="DX272" s="256"/>
      <c r="DY272" s="256"/>
      <c r="DZ272" s="256"/>
      <c r="EA272" s="256"/>
      <c r="EB272" s="256"/>
      <c r="EC272" s="256"/>
      <c r="ED272" s="256"/>
      <c r="EE272" s="256"/>
    </row>
    <row r="273" spans="4:135" ht="12.75" customHeight="1">
      <c r="D273" s="1613">
        <f>IF($V$21-14&gt;=0,14,0)</f>
        <v>14</v>
      </c>
      <c r="E273" s="1613"/>
      <c r="F273" s="1613"/>
      <c r="G273" s="1607">
        <f>IF(D273&gt;0,SUM(FD506:FD517),0)</f>
        <v>0</v>
      </c>
      <c r="H273" s="1608"/>
      <c r="I273" s="1609"/>
      <c r="J273" s="1605"/>
      <c r="K273" s="1608"/>
      <c r="L273" s="1605">
        <f>IF(D273&gt;0,SUM(FQ506:FQ517),0)</f>
        <v>0</v>
      </c>
      <c r="M273" s="1606"/>
      <c r="N273" s="457"/>
      <c r="O273" s="1639">
        <f>IF(D273&gt;0,SUM(GH506:GH517),0)</f>
        <v>0</v>
      </c>
      <c r="P273" s="1640"/>
      <c r="Q273" s="1641">
        <f>IF(D273&gt;0,SUM(GL506:GL517),0)</f>
        <v>0</v>
      </c>
      <c r="R273" s="1640"/>
      <c r="S273" s="452">
        <f>IF(D273&gt;0,SUM(EF506:EF517)*(-1),0)</f>
        <v>0</v>
      </c>
      <c r="T273" s="1641">
        <f>IF(D273&gt;0,SUM(EL506:EL517)*(-1),0)</f>
        <v>0</v>
      </c>
      <c r="U273" s="1640"/>
      <c r="V273" s="1641">
        <f>IF(D273&gt;0,SUM(ER506:ER517)*(-1),0)</f>
        <v>0</v>
      </c>
      <c r="W273" s="1684"/>
      <c r="X273" s="457"/>
      <c r="Y273" s="1581">
        <f>IF(D273&gt;0,SUM(FY506:FY517),0)</f>
        <v>0</v>
      </c>
      <c r="Z273" s="1582"/>
      <c r="AA273" s="1616">
        <f>IF(D273&gt;0,(G273+J273+L273)-(O273+Q273+S273+T273+V273)+Y273,0)</f>
        <v>0</v>
      </c>
      <c r="AB273" s="1616"/>
      <c r="AC273" s="1616"/>
      <c r="AD273" s="1616"/>
      <c r="AE273" s="1616"/>
      <c r="AF273" s="1616"/>
      <c r="AG273" s="1616"/>
      <c r="AH273" s="1616">
        <f>IF(D273&gt;0,AH271+AA273,0)</f>
        <v>0</v>
      </c>
      <c r="AI273" s="1616"/>
      <c r="AJ273" s="1616"/>
      <c r="AK273" s="1616"/>
      <c r="AL273" s="1616"/>
      <c r="AM273" s="1616"/>
      <c r="AN273" s="1617"/>
      <c r="AO273" s="259"/>
      <c r="AU273" s="541">
        <f>IF(AH273&lt;0,1,0)</f>
        <v>0</v>
      </c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56"/>
      <c r="CA273" s="256"/>
      <c r="CB273" s="256"/>
      <c r="CC273" s="256"/>
      <c r="CD273" s="256"/>
      <c r="CE273" s="256"/>
      <c r="CF273" s="256"/>
      <c r="CG273" s="256"/>
      <c r="CH273" s="256"/>
      <c r="CI273" s="256"/>
      <c r="CJ273" s="256"/>
      <c r="CK273" s="256"/>
      <c r="CL273" s="256"/>
      <c r="CM273" s="256"/>
      <c r="CN273" s="256"/>
      <c r="CO273" s="256"/>
      <c r="CP273" s="256"/>
      <c r="CQ273" s="256"/>
      <c r="CR273" s="256"/>
      <c r="CS273" s="256"/>
      <c r="CT273" s="256"/>
      <c r="CU273" s="256"/>
      <c r="CV273" s="256"/>
      <c r="CW273" s="256"/>
      <c r="CX273" s="256"/>
      <c r="CY273" s="256"/>
      <c r="CZ273" s="256"/>
      <c r="DA273" s="256"/>
      <c r="DB273" s="256"/>
      <c r="DC273" s="256"/>
      <c r="DD273" s="256"/>
      <c r="DE273" s="256"/>
      <c r="DF273" s="256"/>
      <c r="DG273" s="256"/>
      <c r="DH273" s="256"/>
      <c r="DI273" s="256"/>
      <c r="DJ273" s="256"/>
      <c r="DK273" s="256"/>
      <c r="DL273" s="256"/>
      <c r="DM273" s="256"/>
      <c r="DN273" s="256"/>
      <c r="DO273" s="256"/>
      <c r="DP273" s="256"/>
      <c r="DQ273" s="256"/>
      <c r="DR273" s="256"/>
      <c r="DS273" s="256"/>
      <c r="DT273" s="256"/>
      <c r="DU273" s="256"/>
      <c r="DV273" s="256"/>
      <c r="DW273" s="256"/>
      <c r="DX273" s="256"/>
      <c r="DY273" s="256"/>
      <c r="DZ273" s="256"/>
      <c r="EA273" s="256"/>
      <c r="EB273" s="256"/>
      <c r="EC273" s="256"/>
      <c r="ED273" s="256"/>
      <c r="EE273" s="256"/>
    </row>
    <row r="274" spans="4:135" ht="2.1" customHeight="1">
      <c r="D274" s="259"/>
      <c r="E274" s="259"/>
      <c r="F274" s="259"/>
      <c r="G274" s="1607"/>
      <c r="H274" s="1608"/>
      <c r="I274" s="1609"/>
      <c r="J274" s="1605"/>
      <c r="K274" s="1608"/>
      <c r="L274" s="1605"/>
      <c r="M274" s="1606"/>
      <c r="N274" s="457"/>
      <c r="O274" s="1639"/>
      <c r="P274" s="1640"/>
      <c r="Q274" s="1641"/>
      <c r="R274" s="1640"/>
      <c r="S274" s="452"/>
      <c r="T274" s="1641"/>
      <c r="U274" s="1640"/>
      <c r="V274" s="1641"/>
      <c r="W274" s="1684"/>
      <c r="X274" s="457"/>
      <c r="Y274" s="1581"/>
      <c r="Z274" s="1582"/>
      <c r="AA274" s="1616"/>
      <c r="AB274" s="1616"/>
      <c r="AC274" s="1616"/>
      <c r="AD274" s="1616"/>
      <c r="AE274" s="1616"/>
      <c r="AF274" s="1616"/>
      <c r="AG274" s="1616"/>
      <c r="AH274" s="1569"/>
      <c r="AI274" s="1570"/>
      <c r="AJ274" s="1570"/>
      <c r="AK274" s="1570"/>
      <c r="AL274" s="1570"/>
      <c r="AM274" s="1570"/>
      <c r="AN274" s="1571"/>
      <c r="AO274" s="259"/>
      <c r="AU274" s="541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56"/>
      <c r="CA274" s="256"/>
      <c r="CB274" s="256"/>
      <c r="CC274" s="256"/>
      <c r="CD274" s="256"/>
      <c r="CE274" s="256"/>
      <c r="CF274" s="256"/>
      <c r="CG274" s="256"/>
      <c r="CH274" s="256"/>
      <c r="CI274" s="256"/>
      <c r="CJ274" s="256"/>
      <c r="CK274" s="256"/>
      <c r="CL274" s="256"/>
      <c r="CM274" s="256"/>
      <c r="CN274" s="256"/>
      <c r="CO274" s="256"/>
      <c r="CP274" s="256"/>
      <c r="CQ274" s="256"/>
      <c r="CR274" s="256"/>
      <c r="CS274" s="256"/>
      <c r="CT274" s="256"/>
      <c r="CU274" s="256"/>
      <c r="CV274" s="256"/>
      <c r="CW274" s="256"/>
      <c r="CX274" s="256"/>
      <c r="CY274" s="256"/>
      <c r="CZ274" s="256"/>
      <c r="DA274" s="256"/>
      <c r="DB274" s="256"/>
      <c r="DC274" s="256"/>
      <c r="DD274" s="256"/>
      <c r="DE274" s="256"/>
      <c r="DF274" s="256"/>
      <c r="DG274" s="256"/>
      <c r="DH274" s="256"/>
      <c r="DI274" s="256"/>
      <c r="DJ274" s="256"/>
      <c r="DK274" s="256"/>
      <c r="DL274" s="256"/>
      <c r="DM274" s="256"/>
      <c r="DN274" s="256"/>
      <c r="DO274" s="256"/>
      <c r="DP274" s="256"/>
      <c r="DQ274" s="256"/>
      <c r="DR274" s="256"/>
      <c r="DS274" s="256"/>
      <c r="DT274" s="256"/>
      <c r="DU274" s="256"/>
      <c r="DV274" s="256"/>
      <c r="DW274" s="256"/>
      <c r="DX274" s="256"/>
      <c r="DY274" s="256"/>
      <c r="DZ274" s="256"/>
      <c r="EA274" s="256"/>
      <c r="EB274" s="256"/>
      <c r="EC274" s="256"/>
      <c r="ED274" s="256"/>
      <c r="EE274" s="256"/>
    </row>
    <row r="275" spans="4:135" ht="12.75" customHeight="1">
      <c r="D275" s="1613">
        <f>IF($V$21-15&gt;=0,15,0)</f>
        <v>15</v>
      </c>
      <c r="E275" s="1613"/>
      <c r="F275" s="1613"/>
      <c r="G275" s="1607">
        <f>IF(D275&gt;0,SUM(FD518:FD529),0)</f>
        <v>0</v>
      </c>
      <c r="H275" s="1608"/>
      <c r="I275" s="1609"/>
      <c r="J275" s="1605"/>
      <c r="K275" s="1608"/>
      <c r="L275" s="1605">
        <f>IF(D275&gt;0,SUM(FQ518:FQ529),0)</f>
        <v>0</v>
      </c>
      <c r="M275" s="1606"/>
      <c r="N275" s="457"/>
      <c r="O275" s="1639">
        <f>IF(D275&gt;0,SUM(GH518:GH529),0)</f>
        <v>0</v>
      </c>
      <c r="P275" s="1640"/>
      <c r="Q275" s="1641">
        <f>IF(D275&gt;0,SUM(GL518:GL529),0)</f>
        <v>0</v>
      </c>
      <c r="R275" s="1640"/>
      <c r="S275" s="452">
        <f>IF(D275&gt;0,SUM(EF518:EF529)*(-1),0)</f>
        <v>0</v>
      </c>
      <c r="T275" s="1641">
        <f>IF(D275&gt;0,SUM(EL518:EL529)*(-1),0)</f>
        <v>0</v>
      </c>
      <c r="U275" s="1640"/>
      <c r="V275" s="1641">
        <f>IF(D275&gt;0,SUM(ER518:ER529)*(-1),0)</f>
        <v>0</v>
      </c>
      <c r="W275" s="1684"/>
      <c r="X275" s="457"/>
      <c r="Y275" s="1581">
        <f>IF(D275&gt;0,SUM(FY518:FY529),0)</f>
        <v>0</v>
      </c>
      <c r="Z275" s="1582"/>
      <c r="AA275" s="1616">
        <f>IF(D275&gt;0,(G275+J275+L275)-(O275+Q275+S275+T275+V275)+Y275,0)</f>
        <v>0</v>
      </c>
      <c r="AB275" s="1616"/>
      <c r="AC275" s="1616"/>
      <c r="AD275" s="1616"/>
      <c r="AE275" s="1616"/>
      <c r="AF275" s="1616"/>
      <c r="AG275" s="1616"/>
      <c r="AH275" s="1616">
        <f>IF(D275&gt;0,AH273+AA275,0)</f>
        <v>0</v>
      </c>
      <c r="AI275" s="1616"/>
      <c r="AJ275" s="1616"/>
      <c r="AK275" s="1616"/>
      <c r="AL275" s="1616"/>
      <c r="AM275" s="1616"/>
      <c r="AN275" s="1617"/>
      <c r="AO275" s="259"/>
      <c r="AU275" s="541">
        <f>IF(AH275&lt;0,1,0)</f>
        <v>0</v>
      </c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56"/>
      <c r="CA275" s="256"/>
      <c r="CB275" s="256"/>
      <c r="CC275" s="256"/>
      <c r="CD275" s="256"/>
      <c r="CE275" s="256"/>
      <c r="CF275" s="256"/>
      <c r="CG275" s="256"/>
      <c r="CH275" s="256"/>
      <c r="CI275" s="256"/>
      <c r="CJ275" s="256"/>
      <c r="CK275" s="256"/>
      <c r="CL275" s="256"/>
      <c r="CM275" s="256"/>
      <c r="CN275" s="256"/>
      <c r="CO275" s="256"/>
      <c r="CP275" s="256"/>
      <c r="CQ275" s="256"/>
      <c r="CR275" s="256"/>
      <c r="CS275" s="256"/>
      <c r="CT275" s="256"/>
      <c r="CU275" s="256"/>
      <c r="CV275" s="256"/>
      <c r="CW275" s="256"/>
      <c r="CX275" s="256"/>
      <c r="CY275" s="256"/>
      <c r="CZ275" s="256"/>
      <c r="DA275" s="256"/>
      <c r="DB275" s="256"/>
      <c r="DC275" s="256"/>
      <c r="DD275" s="256"/>
      <c r="DE275" s="256"/>
      <c r="DF275" s="256"/>
      <c r="DG275" s="256"/>
      <c r="DH275" s="256"/>
      <c r="DI275" s="256"/>
      <c r="DJ275" s="256"/>
      <c r="DK275" s="256"/>
      <c r="DL275" s="256"/>
      <c r="DM275" s="256"/>
      <c r="DN275" s="256"/>
      <c r="DO275" s="256"/>
      <c r="DP275" s="256"/>
      <c r="DQ275" s="256"/>
      <c r="DR275" s="256"/>
      <c r="DS275" s="256"/>
      <c r="DT275" s="256"/>
      <c r="DU275" s="256"/>
      <c r="DV275" s="256"/>
      <c r="DW275" s="256"/>
      <c r="DX275" s="256"/>
      <c r="DY275" s="256"/>
      <c r="DZ275" s="256"/>
      <c r="EA275" s="256"/>
      <c r="EB275" s="256"/>
      <c r="EC275" s="256"/>
      <c r="ED275" s="256"/>
      <c r="EE275" s="256"/>
    </row>
    <row r="276" spans="4:135" ht="2.1" customHeight="1">
      <c r="D276" s="259"/>
      <c r="E276" s="259"/>
      <c r="F276" s="259"/>
      <c r="G276" s="1607"/>
      <c r="H276" s="1608"/>
      <c r="I276" s="1609"/>
      <c r="J276" s="1605"/>
      <c r="K276" s="1608"/>
      <c r="L276" s="1605"/>
      <c r="M276" s="1606"/>
      <c r="N276" s="457"/>
      <c r="O276" s="1639"/>
      <c r="P276" s="1640"/>
      <c r="Q276" s="1641"/>
      <c r="R276" s="1640"/>
      <c r="S276" s="452"/>
      <c r="T276" s="1641"/>
      <c r="U276" s="1640"/>
      <c r="V276" s="1641"/>
      <c r="W276" s="1684"/>
      <c r="X276" s="457"/>
      <c r="Y276" s="1581"/>
      <c r="Z276" s="1582"/>
      <c r="AA276" s="1616"/>
      <c r="AB276" s="1616"/>
      <c r="AC276" s="1616"/>
      <c r="AD276" s="1616"/>
      <c r="AE276" s="1616"/>
      <c r="AF276" s="1616"/>
      <c r="AG276" s="1616"/>
      <c r="AH276" s="1569"/>
      <c r="AI276" s="1570"/>
      <c r="AJ276" s="1570"/>
      <c r="AK276" s="1570"/>
      <c r="AL276" s="1570"/>
      <c r="AM276" s="1570"/>
      <c r="AN276" s="1571"/>
      <c r="AO276" s="259"/>
      <c r="AU276" s="541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56"/>
      <c r="CA276" s="256"/>
      <c r="CB276" s="256"/>
      <c r="CC276" s="256"/>
      <c r="CD276" s="256"/>
      <c r="CE276" s="256"/>
      <c r="CF276" s="256"/>
      <c r="CG276" s="256"/>
      <c r="CH276" s="256"/>
      <c r="CI276" s="256"/>
      <c r="CJ276" s="256"/>
      <c r="CK276" s="256"/>
      <c r="CL276" s="256"/>
      <c r="CM276" s="256"/>
      <c r="CN276" s="256"/>
      <c r="CO276" s="256"/>
      <c r="CP276" s="256"/>
      <c r="CQ276" s="256"/>
      <c r="CR276" s="256"/>
      <c r="CS276" s="256"/>
      <c r="CT276" s="256"/>
      <c r="CU276" s="256"/>
      <c r="CV276" s="256"/>
      <c r="CW276" s="256"/>
      <c r="CX276" s="256"/>
      <c r="CY276" s="256"/>
      <c r="CZ276" s="256"/>
      <c r="DA276" s="256"/>
      <c r="DB276" s="256"/>
      <c r="DC276" s="256"/>
      <c r="DD276" s="256"/>
      <c r="DE276" s="256"/>
      <c r="DF276" s="256"/>
      <c r="DG276" s="256"/>
      <c r="DH276" s="256"/>
      <c r="DI276" s="256"/>
      <c r="DJ276" s="256"/>
      <c r="DK276" s="256"/>
      <c r="DL276" s="256"/>
      <c r="DM276" s="256"/>
      <c r="DN276" s="256"/>
      <c r="DO276" s="256"/>
      <c r="DP276" s="256"/>
      <c r="DQ276" s="256"/>
      <c r="DR276" s="256"/>
      <c r="DS276" s="256"/>
      <c r="DT276" s="256"/>
      <c r="DU276" s="256"/>
      <c r="DV276" s="256"/>
      <c r="DW276" s="256"/>
      <c r="DX276" s="256"/>
      <c r="DY276" s="256"/>
      <c r="DZ276" s="256"/>
      <c r="EA276" s="256"/>
      <c r="EB276" s="256"/>
      <c r="EC276" s="256"/>
      <c r="ED276" s="256"/>
      <c r="EE276" s="256"/>
    </row>
    <row r="277" spans="4:135" ht="12.75" customHeight="1">
      <c r="D277" s="1613">
        <f>IF($V$21-16&gt;=0,16,0)</f>
        <v>16</v>
      </c>
      <c r="E277" s="1613"/>
      <c r="F277" s="1613"/>
      <c r="G277" s="1607">
        <f>IF(D277&gt;0,SUM(FD530:FD541),0)</f>
        <v>0</v>
      </c>
      <c r="H277" s="1608"/>
      <c r="I277" s="1609"/>
      <c r="J277" s="1605"/>
      <c r="K277" s="1608"/>
      <c r="L277" s="1605">
        <f>IF(D277&gt;0,SUM(FQ530:FQ541),0)</f>
        <v>0</v>
      </c>
      <c r="M277" s="1606"/>
      <c r="N277" s="457"/>
      <c r="O277" s="1639">
        <f>IF(D277&gt;0,SUM(GH530:GH541),0)</f>
        <v>0</v>
      </c>
      <c r="P277" s="1640"/>
      <c r="Q277" s="1641">
        <f>IF(D277&gt;0,SUM(GL530:GL541),0)</f>
        <v>0</v>
      </c>
      <c r="R277" s="1640"/>
      <c r="S277" s="452">
        <f>IF(D277&gt;0,SUM(EF530:EF541)*(-1),0)</f>
        <v>0</v>
      </c>
      <c r="T277" s="1641">
        <f>IF(D277&gt;0,SUM(EL530:EL541)*(-1),0)</f>
        <v>0</v>
      </c>
      <c r="U277" s="1640"/>
      <c r="V277" s="1641">
        <f>IF(D277&gt;0,SUM(ER530:ER541)*(-1),0)</f>
        <v>0</v>
      </c>
      <c r="W277" s="1684"/>
      <c r="X277" s="457"/>
      <c r="Y277" s="1581">
        <f>IF(D277&gt;0,SUM(FY530:FY541),0)</f>
        <v>0</v>
      </c>
      <c r="Z277" s="1582"/>
      <c r="AA277" s="1616">
        <f>IF(D277&gt;0,(G277+J277+L277)-(O277+Q277+S277+T277+V277)+Y277,0)</f>
        <v>0</v>
      </c>
      <c r="AB277" s="1616"/>
      <c r="AC277" s="1616"/>
      <c r="AD277" s="1616"/>
      <c r="AE277" s="1616"/>
      <c r="AF277" s="1616"/>
      <c r="AG277" s="1616"/>
      <c r="AH277" s="1616">
        <f>IF(D277&gt;0,AH275+AA277,0)</f>
        <v>0</v>
      </c>
      <c r="AI277" s="1616"/>
      <c r="AJ277" s="1616"/>
      <c r="AK277" s="1616"/>
      <c r="AL277" s="1616"/>
      <c r="AM277" s="1616"/>
      <c r="AN277" s="1617"/>
      <c r="AO277" s="259"/>
      <c r="AU277" s="541">
        <f>IF(AH277&lt;0,1,0)</f>
        <v>0</v>
      </c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56"/>
      <c r="CA277" s="256"/>
      <c r="CB277" s="256"/>
      <c r="CC277" s="256"/>
      <c r="CD277" s="256"/>
      <c r="CE277" s="256"/>
      <c r="CF277" s="256"/>
      <c r="CG277" s="256"/>
      <c r="CH277" s="256"/>
      <c r="CI277" s="256"/>
      <c r="CJ277" s="256"/>
      <c r="CK277" s="256"/>
      <c r="CL277" s="256"/>
      <c r="CM277" s="256"/>
      <c r="CN277" s="256"/>
      <c r="CO277" s="256"/>
      <c r="CP277" s="256"/>
      <c r="CQ277" s="256"/>
      <c r="CR277" s="256"/>
      <c r="CS277" s="256"/>
      <c r="CT277" s="256"/>
      <c r="CU277" s="256"/>
      <c r="CV277" s="256"/>
      <c r="CW277" s="256"/>
      <c r="CX277" s="256"/>
      <c r="CY277" s="256"/>
      <c r="CZ277" s="256"/>
      <c r="DA277" s="256"/>
      <c r="DB277" s="256"/>
      <c r="DC277" s="256"/>
      <c r="DD277" s="256"/>
      <c r="DE277" s="256"/>
      <c r="DF277" s="256"/>
      <c r="DG277" s="256"/>
      <c r="DH277" s="256"/>
      <c r="DI277" s="256"/>
      <c r="DJ277" s="256"/>
      <c r="DK277" s="256"/>
      <c r="DL277" s="256"/>
      <c r="DM277" s="256"/>
      <c r="DN277" s="256"/>
      <c r="DO277" s="256"/>
      <c r="DP277" s="256"/>
      <c r="DQ277" s="256"/>
      <c r="DR277" s="256"/>
      <c r="DS277" s="256"/>
      <c r="DT277" s="256"/>
      <c r="DU277" s="256"/>
      <c r="DV277" s="256"/>
      <c r="DW277" s="256"/>
      <c r="DX277" s="256"/>
      <c r="DY277" s="256"/>
      <c r="DZ277" s="256"/>
      <c r="EA277" s="256"/>
      <c r="EB277" s="256"/>
      <c r="EC277" s="256"/>
      <c r="ED277" s="256"/>
      <c r="EE277" s="256"/>
    </row>
    <row r="278" spans="4:135" ht="2.1" customHeight="1">
      <c r="D278" s="259"/>
      <c r="E278" s="259"/>
      <c r="F278" s="259"/>
      <c r="G278" s="1607"/>
      <c r="H278" s="1608"/>
      <c r="I278" s="1609"/>
      <c r="J278" s="1605"/>
      <c r="K278" s="1608"/>
      <c r="L278" s="1605"/>
      <c r="M278" s="1606"/>
      <c r="N278" s="457"/>
      <c r="O278" s="1639"/>
      <c r="P278" s="1640"/>
      <c r="Q278" s="1641"/>
      <c r="R278" s="1640"/>
      <c r="S278" s="452"/>
      <c r="T278" s="1641"/>
      <c r="U278" s="1640"/>
      <c r="V278" s="1641"/>
      <c r="W278" s="1684"/>
      <c r="X278" s="457"/>
      <c r="Y278" s="1581"/>
      <c r="Z278" s="1582"/>
      <c r="AA278" s="1616"/>
      <c r="AB278" s="1616"/>
      <c r="AC278" s="1616"/>
      <c r="AD278" s="1616"/>
      <c r="AE278" s="1616"/>
      <c r="AF278" s="1616"/>
      <c r="AG278" s="1616"/>
      <c r="AH278" s="1569"/>
      <c r="AI278" s="1570"/>
      <c r="AJ278" s="1570"/>
      <c r="AK278" s="1570"/>
      <c r="AL278" s="1570"/>
      <c r="AM278" s="1570"/>
      <c r="AN278" s="1571"/>
      <c r="AO278" s="259"/>
      <c r="AU278" s="541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56"/>
      <c r="CA278" s="256"/>
      <c r="CB278" s="256"/>
      <c r="CC278" s="256"/>
      <c r="CD278" s="256"/>
      <c r="CE278" s="256"/>
      <c r="CF278" s="256"/>
      <c r="CG278" s="256"/>
      <c r="CH278" s="256"/>
      <c r="CI278" s="256"/>
      <c r="CJ278" s="256"/>
      <c r="CK278" s="256"/>
      <c r="CL278" s="256"/>
      <c r="CM278" s="256"/>
      <c r="CN278" s="256"/>
      <c r="CO278" s="256"/>
      <c r="CP278" s="256"/>
      <c r="CQ278" s="256"/>
      <c r="CR278" s="256"/>
      <c r="CS278" s="256"/>
      <c r="CT278" s="256"/>
      <c r="CU278" s="256"/>
      <c r="CV278" s="256"/>
      <c r="CW278" s="256"/>
      <c r="CX278" s="256"/>
      <c r="CY278" s="256"/>
      <c r="CZ278" s="256"/>
      <c r="DA278" s="256"/>
      <c r="DB278" s="256"/>
      <c r="DC278" s="256"/>
      <c r="DD278" s="256"/>
      <c r="DE278" s="256"/>
      <c r="DF278" s="256"/>
      <c r="DG278" s="256"/>
      <c r="DH278" s="256"/>
      <c r="DI278" s="256"/>
      <c r="DJ278" s="256"/>
      <c r="DK278" s="256"/>
      <c r="DL278" s="256"/>
      <c r="DM278" s="256"/>
      <c r="DN278" s="256"/>
      <c r="DO278" s="256"/>
      <c r="DP278" s="256"/>
      <c r="DQ278" s="256"/>
      <c r="DR278" s="256"/>
      <c r="DS278" s="256"/>
      <c r="DT278" s="256"/>
      <c r="DU278" s="256"/>
      <c r="DV278" s="256"/>
      <c r="DW278" s="256"/>
      <c r="DX278" s="256"/>
      <c r="DY278" s="256"/>
      <c r="DZ278" s="256"/>
      <c r="EA278" s="256"/>
      <c r="EB278" s="256"/>
      <c r="EC278" s="256"/>
      <c r="ED278" s="256"/>
      <c r="EE278" s="256"/>
    </row>
    <row r="279" spans="4:135" ht="12.75" customHeight="1">
      <c r="D279" s="1613">
        <f>IF($V$21-17&gt;=0,17,0)</f>
        <v>17</v>
      </c>
      <c r="E279" s="1613"/>
      <c r="F279" s="1613"/>
      <c r="G279" s="1607">
        <f>IF(D279&gt;0,SUM(FD542:FD553),0)</f>
        <v>0</v>
      </c>
      <c r="H279" s="1608"/>
      <c r="I279" s="1609"/>
      <c r="J279" s="1605"/>
      <c r="K279" s="1608"/>
      <c r="L279" s="1605">
        <f>IF(D279&gt;0,SUM(FQ542:FQ553),0)</f>
        <v>0</v>
      </c>
      <c r="M279" s="1606"/>
      <c r="N279" s="457"/>
      <c r="O279" s="1639">
        <f>IF(D279&gt;0,SUM(GH542:GH553),0)</f>
        <v>0</v>
      </c>
      <c r="P279" s="1640"/>
      <c r="Q279" s="1641">
        <f>IF(D279&gt;0,SUM(GL542:GL553),0)</f>
        <v>0</v>
      </c>
      <c r="R279" s="1640"/>
      <c r="S279" s="452">
        <f>IF(D279&gt;0,SUM(EF542:EF553)*(-1),0)</f>
        <v>0</v>
      </c>
      <c r="T279" s="1641">
        <f>IF(D279&gt;0,SUM(EL542:EL553)*(-1),0)</f>
        <v>0</v>
      </c>
      <c r="U279" s="1640"/>
      <c r="V279" s="1641">
        <f>IF(D279&gt;0,SUM(ER542:ER553)*(-1),0)</f>
        <v>0</v>
      </c>
      <c r="W279" s="1684"/>
      <c r="X279" s="457"/>
      <c r="Y279" s="1581">
        <f>IF(D279&gt;0,SUM(FY542:FY553),0)</f>
        <v>0</v>
      </c>
      <c r="Z279" s="1582"/>
      <c r="AA279" s="1616">
        <f>IF(D279&gt;0,(G279+J279+L279)-(O279+Q279+S279+T279+V279)+Y279,0)</f>
        <v>0</v>
      </c>
      <c r="AB279" s="1616"/>
      <c r="AC279" s="1616"/>
      <c r="AD279" s="1616"/>
      <c r="AE279" s="1616"/>
      <c r="AF279" s="1616"/>
      <c r="AG279" s="1616"/>
      <c r="AH279" s="1616">
        <f>IF(D279&gt;0,AH277+AA279,0)</f>
        <v>0</v>
      </c>
      <c r="AI279" s="1616"/>
      <c r="AJ279" s="1616"/>
      <c r="AK279" s="1616"/>
      <c r="AL279" s="1616"/>
      <c r="AM279" s="1616"/>
      <c r="AN279" s="1617"/>
      <c r="AO279" s="259"/>
      <c r="AU279" s="541">
        <f>IF(AH279&lt;0,1,0)</f>
        <v>0</v>
      </c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56"/>
      <c r="CA279" s="256"/>
      <c r="CB279" s="256"/>
      <c r="CC279" s="256"/>
      <c r="CD279" s="256"/>
      <c r="CE279" s="256"/>
      <c r="CF279" s="256"/>
      <c r="CG279" s="256"/>
      <c r="CH279" s="256"/>
      <c r="CI279" s="256"/>
      <c r="CJ279" s="256"/>
      <c r="CK279" s="256"/>
      <c r="CL279" s="256"/>
      <c r="CM279" s="256"/>
      <c r="CN279" s="256"/>
      <c r="CO279" s="256"/>
      <c r="CP279" s="256"/>
      <c r="CQ279" s="256"/>
      <c r="CR279" s="256"/>
      <c r="CS279" s="256"/>
      <c r="CT279" s="256"/>
      <c r="CU279" s="256"/>
      <c r="CV279" s="256"/>
      <c r="CW279" s="256"/>
      <c r="CX279" s="256"/>
      <c r="CY279" s="256"/>
      <c r="CZ279" s="256"/>
      <c r="DA279" s="256"/>
      <c r="DB279" s="256"/>
      <c r="DC279" s="256"/>
      <c r="DD279" s="256"/>
      <c r="DE279" s="256"/>
      <c r="DF279" s="256"/>
      <c r="DG279" s="256"/>
      <c r="DH279" s="256"/>
      <c r="DI279" s="256"/>
      <c r="DJ279" s="256"/>
      <c r="DK279" s="256"/>
      <c r="DL279" s="256"/>
      <c r="DM279" s="256"/>
      <c r="DN279" s="256"/>
      <c r="DO279" s="256"/>
      <c r="DP279" s="256"/>
      <c r="DQ279" s="256"/>
      <c r="DR279" s="256"/>
      <c r="DS279" s="256"/>
      <c r="DT279" s="256"/>
      <c r="DU279" s="256"/>
      <c r="DV279" s="256"/>
      <c r="DW279" s="256"/>
      <c r="DX279" s="256"/>
      <c r="DY279" s="256"/>
      <c r="DZ279" s="256"/>
      <c r="EA279" s="256"/>
      <c r="EB279" s="256"/>
      <c r="EC279" s="256"/>
      <c r="ED279" s="256"/>
      <c r="EE279" s="256"/>
    </row>
    <row r="280" spans="4:135" ht="2.1" customHeight="1">
      <c r="D280" s="259"/>
      <c r="E280" s="259"/>
      <c r="F280" s="259"/>
      <c r="G280" s="1607"/>
      <c r="H280" s="1608"/>
      <c r="I280" s="1609"/>
      <c r="J280" s="1605"/>
      <c r="K280" s="1608"/>
      <c r="L280" s="1605"/>
      <c r="M280" s="1606"/>
      <c r="N280" s="457"/>
      <c r="O280" s="1639"/>
      <c r="P280" s="1640"/>
      <c r="Q280" s="1641"/>
      <c r="R280" s="1640"/>
      <c r="S280" s="452"/>
      <c r="T280" s="1641"/>
      <c r="U280" s="1640"/>
      <c r="V280" s="1641"/>
      <c r="W280" s="1684"/>
      <c r="X280" s="457"/>
      <c r="Y280" s="1581"/>
      <c r="Z280" s="1582"/>
      <c r="AA280" s="1616"/>
      <c r="AB280" s="1616"/>
      <c r="AC280" s="1616"/>
      <c r="AD280" s="1616"/>
      <c r="AE280" s="1616"/>
      <c r="AF280" s="1616"/>
      <c r="AG280" s="1616"/>
      <c r="AH280" s="1569"/>
      <c r="AI280" s="1570"/>
      <c r="AJ280" s="1570"/>
      <c r="AK280" s="1570"/>
      <c r="AL280" s="1570"/>
      <c r="AM280" s="1570"/>
      <c r="AN280" s="1571"/>
      <c r="AO280" s="259"/>
      <c r="AU280" s="541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56"/>
      <c r="CA280" s="256"/>
      <c r="CB280" s="256"/>
      <c r="CC280" s="256"/>
      <c r="CD280" s="256"/>
      <c r="CE280" s="256"/>
      <c r="CF280" s="256"/>
      <c r="CG280" s="256"/>
      <c r="CH280" s="256"/>
      <c r="CI280" s="256"/>
      <c r="CJ280" s="256"/>
      <c r="CK280" s="256"/>
      <c r="CL280" s="256"/>
      <c r="CM280" s="256"/>
      <c r="CN280" s="256"/>
      <c r="CO280" s="256"/>
      <c r="CP280" s="256"/>
      <c r="CQ280" s="256"/>
      <c r="CR280" s="256"/>
      <c r="CS280" s="256"/>
      <c r="CT280" s="256"/>
      <c r="CU280" s="256"/>
      <c r="CV280" s="256"/>
      <c r="CW280" s="256"/>
      <c r="CX280" s="256"/>
      <c r="CY280" s="256"/>
      <c r="CZ280" s="256"/>
      <c r="DA280" s="256"/>
      <c r="DB280" s="256"/>
      <c r="DC280" s="256"/>
      <c r="DD280" s="256"/>
      <c r="DE280" s="256"/>
      <c r="DF280" s="256"/>
      <c r="DG280" s="256"/>
      <c r="DH280" s="256"/>
      <c r="DI280" s="256"/>
      <c r="DJ280" s="256"/>
      <c r="DK280" s="256"/>
      <c r="DL280" s="256"/>
      <c r="DM280" s="256"/>
      <c r="DN280" s="256"/>
      <c r="DO280" s="256"/>
      <c r="DP280" s="256"/>
      <c r="DQ280" s="256"/>
      <c r="DR280" s="256"/>
      <c r="DS280" s="256"/>
      <c r="DT280" s="256"/>
      <c r="DU280" s="256"/>
      <c r="DV280" s="256"/>
      <c r="DW280" s="256"/>
      <c r="DX280" s="256"/>
      <c r="DY280" s="256"/>
      <c r="DZ280" s="256"/>
      <c r="EA280" s="256"/>
      <c r="EB280" s="256"/>
      <c r="EC280" s="256"/>
      <c r="ED280" s="256"/>
      <c r="EE280" s="256"/>
    </row>
    <row r="281" spans="4:135" ht="12.75" customHeight="1">
      <c r="D281" s="1613">
        <f>IF($V$21-18&gt;=0,18,0)</f>
        <v>18</v>
      </c>
      <c r="E281" s="1613"/>
      <c r="F281" s="1613"/>
      <c r="G281" s="1607">
        <f>IF(D281&gt;0,SUM(FD554:FD565),0)</f>
        <v>0</v>
      </c>
      <c r="H281" s="1608"/>
      <c r="I281" s="1609"/>
      <c r="J281" s="1605"/>
      <c r="K281" s="1608"/>
      <c r="L281" s="1605">
        <f>IF(D281&gt;0,SUM(FQ554:FQ565),0)</f>
        <v>0</v>
      </c>
      <c r="M281" s="1606"/>
      <c r="N281" s="457"/>
      <c r="O281" s="1639">
        <f>IF(D281&gt;0,SUM(GH554:GH565),0)</f>
        <v>0</v>
      </c>
      <c r="P281" s="1640"/>
      <c r="Q281" s="1641">
        <f>IF(D281&gt;0,SUM(GL554:GL565),0)</f>
        <v>0</v>
      </c>
      <c r="R281" s="1640"/>
      <c r="S281" s="452">
        <f>IF(D281&gt;0,SUM(EF554:EF565)*(-1),0)</f>
        <v>0</v>
      </c>
      <c r="T281" s="1641">
        <f>IF(D281&gt;0,SUM(EL554:EL565)*(-1),0)</f>
        <v>0</v>
      </c>
      <c r="U281" s="1640"/>
      <c r="V281" s="1641">
        <f>IF(D281&gt;0,SUM(ER554:ER565)*(-1),0)</f>
        <v>0</v>
      </c>
      <c r="W281" s="1684"/>
      <c r="X281" s="457"/>
      <c r="Y281" s="1581">
        <f>IF(D281&gt;0,SUM(FY554:FY565),0)</f>
        <v>0</v>
      </c>
      <c r="Z281" s="1582"/>
      <c r="AA281" s="1616">
        <f>IF(D281&gt;0,(G281+J281+L281)-(O281+Q281+S281+T281+V281)+Y281,0)</f>
        <v>0</v>
      </c>
      <c r="AB281" s="1616"/>
      <c r="AC281" s="1616"/>
      <c r="AD281" s="1616"/>
      <c r="AE281" s="1616"/>
      <c r="AF281" s="1616"/>
      <c r="AG281" s="1616"/>
      <c r="AH281" s="1616">
        <f>IF(D281&gt;0,AH279+AA281,0)</f>
        <v>0</v>
      </c>
      <c r="AI281" s="1616"/>
      <c r="AJ281" s="1616"/>
      <c r="AK281" s="1616"/>
      <c r="AL281" s="1616"/>
      <c r="AM281" s="1616"/>
      <c r="AN281" s="1617"/>
      <c r="AO281" s="259"/>
      <c r="AU281" s="541">
        <f>IF(AH281&lt;0,1,0)</f>
        <v>0</v>
      </c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56"/>
      <c r="CA281" s="256"/>
      <c r="CB281" s="256"/>
      <c r="CC281" s="256"/>
      <c r="CD281" s="256"/>
      <c r="CE281" s="256"/>
      <c r="CF281" s="256"/>
      <c r="CG281" s="256"/>
      <c r="CH281" s="256"/>
      <c r="CI281" s="256"/>
      <c r="CJ281" s="256"/>
      <c r="CK281" s="256"/>
      <c r="CL281" s="256"/>
      <c r="CM281" s="256"/>
      <c r="CN281" s="256"/>
      <c r="CO281" s="256"/>
      <c r="CP281" s="256"/>
      <c r="CQ281" s="256"/>
      <c r="CR281" s="256"/>
      <c r="CS281" s="256"/>
      <c r="CT281" s="256"/>
      <c r="CU281" s="256"/>
      <c r="CV281" s="256"/>
      <c r="CW281" s="256"/>
      <c r="CX281" s="256"/>
      <c r="CY281" s="256"/>
      <c r="CZ281" s="256"/>
      <c r="DA281" s="256"/>
      <c r="DB281" s="256"/>
      <c r="DC281" s="256"/>
      <c r="DD281" s="256"/>
      <c r="DE281" s="256"/>
      <c r="DF281" s="256"/>
      <c r="DG281" s="256"/>
      <c r="DH281" s="256"/>
      <c r="DI281" s="256"/>
      <c r="DJ281" s="256"/>
      <c r="DK281" s="256"/>
      <c r="DL281" s="256"/>
      <c r="DM281" s="256"/>
      <c r="DN281" s="256"/>
      <c r="DO281" s="256"/>
      <c r="DP281" s="256"/>
      <c r="DQ281" s="256"/>
      <c r="DR281" s="256"/>
      <c r="DS281" s="256"/>
      <c r="DT281" s="256"/>
      <c r="DU281" s="256"/>
      <c r="DV281" s="256"/>
      <c r="DW281" s="256"/>
      <c r="DX281" s="256"/>
      <c r="DY281" s="256"/>
      <c r="DZ281" s="256"/>
      <c r="EA281" s="256"/>
      <c r="EB281" s="256"/>
      <c r="EC281" s="256"/>
      <c r="ED281" s="256"/>
      <c r="EE281" s="256"/>
    </row>
    <row r="282" spans="4:135" ht="2.1" customHeight="1">
      <c r="D282" s="259"/>
      <c r="E282" s="259"/>
      <c r="F282" s="259"/>
      <c r="G282" s="1607"/>
      <c r="H282" s="1608"/>
      <c r="I282" s="1609"/>
      <c r="J282" s="1605"/>
      <c r="K282" s="1608"/>
      <c r="L282" s="1605"/>
      <c r="M282" s="1606"/>
      <c r="N282" s="457"/>
      <c r="O282" s="1639"/>
      <c r="P282" s="1640"/>
      <c r="Q282" s="1641"/>
      <c r="R282" s="1640"/>
      <c r="S282" s="452"/>
      <c r="T282" s="1641"/>
      <c r="U282" s="1640"/>
      <c r="V282" s="1641"/>
      <c r="W282" s="1684"/>
      <c r="X282" s="457"/>
      <c r="Y282" s="1581"/>
      <c r="Z282" s="1582"/>
      <c r="AA282" s="1616"/>
      <c r="AB282" s="1616"/>
      <c r="AC282" s="1616"/>
      <c r="AD282" s="1616"/>
      <c r="AE282" s="1616"/>
      <c r="AF282" s="1616"/>
      <c r="AG282" s="1616"/>
      <c r="AH282" s="1569"/>
      <c r="AI282" s="1570"/>
      <c r="AJ282" s="1570"/>
      <c r="AK282" s="1570"/>
      <c r="AL282" s="1570"/>
      <c r="AM282" s="1570"/>
      <c r="AN282" s="1571"/>
      <c r="AO282" s="259"/>
      <c r="AU282" s="541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56"/>
      <c r="CA282" s="256"/>
      <c r="CB282" s="256"/>
      <c r="CC282" s="256"/>
      <c r="CD282" s="256"/>
      <c r="CE282" s="256"/>
      <c r="CF282" s="256"/>
      <c r="CG282" s="256"/>
      <c r="CH282" s="256"/>
      <c r="CI282" s="256"/>
      <c r="CJ282" s="256"/>
      <c r="CK282" s="256"/>
      <c r="CL282" s="256"/>
      <c r="CM282" s="256"/>
      <c r="CN282" s="256"/>
      <c r="CO282" s="256"/>
      <c r="CP282" s="256"/>
      <c r="CQ282" s="256"/>
      <c r="CR282" s="256"/>
      <c r="CS282" s="256"/>
      <c r="CT282" s="256"/>
      <c r="CU282" s="256"/>
      <c r="CV282" s="256"/>
      <c r="CW282" s="256"/>
      <c r="CX282" s="256"/>
      <c r="CY282" s="256"/>
      <c r="CZ282" s="256"/>
      <c r="DA282" s="256"/>
      <c r="DB282" s="256"/>
      <c r="DC282" s="256"/>
      <c r="DD282" s="256"/>
      <c r="DE282" s="256"/>
      <c r="DF282" s="256"/>
      <c r="DG282" s="256"/>
      <c r="DH282" s="256"/>
      <c r="DI282" s="256"/>
      <c r="DJ282" s="256"/>
      <c r="DK282" s="256"/>
      <c r="DL282" s="256"/>
      <c r="DM282" s="256"/>
      <c r="DN282" s="256"/>
      <c r="DO282" s="256"/>
      <c r="DP282" s="256"/>
      <c r="DQ282" s="256"/>
      <c r="DR282" s="256"/>
      <c r="DS282" s="256"/>
      <c r="DT282" s="256"/>
      <c r="DU282" s="256"/>
      <c r="DV282" s="256"/>
      <c r="DW282" s="256"/>
      <c r="DX282" s="256"/>
      <c r="DY282" s="256"/>
      <c r="DZ282" s="256"/>
      <c r="EA282" s="256"/>
      <c r="EB282" s="256"/>
      <c r="EC282" s="256"/>
      <c r="ED282" s="256"/>
      <c r="EE282" s="256"/>
    </row>
    <row r="283" spans="4:135" ht="12.75" customHeight="1">
      <c r="D283" s="1613">
        <f>IF($V$21-19&gt;=0,19,0)</f>
        <v>19</v>
      </c>
      <c r="E283" s="1613"/>
      <c r="F283" s="1613"/>
      <c r="G283" s="1607">
        <f>IF(D283&gt;0,SUM(FD566:FD577),0)</f>
        <v>0</v>
      </c>
      <c r="H283" s="1608"/>
      <c r="I283" s="1609"/>
      <c r="J283" s="1605"/>
      <c r="K283" s="1608"/>
      <c r="L283" s="1605">
        <f>IF(D283&gt;0,SUM(FQ566:FQ577),0)</f>
        <v>0</v>
      </c>
      <c r="M283" s="1606"/>
      <c r="N283" s="457"/>
      <c r="O283" s="1639">
        <f>IF(D283&gt;0,SUM(GH566:GH577),0)</f>
        <v>0</v>
      </c>
      <c r="P283" s="1640"/>
      <c r="Q283" s="1641">
        <f>IF(D283&gt;0,SUM(GL566:GL577),0)</f>
        <v>0</v>
      </c>
      <c r="R283" s="1640"/>
      <c r="S283" s="452">
        <f>IF(D283&gt;0,SUM(EF566:EF577)*(-1),0)</f>
        <v>0</v>
      </c>
      <c r="T283" s="1641">
        <f>IF(D283&gt;0,SUM(EL566:EL577)*(-1),0)</f>
        <v>0</v>
      </c>
      <c r="U283" s="1640"/>
      <c r="V283" s="1641">
        <f>IF(D283&gt;0,SUM(ER566:ER577)*(-1),0)</f>
        <v>0</v>
      </c>
      <c r="W283" s="1684"/>
      <c r="X283" s="457"/>
      <c r="Y283" s="1581">
        <f>IF(D283&gt;0,SUM(FY566:FY577),0)</f>
        <v>0</v>
      </c>
      <c r="Z283" s="1582"/>
      <c r="AA283" s="1616">
        <f>IF(D283&gt;0,(G283+J283+L283)-(O283+Q283+S283+T283+V283)+Y283,0)</f>
        <v>0</v>
      </c>
      <c r="AB283" s="1616"/>
      <c r="AC283" s="1616"/>
      <c r="AD283" s="1616"/>
      <c r="AE283" s="1616"/>
      <c r="AF283" s="1616"/>
      <c r="AG283" s="1616"/>
      <c r="AH283" s="1616">
        <f>IF(D283&gt;0,AH281+AA283,0)</f>
        <v>0</v>
      </c>
      <c r="AI283" s="1616"/>
      <c r="AJ283" s="1616"/>
      <c r="AK283" s="1616"/>
      <c r="AL283" s="1616"/>
      <c r="AM283" s="1616"/>
      <c r="AN283" s="1617"/>
      <c r="AO283" s="259"/>
      <c r="AU283" s="541">
        <f>IF(AH283&lt;0,1,0)</f>
        <v>0</v>
      </c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56"/>
      <c r="CA283" s="256"/>
      <c r="CB283" s="256"/>
      <c r="CC283" s="256"/>
      <c r="CD283" s="256"/>
      <c r="CE283" s="256"/>
      <c r="CF283" s="256"/>
      <c r="CG283" s="256"/>
      <c r="CH283" s="256"/>
      <c r="CI283" s="256"/>
      <c r="CJ283" s="256"/>
      <c r="CK283" s="256"/>
      <c r="CL283" s="256"/>
      <c r="CM283" s="256"/>
      <c r="CN283" s="256"/>
      <c r="CO283" s="256"/>
      <c r="CP283" s="256"/>
      <c r="CQ283" s="256"/>
      <c r="CR283" s="256"/>
      <c r="CS283" s="256"/>
      <c r="CT283" s="256"/>
      <c r="CU283" s="256"/>
      <c r="CV283" s="256"/>
      <c r="CW283" s="256"/>
      <c r="CX283" s="256"/>
      <c r="CY283" s="256"/>
      <c r="CZ283" s="256"/>
      <c r="DA283" s="256"/>
      <c r="DB283" s="256"/>
      <c r="DC283" s="256"/>
      <c r="DD283" s="256"/>
      <c r="DE283" s="256"/>
      <c r="DF283" s="256"/>
      <c r="DG283" s="256"/>
      <c r="DH283" s="256"/>
      <c r="DI283" s="256"/>
      <c r="DJ283" s="256"/>
      <c r="DK283" s="256"/>
      <c r="DL283" s="256"/>
      <c r="DM283" s="256"/>
      <c r="DN283" s="256"/>
      <c r="DO283" s="256"/>
      <c r="DP283" s="256"/>
      <c r="DQ283" s="256"/>
      <c r="DR283" s="256"/>
      <c r="DS283" s="256"/>
      <c r="DT283" s="256"/>
      <c r="DU283" s="256"/>
      <c r="DV283" s="256"/>
      <c r="DW283" s="256"/>
      <c r="DX283" s="256"/>
      <c r="DY283" s="256"/>
      <c r="DZ283" s="256"/>
      <c r="EA283" s="256"/>
      <c r="EB283" s="256"/>
      <c r="EC283" s="256"/>
      <c r="ED283" s="256"/>
      <c r="EE283" s="256"/>
    </row>
    <row r="284" spans="4:135" ht="2.1" customHeight="1">
      <c r="D284" s="259"/>
      <c r="E284" s="259"/>
      <c r="F284" s="259"/>
      <c r="G284" s="1607"/>
      <c r="H284" s="1608"/>
      <c r="I284" s="1609"/>
      <c r="J284" s="1605"/>
      <c r="K284" s="1608"/>
      <c r="L284" s="1605"/>
      <c r="M284" s="1606"/>
      <c r="N284" s="457"/>
      <c r="O284" s="1639"/>
      <c r="P284" s="1640"/>
      <c r="Q284" s="1641"/>
      <c r="R284" s="1640"/>
      <c r="S284" s="452"/>
      <c r="T284" s="1641"/>
      <c r="U284" s="1640"/>
      <c r="V284" s="1641"/>
      <c r="W284" s="1684"/>
      <c r="X284" s="457"/>
      <c r="Y284" s="1581"/>
      <c r="Z284" s="1582"/>
      <c r="AA284" s="1616"/>
      <c r="AB284" s="1616"/>
      <c r="AC284" s="1616"/>
      <c r="AD284" s="1616"/>
      <c r="AE284" s="1616"/>
      <c r="AF284" s="1616"/>
      <c r="AG284" s="1616"/>
      <c r="AH284" s="1569"/>
      <c r="AI284" s="1570"/>
      <c r="AJ284" s="1570"/>
      <c r="AK284" s="1570"/>
      <c r="AL284" s="1570"/>
      <c r="AM284" s="1570"/>
      <c r="AN284" s="1571"/>
      <c r="AO284" s="259"/>
      <c r="AU284" s="541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56"/>
      <c r="CA284" s="256"/>
      <c r="CB284" s="256"/>
      <c r="CC284" s="256"/>
      <c r="CD284" s="256"/>
      <c r="CE284" s="256"/>
      <c r="CF284" s="256"/>
      <c r="CG284" s="256"/>
      <c r="CH284" s="256"/>
      <c r="CI284" s="256"/>
      <c r="CJ284" s="256"/>
      <c r="CK284" s="256"/>
      <c r="CL284" s="256"/>
      <c r="CM284" s="256"/>
      <c r="CN284" s="256"/>
      <c r="CO284" s="256"/>
      <c r="CP284" s="256"/>
      <c r="CQ284" s="256"/>
      <c r="CR284" s="256"/>
      <c r="CS284" s="256"/>
      <c r="CT284" s="256"/>
      <c r="CU284" s="256"/>
      <c r="CV284" s="256"/>
      <c r="CW284" s="256"/>
      <c r="CX284" s="256"/>
      <c r="CY284" s="256"/>
      <c r="CZ284" s="256"/>
      <c r="DA284" s="256"/>
      <c r="DB284" s="256"/>
      <c r="DC284" s="256"/>
      <c r="DD284" s="256"/>
      <c r="DE284" s="256"/>
      <c r="DF284" s="256"/>
      <c r="DG284" s="256"/>
      <c r="DH284" s="256"/>
      <c r="DI284" s="256"/>
      <c r="DJ284" s="256"/>
      <c r="DK284" s="256"/>
      <c r="DL284" s="256"/>
      <c r="DM284" s="256"/>
      <c r="DN284" s="256"/>
      <c r="DO284" s="256"/>
      <c r="DP284" s="256"/>
      <c r="DQ284" s="256"/>
      <c r="DR284" s="256"/>
      <c r="DS284" s="256"/>
      <c r="DT284" s="256"/>
      <c r="DU284" s="256"/>
      <c r="DV284" s="256"/>
      <c r="DW284" s="256"/>
      <c r="DX284" s="256"/>
      <c r="DY284" s="256"/>
      <c r="DZ284" s="256"/>
      <c r="EA284" s="256"/>
      <c r="EB284" s="256"/>
      <c r="EC284" s="256"/>
      <c r="ED284" s="256"/>
      <c r="EE284" s="256"/>
    </row>
    <row r="285" spans="4:135" ht="12.75" customHeight="1">
      <c r="D285" s="1613">
        <f>IF($V$21-20&gt;=0,20,0)</f>
        <v>20</v>
      </c>
      <c r="E285" s="1613"/>
      <c r="F285" s="1613"/>
      <c r="G285" s="1607">
        <f>IF(D285&gt;0,SUM(FD578:FD589),0)</f>
        <v>0</v>
      </c>
      <c r="H285" s="1608"/>
      <c r="I285" s="1609"/>
      <c r="J285" s="1605"/>
      <c r="K285" s="1608"/>
      <c r="L285" s="1605">
        <f>IF(D285&gt;0,SUM(FQ578:FQ589),0)</f>
        <v>0</v>
      </c>
      <c r="M285" s="1606"/>
      <c r="N285" s="457"/>
      <c r="O285" s="1639">
        <f>IF(D285&gt;0,SUM(GH578:GH589),0)</f>
        <v>0</v>
      </c>
      <c r="P285" s="1640"/>
      <c r="Q285" s="1641">
        <f>IF(D285&gt;0,SUM(GL578:GL589),0)</f>
        <v>0</v>
      </c>
      <c r="R285" s="1640"/>
      <c r="S285" s="452">
        <f>IF(D285&gt;0,SUM(EF578:EF589)*(-1),0)</f>
        <v>0</v>
      </c>
      <c r="T285" s="1641">
        <f>IF(D285&gt;0,SUM(EL578:EL589)*(-1),0)</f>
        <v>0</v>
      </c>
      <c r="U285" s="1640"/>
      <c r="V285" s="1641">
        <f>IF(D285&gt;0,SUM(ER578:ER589)*(-1),0)</f>
        <v>0</v>
      </c>
      <c r="W285" s="1684"/>
      <c r="X285" s="457"/>
      <c r="Y285" s="1581">
        <f>IF(D285&gt;0,SUM(FY578:FY589),0)</f>
        <v>0</v>
      </c>
      <c r="Z285" s="1582"/>
      <c r="AA285" s="1616">
        <f>IF(D285&gt;0,(G285+J285+L285)-(O285+Q285+S285+T285+V285)+Y285,0)</f>
        <v>0</v>
      </c>
      <c r="AB285" s="1616"/>
      <c r="AC285" s="1616"/>
      <c r="AD285" s="1616"/>
      <c r="AE285" s="1616"/>
      <c r="AF285" s="1616"/>
      <c r="AG285" s="1616"/>
      <c r="AH285" s="1616">
        <f>IF(D285&gt;0,AH283+AA285,0)</f>
        <v>0</v>
      </c>
      <c r="AI285" s="1616"/>
      <c r="AJ285" s="1616"/>
      <c r="AK285" s="1616"/>
      <c r="AL285" s="1616"/>
      <c r="AM285" s="1616"/>
      <c r="AN285" s="1617"/>
      <c r="AO285" s="259"/>
      <c r="AU285" s="541">
        <f>IF(AH285&lt;0,1,0)</f>
        <v>0</v>
      </c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56"/>
      <c r="CA285" s="256"/>
      <c r="CB285" s="256"/>
      <c r="CC285" s="256"/>
      <c r="CD285" s="256"/>
      <c r="CE285" s="256"/>
      <c r="CF285" s="256"/>
      <c r="CG285" s="256"/>
      <c r="CH285" s="256"/>
      <c r="CI285" s="256"/>
      <c r="CJ285" s="256"/>
      <c r="CK285" s="256"/>
      <c r="CL285" s="256"/>
      <c r="CM285" s="256"/>
      <c r="CN285" s="256"/>
      <c r="CO285" s="256"/>
      <c r="CP285" s="256"/>
      <c r="CQ285" s="256"/>
      <c r="CR285" s="256"/>
      <c r="CS285" s="256"/>
      <c r="CT285" s="256"/>
      <c r="CU285" s="256"/>
      <c r="CV285" s="256"/>
      <c r="CW285" s="256"/>
      <c r="CX285" s="256"/>
      <c r="CY285" s="256"/>
      <c r="CZ285" s="256"/>
      <c r="DA285" s="256"/>
      <c r="DB285" s="256"/>
      <c r="DC285" s="256"/>
      <c r="DD285" s="256"/>
      <c r="DE285" s="256"/>
      <c r="DF285" s="256"/>
      <c r="DG285" s="256"/>
      <c r="DH285" s="256"/>
      <c r="DI285" s="256"/>
      <c r="DJ285" s="256"/>
      <c r="DK285" s="256"/>
      <c r="DL285" s="256"/>
      <c r="DM285" s="256"/>
      <c r="DN285" s="256"/>
      <c r="DO285" s="256"/>
      <c r="DP285" s="256"/>
      <c r="DQ285" s="256"/>
      <c r="DR285" s="256"/>
      <c r="DS285" s="256"/>
      <c r="DT285" s="256"/>
      <c r="DU285" s="256"/>
      <c r="DV285" s="256"/>
      <c r="DW285" s="256"/>
      <c r="DX285" s="256"/>
      <c r="DY285" s="256"/>
      <c r="DZ285" s="256"/>
      <c r="EA285" s="256"/>
      <c r="EB285" s="256"/>
      <c r="EC285" s="256"/>
      <c r="ED285" s="256"/>
      <c r="EE285" s="256"/>
    </row>
    <row r="286" spans="4:135" ht="2.1" customHeight="1">
      <c r="D286" s="259"/>
      <c r="E286" s="259"/>
      <c r="F286" s="259"/>
      <c r="G286" s="1607"/>
      <c r="H286" s="1608"/>
      <c r="I286" s="1609"/>
      <c r="J286" s="1605"/>
      <c r="K286" s="1608"/>
      <c r="L286" s="1605"/>
      <c r="M286" s="1606"/>
      <c r="N286" s="457"/>
      <c r="O286" s="1639"/>
      <c r="P286" s="1640"/>
      <c r="Q286" s="1641"/>
      <c r="R286" s="1640"/>
      <c r="S286" s="452"/>
      <c r="T286" s="1641"/>
      <c r="U286" s="1640"/>
      <c r="V286" s="1641"/>
      <c r="W286" s="1684"/>
      <c r="X286" s="457"/>
      <c r="Y286" s="1581"/>
      <c r="Z286" s="1582"/>
      <c r="AA286" s="1616"/>
      <c r="AB286" s="1616"/>
      <c r="AC286" s="1616"/>
      <c r="AD286" s="1616"/>
      <c r="AE286" s="1616"/>
      <c r="AF286" s="1616"/>
      <c r="AG286" s="1616"/>
      <c r="AH286" s="1569"/>
      <c r="AI286" s="1570"/>
      <c r="AJ286" s="1570"/>
      <c r="AK286" s="1570"/>
      <c r="AL286" s="1570"/>
      <c r="AM286" s="1570"/>
      <c r="AN286" s="1571"/>
      <c r="AO286" s="259"/>
      <c r="AU286" s="541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56"/>
      <c r="CA286" s="256"/>
      <c r="CB286" s="256"/>
      <c r="CC286" s="256"/>
      <c r="CD286" s="256"/>
      <c r="CE286" s="256"/>
      <c r="CF286" s="256"/>
      <c r="CG286" s="256"/>
      <c r="CH286" s="256"/>
      <c r="CI286" s="256"/>
      <c r="CJ286" s="256"/>
      <c r="CK286" s="256"/>
      <c r="CL286" s="256"/>
      <c r="CM286" s="256"/>
      <c r="CN286" s="256"/>
      <c r="CO286" s="256"/>
      <c r="CP286" s="256"/>
      <c r="CQ286" s="256"/>
      <c r="CR286" s="256"/>
      <c r="CS286" s="256"/>
      <c r="CT286" s="256"/>
      <c r="CU286" s="256"/>
      <c r="CV286" s="256"/>
      <c r="CW286" s="256"/>
      <c r="CX286" s="256"/>
      <c r="CY286" s="256"/>
      <c r="CZ286" s="256"/>
      <c r="DA286" s="256"/>
      <c r="DB286" s="256"/>
      <c r="DC286" s="256"/>
      <c r="DD286" s="256"/>
      <c r="DE286" s="256"/>
      <c r="DF286" s="256"/>
      <c r="DG286" s="256"/>
      <c r="DH286" s="256"/>
      <c r="DI286" s="256"/>
      <c r="DJ286" s="256"/>
      <c r="DK286" s="256"/>
      <c r="DL286" s="256"/>
      <c r="DM286" s="256"/>
      <c r="DN286" s="256"/>
      <c r="DO286" s="256"/>
      <c r="DP286" s="256"/>
      <c r="DQ286" s="256"/>
      <c r="DR286" s="256"/>
      <c r="DS286" s="256"/>
      <c r="DT286" s="256"/>
      <c r="DU286" s="256"/>
      <c r="DV286" s="256"/>
      <c r="DW286" s="256"/>
      <c r="DX286" s="256"/>
      <c r="DY286" s="256"/>
      <c r="DZ286" s="256"/>
      <c r="EA286" s="256"/>
      <c r="EB286" s="256"/>
      <c r="EC286" s="256"/>
      <c r="ED286" s="256"/>
      <c r="EE286" s="256"/>
    </row>
    <row r="287" spans="4:135" ht="11.45" customHeight="1">
      <c r="D287" s="1613">
        <f>IF($V$21-21&gt;=0,21,0)</f>
        <v>0</v>
      </c>
      <c r="E287" s="1613"/>
      <c r="F287" s="1613"/>
      <c r="G287" s="1607">
        <f>IF(D287&gt;0,SUM(FD590:FD601),0)</f>
        <v>0</v>
      </c>
      <c r="H287" s="1608"/>
      <c r="I287" s="1609"/>
      <c r="J287" s="1605"/>
      <c r="K287" s="1608"/>
      <c r="L287" s="1605">
        <f>IF(D287&gt;0,SUM(FQ590:FQ601),0)</f>
        <v>0</v>
      </c>
      <c r="M287" s="1606"/>
      <c r="N287" s="457"/>
      <c r="O287" s="1639">
        <f>IF(D287&gt;0,SUM(GH590:GH601),0)</f>
        <v>0</v>
      </c>
      <c r="P287" s="1640"/>
      <c r="Q287" s="1641">
        <f>IF(D287&gt;0,SUM(GL590:GL601),0)</f>
        <v>0</v>
      </c>
      <c r="R287" s="1640"/>
      <c r="S287" s="452">
        <f>IF(D287&gt;0,SUM(EF590:EF601)*(-1),0)</f>
        <v>0</v>
      </c>
      <c r="T287" s="1641">
        <f>IF(D287&gt;0,SUM(EL590:EL601)*(-1),0)</f>
        <v>0</v>
      </c>
      <c r="U287" s="1640"/>
      <c r="V287" s="1641">
        <f>IF(D287&gt;0,SUM(ER590:ER601)*(-1),0)</f>
        <v>0</v>
      </c>
      <c r="W287" s="1684"/>
      <c r="X287" s="457"/>
      <c r="Y287" s="1581">
        <f>IF(D287&gt;0,SUM(FY590:FY601),0)</f>
        <v>0</v>
      </c>
      <c r="Z287" s="1582"/>
      <c r="AA287" s="1616">
        <f>IF(D287&gt;0,(G287+J287+L287)-(O287+Q287+S287+T287+V287)+Y287,0)</f>
        <v>0</v>
      </c>
      <c r="AB287" s="1616"/>
      <c r="AC287" s="1616"/>
      <c r="AD287" s="1616"/>
      <c r="AE287" s="1616"/>
      <c r="AF287" s="1616"/>
      <c r="AG287" s="1616"/>
      <c r="AH287" s="1616">
        <f>IF(D287&gt;0,AH285+AA287,0)</f>
        <v>0</v>
      </c>
      <c r="AI287" s="1616"/>
      <c r="AJ287" s="1616"/>
      <c r="AK287" s="1616"/>
      <c r="AL287" s="1616"/>
      <c r="AM287" s="1616"/>
      <c r="AN287" s="1617"/>
      <c r="AO287" s="259"/>
      <c r="AU287" s="541">
        <f>IF(AH287&lt;0,1,0)</f>
        <v>0</v>
      </c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56"/>
      <c r="CA287" s="256"/>
      <c r="CB287" s="256"/>
      <c r="CC287" s="256"/>
      <c r="CD287" s="256"/>
      <c r="CE287" s="256"/>
      <c r="CF287" s="256"/>
      <c r="CG287" s="256"/>
      <c r="CH287" s="256"/>
      <c r="CI287" s="256"/>
      <c r="CJ287" s="256"/>
      <c r="CK287" s="256"/>
      <c r="CL287" s="256"/>
      <c r="CM287" s="256"/>
      <c r="CN287" s="256"/>
      <c r="CO287" s="256"/>
      <c r="CP287" s="256"/>
      <c r="CQ287" s="256"/>
      <c r="CR287" s="256"/>
      <c r="CS287" s="256"/>
      <c r="CT287" s="256"/>
      <c r="CU287" s="256"/>
      <c r="CV287" s="256"/>
      <c r="CW287" s="256"/>
      <c r="CX287" s="256"/>
      <c r="CY287" s="256"/>
      <c r="CZ287" s="256"/>
      <c r="DA287" s="256"/>
      <c r="DB287" s="256"/>
      <c r="DC287" s="256"/>
      <c r="DD287" s="256"/>
      <c r="DE287" s="256"/>
      <c r="DF287" s="256"/>
      <c r="DG287" s="256"/>
      <c r="DH287" s="256"/>
      <c r="DI287" s="256"/>
      <c r="DJ287" s="256"/>
      <c r="DK287" s="256"/>
      <c r="DL287" s="256"/>
      <c r="DM287" s="256"/>
      <c r="DN287" s="256"/>
      <c r="DO287" s="256"/>
      <c r="DP287" s="256"/>
      <c r="DQ287" s="256"/>
      <c r="DR287" s="256"/>
      <c r="DS287" s="256"/>
      <c r="DT287" s="256"/>
      <c r="DU287" s="256"/>
      <c r="DV287" s="256"/>
      <c r="DW287" s="256"/>
      <c r="DX287" s="256"/>
      <c r="DY287" s="256"/>
      <c r="DZ287" s="256"/>
      <c r="EA287" s="256"/>
      <c r="EB287" s="256"/>
      <c r="EC287" s="256"/>
      <c r="ED287" s="256"/>
      <c r="EE287" s="256"/>
    </row>
    <row r="288" spans="4:135" ht="2.1" customHeight="1">
      <c r="D288" s="259"/>
      <c r="E288" s="259"/>
      <c r="F288" s="259"/>
      <c r="G288" s="1607"/>
      <c r="H288" s="1608"/>
      <c r="I288" s="1609"/>
      <c r="J288" s="1605"/>
      <c r="K288" s="1608"/>
      <c r="L288" s="1605"/>
      <c r="M288" s="1606"/>
      <c r="N288" s="457"/>
      <c r="O288" s="1639"/>
      <c r="P288" s="1640"/>
      <c r="Q288" s="1641"/>
      <c r="R288" s="1640"/>
      <c r="S288" s="452"/>
      <c r="T288" s="1641"/>
      <c r="U288" s="1640"/>
      <c r="V288" s="1641"/>
      <c r="W288" s="1684"/>
      <c r="X288" s="457"/>
      <c r="Y288" s="1581"/>
      <c r="Z288" s="1582"/>
      <c r="AA288" s="1616"/>
      <c r="AB288" s="1616"/>
      <c r="AC288" s="1616"/>
      <c r="AD288" s="1616"/>
      <c r="AE288" s="1616"/>
      <c r="AF288" s="1616"/>
      <c r="AG288" s="1616"/>
      <c r="AH288" s="1569"/>
      <c r="AI288" s="1570"/>
      <c r="AJ288" s="1570"/>
      <c r="AK288" s="1570"/>
      <c r="AL288" s="1570"/>
      <c r="AM288" s="1570"/>
      <c r="AN288" s="1571"/>
      <c r="AO288" s="259"/>
      <c r="AU288" s="541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56"/>
      <c r="CA288" s="256"/>
      <c r="CB288" s="256"/>
      <c r="CC288" s="256"/>
      <c r="CD288" s="256"/>
      <c r="CE288" s="256"/>
      <c r="CF288" s="256"/>
      <c r="CG288" s="256"/>
      <c r="CH288" s="256"/>
      <c r="CI288" s="256"/>
      <c r="CJ288" s="256"/>
      <c r="CK288" s="256"/>
      <c r="CL288" s="256"/>
      <c r="CM288" s="256"/>
      <c r="CN288" s="256"/>
      <c r="CO288" s="256"/>
      <c r="CP288" s="256"/>
      <c r="CQ288" s="256"/>
      <c r="CR288" s="256"/>
      <c r="CS288" s="256"/>
      <c r="CT288" s="256"/>
      <c r="CU288" s="256"/>
      <c r="CV288" s="256"/>
      <c r="CW288" s="256"/>
      <c r="CX288" s="256"/>
      <c r="CY288" s="256"/>
      <c r="CZ288" s="256"/>
      <c r="DA288" s="256"/>
      <c r="DB288" s="256"/>
      <c r="DC288" s="256"/>
      <c r="DD288" s="256"/>
      <c r="DE288" s="256"/>
      <c r="DF288" s="256"/>
      <c r="DG288" s="256"/>
      <c r="DH288" s="256"/>
      <c r="DI288" s="256"/>
      <c r="DJ288" s="256"/>
      <c r="DK288" s="256"/>
      <c r="DL288" s="256"/>
      <c r="DM288" s="256"/>
      <c r="DN288" s="256"/>
      <c r="DO288" s="256"/>
      <c r="DP288" s="256"/>
      <c r="DQ288" s="256"/>
      <c r="DR288" s="256"/>
      <c r="DS288" s="256"/>
      <c r="DT288" s="256"/>
      <c r="DU288" s="256"/>
      <c r="DV288" s="256"/>
      <c r="DW288" s="256"/>
      <c r="DX288" s="256"/>
      <c r="DY288" s="256"/>
      <c r="DZ288" s="256"/>
      <c r="EA288" s="256"/>
      <c r="EB288" s="256"/>
      <c r="EC288" s="256"/>
      <c r="ED288" s="256"/>
      <c r="EE288" s="256"/>
    </row>
    <row r="289" spans="2:198" ht="11.45" customHeight="1">
      <c r="D289" s="1613">
        <f>IF($V$21-22&gt;=0,22,0)</f>
        <v>0</v>
      </c>
      <c r="E289" s="1613"/>
      <c r="F289" s="1613"/>
      <c r="G289" s="1607">
        <f>IF(D289&gt;0,SUM(FD602:FD613),0)</f>
        <v>0</v>
      </c>
      <c r="H289" s="1608"/>
      <c r="I289" s="1609"/>
      <c r="J289" s="1605"/>
      <c r="K289" s="1608"/>
      <c r="L289" s="1605">
        <f>IF(D289&gt;0,SUM(FQ602:FQ613),0)</f>
        <v>0</v>
      </c>
      <c r="M289" s="1606"/>
      <c r="N289" s="457"/>
      <c r="O289" s="1639">
        <f>IF(D289&gt;0,SUM(GH602:GH613),0)</f>
        <v>0</v>
      </c>
      <c r="P289" s="1640"/>
      <c r="Q289" s="1641">
        <f>IF(D289&gt;0,SUM(GL602:GL613),0)</f>
        <v>0</v>
      </c>
      <c r="R289" s="1640"/>
      <c r="S289" s="452">
        <f>IF(D289&gt;0,SUM(EF602:EF613)*(-1),0)</f>
        <v>0</v>
      </c>
      <c r="T289" s="1641">
        <f>IF(D289&gt;0,SUM(EL602:EL613)*(-1),0)</f>
        <v>0</v>
      </c>
      <c r="U289" s="1640"/>
      <c r="V289" s="1641">
        <f>IF(D289&gt;0,SUM(ER602:ER613)*(-1),0)</f>
        <v>0</v>
      </c>
      <c r="W289" s="1684"/>
      <c r="X289" s="457"/>
      <c r="Y289" s="1581">
        <f>IF(D289&gt;0,SUM(FY602:FY613),0)</f>
        <v>0</v>
      </c>
      <c r="Z289" s="1582"/>
      <c r="AA289" s="1616">
        <f>IF(D289&gt;0,(G289+J289+L289)-(O289+Q289+S289+T289+V289)+Y289,0)</f>
        <v>0</v>
      </c>
      <c r="AB289" s="1616"/>
      <c r="AC289" s="1616"/>
      <c r="AD289" s="1616"/>
      <c r="AE289" s="1616"/>
      <c r="AF289" s="1616"/>
      <c r="AG289" s="1616"/>
      <c r="AH289" s="1616">
        <f>IF(D289&gt;0,AH287+AA289,0)</f>
        <v>0</v>
      </c>
      <c r="AI289" s="1616"/>
      <c r="AJ289" s="1616"/>
      <c r="AK289" s="1616"/>
      <c r="AL289" s="1616"/>
      <c r="AM289" s="1616"/>
      <c r="AN289" s="1617"/>
      <c r="AO289" s="259"/>
      <c r="AU289" s="541">
        <f>IF(AH289&lt;0,1,0)</f>
        <v>0</v>
      </c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56"/>
      <c r="CA289" s="256"/>
      <c r="CB289" s="256"/>
      <c r="CC289" s="256"/>
      <c r="CD289" s="256"/>
      <c r="CE289" s="256"/>
      <c r="CF289" s="256"/>
      <c r="CG289" s="256"/>
      <c r="CH289" s="256"/>
      <c r="CI289" s="256"/>
      <c r="CJ289" s="256"/>
      <c r="CK289" s="256"/>
      <c r="CL289" s="256"/>
      <c r="CM289" s="256"/>
      <c r="CN289" s="256"/>
      <c r="CO289" s="256"/>
      <c r="CP289" s="256"/>
      <c r="CQ289" s="256"/>
      <c r="CR289" s="256"/>
      <c r="CS289" s="256"/>
      <c r="CT289" s="256"/>
      <c r="CU289" s="256"/>
      <c r="CV289" s="256"/>
      <c r="CW289" s="256"/>
      <c r="CX289" s="256"/>
      <c r="CY289" s="256"/>
      <c r="CZ289" s="256"/>
      <c r="DA289" s="256"/>
      <c r="DB289" s="256"/>
      <c r="DC289" s="256"/>
      <c r="DD289" s="256"/>
      <c r="DE289" s="256"/>
      <c r="DF289" s="256"/>
      <c r="DG289" s="256"/>
      <c r="DH289" s="256"/>
      <c r="DI289" s="256"/>
      <c r="DJ289" s="256"/>
      <c r="DK289" s="256"/>
      <c r="DL289" s="256"/>
      <c r="DM289" s="256"/>
      <c r="DN289" s="256"/>
      <c r="DO289" s="256"/>
      <c r="DP289" s="256"/>
      <c r="DQ289" s="256"/>
      <c r="DR289" s="256"/>
      <c r="DS289" s="256"/>
      <c r="DT289" s="256"/>
      <c r="DU289" s="256"/>
      <c r="DV289" s="256"/>
      <c r="DW289" s="256"/>
      <c r="DX289" s="256"/>
      <c r="DY289" s="256"/>
      <c r="DZ289" s="256"/>
      <c r="EA289" s="256"/>
      <c r="EB289" s="256"/>
      <c r="EC289" s="256"/>
      <c r="ED289" s="256"/>
      <c r="EE289" s="256"/>
    </row>
    <row r="290" spans="2:198" ht="2.1" customHeight="1">
      <c r="D290" s="259"/>
      <c r="E290" s="259"/>
      <c r="F290" s="259"/>
      <c r="G290" s="1607"/>
      <c r="H290" s="1608"/>
      <c r="I290" s="1609"/>
      <c r="J290" s="1605"/>
      <c r="K290" s="1608"/>
      <c r="L290" s="1605"/>
      <c r="M290" s="1606"/>
      <c r="N290" s="457"/>
      <c r="O290" s="1639"/>
      <c r="P290" s="1640"/>
      <c r="Q290" s="1641"/>
      <c r="R290" s="1640"/>
      <c r="S290" s="452"/>
      <c r="T290" s="1641"/>
      <c r="U290" s="1640"/>
      <c r="V290" s="1641"/>
      <c r="W290" s="1684"/>
      <c r="X290" s="457"/>
      <c r="Y290" s="1581"/>
      <c r="Z290" s="1582"/>
      <c r="AA290" s="1616"/>
      <c r="AB290" s="1616"/>
      <c r="AC290" s="1616"/>
      <c r="AD290" s="1616"/>
      <c r="AE290" s="1616"/>
      <c r="AF290" s="1616"/>
      <c r="AG290" s="1616"/>
      <c r="AH290" s="1569"/>
      <c r="AI290" s="1570"/>
      <c r="AJ290" s="1570"/>
      <c r="AK290" s="1570"/>
      <c r="AL290" s="1570"/>
      <c r="AM290" s="1570"/>
      <c r="AN290" s="1571"/>
      <c r="AO290" s="259"/>
      <c r="AU290" s="541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56"/>
      <c r="CA290" s="256"/>
      <c r="CB290" s="256"/>
      <c r="CC290" s="256"/>
      <c r="CD290" s="256"/>
      <c r="CE290" s="256"/>
      <c r="CF290" s="256"/>
      <c r="CG290" s="256"/>
      <c r="CH290" s="256"/>
      <c r="CI290" s="256"/>
      <c r="CJ290" s="256"/>
      <c r="CK290" s="256"/>
      <c r="CL290" s="256"/>
      <c r="CM290" s="256"/>
      <c r="CN290" s="256"/>
      <c r="CO290" s="256"/>
      <c r="CP290" s="256"/>
      <c r="CQ290" s="256"/>
      <c r="CR290" s="256"/>
      <c r="CS290" s="256"/>
      <c r="CT290" s="256"/>
      <c r="CU290" s="256"/>
      <c r="CV290" s="256"/>
      <c r="CW290" s="256"/>
      <c r="CX290" s="256"/>
      <c r="CY290" s="256"/>
      <c r="CZ290" s="256"/>
      <c r="DA290" s="256"/>
      <c r="DB290" s="256"/>
      <c r="DC290" s="256"/>
      <c r="DD290" s="256"/>
      <c r="DE290" s="256"/>
      <c r="DF290" s="256"/>
      <c r="DG290" s="256"/>
      <c r="DH290" s="256"/>
      <c r="DI290" s="256"/>
      <c r="DJ290" s="256"/>
      <c r="DK290" s="256"/>
      <c r="DL290" s="256"/>
      <c r="DM290" s="256"/>
      <c r="DN290" s="256"/>
      <c r="DO290" s="256"/>
      <c r="DP290" s="256"/>
      <c r="DQ290" s="256"/>
      <c r="DR290" s="256"/>
      <c r="DS290" s="256"/>
      <c r="DT290" s="256"/>
      <c r="DU290" s="256"/>
      <c r="DV290" s="256"/>
      <c r="DW290" s="256"/>
      <c r="DX290" s="256"/>
      <c r="DY290" s="256"/>
      <c r="DZ290" s="256"/>
      <c r="EA290" s="256"/>
      <c r="EB290" s="256"/>
    </row>
    <row r="291" spans="2:198" ht="11.45" customHeight="1">
      <c r="D291" s="1613">
        <f>IF($V$21-23&gt;=0,23,0)</f>
        <v>0</v>
      </c>
      <c r="E291" s="1613"/>
      <c r="F291" s="1613"/>
      <c r="G291" s="1607">
        <f>IF(D291&gt;0,SUM(FD614:FD625),0)</f>
        <v>0</v>
      </c>
      <c r="H291" s="1608"/>
      <c r="I291" s="1609"/>
      <c r="J291" s="1605"/>
      <c r="K291" s="1608"/>
      <c r="L291" s="1605">
        <f>IF(D291&gt;0,SUM(FQ614:FQ625),0)</f>
        <v>0</v>
      </c>
      <c r="M291" s="1606"/>
      <c r="N291" s="457"/>
      <c r="O291" s="1639">
        <f>IF(D291&gt;0,SUM(GH614:GH625),0)</f>
        <v>0</v>
      </c>
      <c r="P291" s="1640"/>
      <c r="Q291" s="1641">
        <f>IF(D291&gt;0,SUM(GL614:GL625),0)</f>
        <v>0</v>
      </c>
      <c r="R291" s="1640"/>
      <c r="S291" s="452">
        <f>IF(D291&gt;0,SUM(EF614:EF625)*(-1),0)</f>
        <v>0</v>
      </c>
      <c r="T291" s="1641">
        <f>IF(D291&gt;0,SUM(EL614:EL625)*(-1),0)</f>
        <v>0</v>
      </c>
      <c r="U291" s="1640"/>
      <c r="V291" s="1641">
        <f>IF(D291&gt;0,SUM(ER614:ER625)*(-1),0)</f>
        <v>0</v>
      </c>
      <c r="W291" s="1684"/>
      <c r="X291" s="457"/>
      <c r="Y291" s="1581">
        <f>IF(D291&gt;0,SUM(FY614:FY625),0)</f>
        <v>0</v>
      </c>
      <c r="Z291" s="1582"/>
      <c r="AA291" s="1616">
        <f>IF(D291&gt;0,(G291+J291+L291)-(O291+Q291+S291+T291+V291)+Y291,0)</f>
        <v>0</v>
      </c>
      <c r="AB291" s="1616"/>
      <c r="AC291" s="1616"/>
      <c r="AD291" s="1616"/>
      <c r="AE291" s="1616"/>
      <c r="AF291" s="1616"/>
      <c r="AG291" s="1616"/>
      <c r="AH291" s="1616">
        <f>IF(D291&gt;0,AH289+AA291,0)</f>
        <v>0</v>
      </c>
      <c r="AI291" s="1616"/>
      <c r="AJ291" s="1616"/>
      <c r="AK291" s="1616"/>
      <c r="AL291" s="1616"/>
      <c r="AM291" s="1616"/>
      <c r="AN291" s="1617"/>
      <c r="AO291" s="259"/>
      <c r="AU291" s="541">
        <f>IF(AH291&lt;0,1,0)</f>
        <v>0</v>
      </c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56"/>
      <c r="CA291" s="256"/>
      <c r="CB291" s="256"/>
      <c r="CC291" s="256"/>
      <c r="CD291" s="256"/>
      <c r="CE291" s="256"/>
      <c r="CF291" s="256"/>
      <c r="CG291" s="256"/>
      <c r="CH291" s="256"/>
      <c r="CI291" s="256"/>
      <c r="CJ291" s="256"/>
      <c r="CK291" s="256"/>
      <c r="CL291" s="256"/>
      <c r="CM291" s="256"/>
      <c r="CN291" s="256"/>
      <c r="CO291" s="256"/>
      <c r="CP291" s="256"/>
      <c r="CQ291" s="256"/>
      <c r="CR291" s="256"/>
      <c r="CS291" s="256"/>
      <c r="CT291" s="256"/>
      <c r="CU291" s="256"/>
      <c r="CV291" s="256"/>
      <c r="CW291" s="256"/>
      <c r="CX291" s="256"/>
      <c r="CY291" s="256"/>
      <c r="CZ291" s="256"/>
      <c r="DA291" s="256"/>
      <c r="DB291" s="256"/>
      <c r="DC291" s="256"/>
      <c r="DD291" s="256"/>
      <c r="DE291" s="256"/>
      <c r="DF291" s="256"/>
      <c r="DG291" s="256"/>
      <c r="DH291" s="256"/>
      <c r="DI291" s="256"/>
      <c r="DJ291" s="256"/>
      <c r="DK291" s="256"/>
      <c r="DL291" s="256"/>
      <c r="DM291" s="256"/>
      <c r="DN291" s="256"/>
      <c r="DO291" s="256"/>
      <c r="DP291" s="256"/>
      <c r="DQ291" s="256"/>
      <c r="DR291" s="256"/>
      <c r="DS291" s="256"/>
      <c r="DT291" s="256"/>
      <c r="DU291" s="256"/>
      <c r="DV291" s="256"/>
      <c r="DW291" s="256"/>
      <c r="DX291" s="256"/>
      <c r="DY291" s="256"/>
      <c r="DZ291" s="256"/>
      <c r="EA291" s="256"/>
      <c r="EB291" s="256"/>
    </row>
    <row r="292" spans="2:198" ht="2.1" customHeight="1">
      <c r="D292" s="259"/>
      <c r="E292" s="259"/>
      <c r="F292" s="259"/>
      <c r="G292" s="1607"/>
      <c r="H292" s="1608"/>
      <c r="I292" s="1609"/>
      <c r="J292" s="1605"/>
      <c r="K292" s="1608"/>
      <c r="L292" s="1605"/>
      <c r="M292" s="1606"/>
      <c r="N292" s="457"/>
      <c r="O292" s="1639"/>
      <c r="P292" s="1640"/>
      <c r="Q292" s="1641"/>
      <c r="R292" s="1640"/>
      <c r="S292" s="452"/>
      <c r="T292" s="1641"/>
      <c r="U292" s="1640"/>
      <c r="V292" s="1641"/>
      <c r="W292" s="1684"/>
      <c r="X292" s="457"/>
      <c r="Y292" s="1581"/>
      <c r="Z292" s="1582"/>
      <c r="AA292" s="1616"/>
      <c r="AB292" s="1616"/>
      <c r="AC292" s="1616"/>
      <c r="AD292" s="1616"/>
      <c r="AE292" s="1616"/>
      <c r="AF292" s="1616"/>
      <c r="AG292" s="1616"/>
      <c r="AH292" s="1569"/>
      <c r="AI292" s="1570"/>
      <c r="AJ292" s="1570"/>
      <c r="AK292" s="1570"/>
      <c r="AL292" s="1570"/>
      <c r="AM292" s="1570"/>
      <c r="AN292" s="1571"/>
      <c r="AO292" s="259"/>
      <c r="AU292" s="541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56"/>
      <c r="CA292" s="256"/>
      <c r="CB292" s="256"/>
      <c r="CC292" s="256"/>
      <c r="CD292" s="256"/>
      <c r="CE292" s="256"/>
      <c r="CF292" s="256"/>
      <c r="CG292" s="256"/>
      <c r="CH292" s="256"/>
      <c r="CI292" s="256"/>
      <c r="CJ292" s="256"/>
      <c r="CK292" s="256"/>
      <c r="CL292" s="256"/>
      <c r="CM292" s="256"/>
      <c r="CN292" s="256"/>
      <c r="CO292" s="256"/>
      <c r="CP292" s="256"/>
      <c r="CQ292" s="256"/>
      <c r="CR292" s="256"/>
      <c r="CS292" s="256"/>
      <c r="CT292" s="256"/>
      <c r="CU292" s="256"/>
      <c r="CV292" s="256"/>
      <c r="CW292" s="256"/>
      <c r="CX292" s="256"/>
      <c r="CY292" s="256"/>
      <c r="CZ292" s="256"/>
      <c r="DA292" s="256"/>
      <c r="DB292" s="256"/>
      <c r="DC292" s="256"/>
      <c r="DD292" s="256"/>
      <c r="DE292" s="256"/>
      <c r="DF292" s="256"/>
      <c r="DG292" s="256"/>
      <c r="DH292" s="256"/>
      <c r="DI292" s="256"/>
      <c r="DJ292" s="256"/>
      <c r="DK292" s="256"/>
      <c r="DL292" s="256"/>
      <c r="DM292" s="256"/>
      <c r="DN292" s="256"/>
      <c r="DO292" s="256"/>
      <c r="DP292" s="256"/>
      <c r="DQ292" s="256"/>
      <c r="DR292" s="256"/>
      <c r="DS292" s="256"/>
      <c r="DT292" s="256"/>
      <c r="DU292" s="256"/>
      <c r="DV292" s="256"/>
      <c r="DW292" s="256"/>
      <c r="DX292" s="256"/>
      <c r="DY292" s="256"/>
      <c r="DZ292" s="256"/>
      <c r="EA292" s="256"/>
      <c r="EB292" s="256"/>
    </row>
    <row r="293" spans="2:198" ht="11.45" customHeight="1">
      <c r="D293" s="1613">
        <f>IF($V$21-24&gt;=0,24,0)</f>
        <v>0</v>
      </c>
      <c r="E293" s="1613"/>
      <c r="F293" s="1613"/>
      <c r="G293" s="1607">
        <f>IF(D293&gt;0,SUM(FD626:FD637),0)</f>
        <v>0</v>
      </c>
      <c r="H293" s="1608"/>
      <c r="I293" s="1609"/>
      <c r="J293" s="1605"/>
      <c r="K293" s="1608"/>
      <c r="L293" s="1605">
        <f>IF(D293&gt;0,SUM(FQ626:FQ637),0)</f>
        <v>0</v>
      </c>
      <c r="M293" s="1606"/>
      <c r="N293" s="457"/>
      <c r="O293" s="1639">
        <f>IF(D293&gt;0,SUM(GH626:GH637),0)</f>
        <v>0</v>
      </c>
      <c r="P293" s="1640"/>
      <c r="Q293" s="1641">
        <f>IF(D293&gt;0,SUM(GL626:GL637),0)</f>
        <v>0</v>
      </c>
      <c r="R293" s="1640"/>
      <c r="S293" s="452">
        <f>IF(D293&gt;0,SUM(EF626:EF637)*(-1),0)</f>
        <v>0</v>
      </c>
      <c r="T293" s="1641">
        <f>IF(D293&gt;0,SUM(EL626:EL637)*(-1),0)</f>
        <v>0</v>
      </c>
      <c r="U293" s="1640"/>
      <c r="V293" s="1641">
        <f>IF(D293&gt;0,SUM(ER626:ER637)*(-1),0)</f>
        <v>0</v>
      </c>
      <c r="W293" s="1684"/>
      <c r="X293" s="457"/>
      <c r="Y293" s="1581">
        <f>IF(D293&gt;0,SUM(FY626:FY637),0)</f>
        <v>0</v>
      </c>
      <c r="Z293" s="1582"/>
      <c r="AA293" s="1616">
        <f>IF(D293&gt;0,(G293+J293+L293)-(O293+Q293+S293+T293+V293)+Y293,0)</f>
        <v>0</v>
      </c>
      <c r="AB293" s="1616"/>
      <c r="AC293" s="1616"/>
      <c r="AD293" s="1616"/>
      <c r="AE293" s="1616"/>
      <c r="AF293" s="1616"/>
      <c r="AG293" s="1616"/>
      <c r="AH293" s="1616">
        <f>IF(D293&gt;0,AH291+AA293,0)</f>
        <v>0</v>
      </c>
      <c r="AI293" s="1616"/>
      <c r="AJ293" s="1616"/>
      <c r="AK293" s="1616"/>
      <c r="AL293" s="1616"/>
      <c r="AM293" s="1616"/>
      <c r="AN293" s="1617"/>
      <c r="AO293" s="259"/>
      <c r="AU293" s="541">
        <f>IF(AH293&lt;0,1,0)</f>
        <v>0</v>
      </c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56"/>
      <c r="CA293" s="256"/>
      <c r="CB293" s="256"/>
      <c r="CC293" s="256"/>
      <c r="CD293" s="256"/>
      <c r="CE293" s="256"/>
      <c r="CF293" s="256"/>
      <c r="CG293" s="256"/>
      <c r="CH293" s="256"/>
      <c r="CI293" s="256"/>
      <c r="CJ293" s="256"/>
      <c r="CK293" s="256"/>
      <c r="CL293" s="256"/>
      <c r="CM293" s="256"/>
      <c r="CN293" s="256"/>
      <c r="CO293" s="256"/>
      <c r="CP293" s="256"/>
      <c r="CQ293" s="256"/>
      <c r="CR293" s="256"/>
      <c r="CS293" s="256"/>
      <c r="CT293" s="256"/>
      <c r="CU293" s="256"/>
      <c r="CV293" s="256"/>
      <c r="CW293" s="256"/>
      <c r="CX293" s="256"/>
      <c r="CY293" s="256"/>
      <c r="CZ293" s="256"/>
      <c r="DA293" s="256"/>
      <c r="DB293" s="256"/>
      <c r="DC293" s="256"/>
      <c r="DD293" s="256"/>
      <c r="DE293" s="256"/>
      <c r="DF293" s="256"/>
      <c r="DG293" s="256"/>
      <c r="DH293" s="256"/>
      <c r="DI293" s="256"/>
      <c r="DJ293" s="256"/>
      <c r="DK293" s="256"/>
      <c r="DL293" s="256"/>
      <c r="DM293" s="256"/>
      <c r="DN293" s="256"/>
      <c r="DO293" s="256"/>
      <c r="DP293" s="256"/>
      <c r="DQ293" s="256"/>
      <c r="DR293" s="256"/>
      <c r="DS293" s="256"/>
      <c r="DT293" s="256"/>
      <c r="DU293" s="256"/>
      <c r="DV293" s="256"/>
      <c r="DW293" s="256"/>
      <c r="DX293" s="256"/>
      <c r="DY293" s="256"/>
      <c r="DZ293" s="256"/>
      <c r="EA293" s="256"/>
      <c r="EB293" s="256"/>
    </row>
    <row r="294" spans="2:198" ht="2.1" customHeight="1">
      <c r="D294" s="259"/>
      <c r="E294" s="259"/>
      <c r="F294" s="259"/>
      <c r="G294" s="1607"/>
      <c r="H294" s="1608"/>
      <c r="I294" s="1609"/>
      <c r="J294" s="1605"/>
      <c r="K294" s="1608"/>
      <c r="L294" s="1605"/>
      <c r="M294" s="1606"/>
      <c r="N294" s="457"/>
      <c r="O294" s="1639"/>
      <c r="P294" s="1640"/>
      <c r="Q294" s="1641"/>
      <c r="R294" s="1640"/>
      <c r="S294" s="452"/>
      <c r="T294" s="1641"/>
      <c r="U294" s="1640"/>
      <c r="V294" s="1641"/>
      <c r="W294" s="1684"/>
      <c r="X294" s="457"/>
      <c r="Y294" s="1581"/>
      <c r="Z294" s="1582"/>
      <c r="AA294" s="1616"/>
      <c r="AB294" s="1616"/>
      <c r="AC294" s="1616"/>
      <c r="AD294" s="1616"/>
      <c r="AE294" s="1616"/>
      <c r="AF294" s="1616"/>
      <c r="AG294" s="1616"/>
      <c r="AH294" s="1569"/>
      <c r="AI294" s="1570"/>
      <c r="AJ294" s="1570"/>
      <c r="AK294" s="1570"/>
      <c r="AL294" s="1570"/>
      <c r="AM294" s="1570"/>
      <c r="AN294" s="1571"/>
      <c r="AO294" s="259"/>
      <c r="AU294" s="541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56"/>
      <c r="CA294" s="256"/>
      <c r="CB294" s="256"/>
      <c r="CC294" s="256"/>
      <c r="CD294" s="256"/>
      <c r="CE294" s="256"/>
      <c r="CF294" s="256"/>
      <c r="CG294" s="256"/>
      <c r="CH294" s="256"/>
      <c r="CI294" s="256"/>
      <c r="CJ294" s="256"/>
      <c r="CK294" s="256"/>
      <c r="CL294" s="256"/>
      <c r="CM294" s="256"/>
      <c r="CN294" s="256"/>
      <c r="CO294" s="256"/>
      <c r="CP294" s="256"/>
      <c r="CQ294" s="256"/>
      <c r="CR294" s="256"/>
      <c r="CS294" s="256"/>
      <c r="CT294" s="256"/>
      <c r="CU294" s="256"/>
      <c r="CV294" s="256"/>
      <c r="CW294" s="256"/>
      <c r="CX294" s="256"/>
      <c r="CY294" s="256"/>
      <c r="CZ294" s="256"/>
      <c r="DA294" s="256"/>
      <c r="DB294" s="256"/>
      <c r="DC294" s="256"/>
      <c r="DD294" s="256"/>
      <c r="DE294" s="256"/>
      <c r="DF294" s="256"/>
      <c r="DG294" s="256"/>
      <c r="DH294" s="256"/>
      <c r="DI294" s="256"/>
      <c r="DJ294" s="256"/>
      <c r="DK294" s="256"/>
      <c r="DL294" s="256"/>
      <c r="DM294" s="256"/>
      <c r="DN294" s="256"/>
      <c r="DO294" s="256"/>
      <c r="DP294" s="256"/>
      <c r="DQ294" s="256"/>
      <c r="DR294" s="256"/>
      <c r="DS294" s="256"/>
      <c r="DT294" s="256"/>
      <c r="DU294" s="256"/>
      <c r="DV294" s="256"/>
      <c r="DW294" s="256"/>
      <c r="DX294" s="256"/>
      <c r="DY294" s="256"/>
      <c r="DZ294" s="256"/>
      <c r="EA294" s="256"/>
      <c r="EB294" s="256"/>
    </row>
    <row r="295" spans="2:198" ht="12.75" customHeight="1">
      <c r="D295" s="1613">
        <f>IF($V$21-25&gt;=0,25,0)</f>
        <v>0</v>
      </c>
      <c r="E295" s="1613"/>
      <c r="F295" s="1613"/>
      <c r="G295" s="1607">
        <f>IF(D295&gt;0,SUM(FD638:FD649),0)</f>
        <v>0</v>
      </c>
      <c r="H295" s="1608"/>
      <c r="I295" s="1609"/>
      <c r="J295" s="1605"/>
      <c r="K295" s="1608"/>
      <c r="L295" s="1605">
        <f>IF(D295&gt;0,SUM(FQ638:FQ649),0)</f>
        <v>0</v>
      </c>
      <c r="M295" s="1606"/>
      <c r="N295" s="457"/>
      <c r="O295" s="1639">
        <f>IF(D295&gt;0,SUM(GH638:GH649),0)</f>
        <v>0</v>
      </c>
      <c r="P295" s="1640"/>
      <c r="Q295" s="1641">
        <f>IF(D295&gt;0,SUM(GL638:GL649),0)</f>
        <v>0</v>
      </c>
      <c r="R295" s="1640"/>
      <c r="S295" s="452">
        <f>IF(D295&gt;0,SUM(EF638:EF649)*(-1),0)</f>
        <v>0</v>
      </c>
      <c r="T295" s="1641">
        <f>IF(D295&gt;0,SUM(EL638:EL649)*(-1),0)</f>
        <v>0</v>
      </c>
      <c r="U295" s="1640"/>
      <c r="V295" s="1641">
        <f>IF(D295&gt;0,SUM(ER638:ER649)*(-1),0)</f>
        <v>0</v>
      </c>
      <c r="W295" s="1684"/>
      <c r="X295" s="457"/>
      <c r="Y295" s="1581">
        <f>IF(D295&gt;0,SUM(FY638:FY649),0)</f>
        <v>0</v>
      </c>
      <c r="Z295" s="1582"/>
      <c r="AA295" s="1565">
        <f>IF(D295&gt;0,(G295+J295+L295)-(O295+Q295+S295+T295+V295)+Y295,0)</f>
        <v>0</v>
      </c>
      <c r="AB295" s="1565"/>
      <c r="AC295" s="1565"/>
      <c r="AD295" s="1565"/>
      <c r="AE295" s="1565"/>
      <c r="AF295" s="1565"/>
      <c r="AG295" s="1565"/>
      <c r="AH295" s="1565">
        <f>IF(D295&gt;0,AH293+AA295,0)</f>
        <v>0</v>
      </c>
      <c r="AI295" s="1565"/>
      <c r="AJ295" s="1565"/>
      <c r="AK295" s="1565"/>
      <c r="AL295" s="1565"/>
      <c r="AM295" s="1565"/>
      <c r="AN295" s="1802"/>
      <c r="AO295" s="259"/>
      <c r="AU295" s="541">
        <f>IF(AH295&lt;0,1,0)</f>
        <v>0</v>
      </c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56"/>
      <c r="CA295" s="256"/>
      <c r="CB295" s="256"/>
      <c r="CC295" s="256"/>
      <c r="CD295" s="256"/>
      <c r="CE295" s="256"/>
      <c r="CF295" s="256"/>
      <c r="CG295" s="256"/>
      <c r="CH295" s="256"/>
      <c r="CI295" s="256"/>
      <c r="CJ295" s="256"/>
      <c r="CK295" s="256"/>
      <c r="CL295" s="256"/>
      <c r="CM295" s="256"/>
      <c r="CN295" s="256"/>
      <c r="CO295" s="256"/>
      <c r="CP295" s="256"/>
      <c r="CQ295" s="256"/>
      <c r="CR295" s="256"/>
      <c r="CS295" s="256"/>
      <c r="CT295" s="256"/>
      <c r="CU295" s="256"/>
      <c r="CV295" s="256"/>
      <c r="CW295" s="256"/>
      <c r="CX295" s="256"/>
      <c r="CY295" s="256"/>
      <c r="CZ295" s="256"/>
      <c r="DA295" s="256"/>
      <c r="DB295" s="256"/>
      <c r="DC295" s="256"/>
      <c r="DD295" s="256"/>
      <c r="DE295" s="256"/>
      <c r="DF295" s="256"/>
      <c r="DG295" s="256"/>
      <c r="DH295" s="256"/>
      <c r="DI295" s="256"/>
      <c r="DJ295" s="256"/>
      <c r="DK295" s="256"/>
      <c r="DL295" s="256"/>
      <c r="DM295" s="256"/>
      <c r="DN295" s="256"/>
      <c r="DO295" s="256"/>
      <c r="DP295" s="256"/>
      <c r="DQ295" s="256"/>
      <c r="DR295" s="256"/>
      <c r="DS295" s="256"/>
      <c r="DT295" s="256"/>
      <c r="DU295" s="256"/>
      <c r="DV295" s="256"/>
      <c r="DW295" s="256"/>
      <c r="DX295" s="256"/>
      <c r="DY295" s="256"/>
      <c r="DZ295" s="256"/>
      <c r="EA295" s="256"/>
      <c r="EB295" s="256"/>
    </row>
    <row r="296" spans="2:198" s="768" customFormat="1" ht="2.1" customHeight="1">
      <c r="B296" s="869"/>
      <c r="D296" s="866"/>
      <c r="E296" s="866"/>
      <c r="F296" s="866"/>
      <c r="G296" s="867"/>
      <c r="H296" s="870"/>
      <c r="I296" s="868"/>
      <c r="J296" s="867"/>
      <c r="K296" s="868"/>
      <c r="L296" s="867"/>
      <c r="M296" s="868"/>
      <c r="N296" s="864"/>
      <c r="O296" s="871"/>
      <c r="P296" s="872"/>
      <c r="Q296" s="871"/>
      <c r="R296" s="872"/>
      <c r="S296" s="873"/>
      <c r="T296" s="871"/>
      <c r="U296" s="872"/>
      <c r="V296" s="871"/>
      <c r="W296" s="872"/>
      <c r="X296" s="864"/>
      <c r="Y296" s="874"/>
      <c r="Z296" s="875"/>
      <c r="AA296" s="876"/>
      <c r="AB296" s="877"/>
      <c r="AC296" s="877"/>
      <c r="AD296" s="877"/>
      <c r="AE296" s="877"/>
      <c r="AF296" s="877"/>
      <c r="AG296" s="877"/>
      <c r="AH296" s="878"/>
      <c r="AI296" s="878"/>
      <c r="AJ296" s="878"/>
      <c r="AK296" s="878"/>
      <c r="AL296" s="878"/>
      <c r="AM296" s="878"/>
      <c r="AN296" s="878"/>
      <c r="AO296" s="767"/>
      <c r="AP296" s="767"/>
      <c r="AQ296" s="767"/>
      <c r="AR296" s="767"/>
      <c r="AS296" s="767"/>
      <c r="AT296" s="767"/>
      <c r="AU296" s="879"/>
      <c r="AV296" s="865"/>
      <c r="AW296" s="865"/>
      <c r="AX296" s="865"/>
      <c r="AY296" s="865"/>
      <c r="AZ296" s="865"/>
      <c r="BA296" s="865"/>
      <c r="BB296" s="865"/>
      <c r="BC296" s="865"/>
      <c r="BD296" s="865"/>
      <c r="BE296" s="865"/>
      <c r="BF296" s="865"/>
      <c r="BG296" s="865"/>
      <c r="BH296" s="865"/>
      <c r="BI296" s="865"/>
      <c r="BJ296" s="865"/>
      <c r="BK296" s="865"/>
      <c r="BL296" s="865"/>
      <c r="BM296" s="865"/>
      <c r="BN296" s="865"/>
      <c r="BO296" s="865"/>
      <c r="BP296" s="865"/>
      <c r="BQ296" s="865"/>
      <c r="BR296" s="865"/>
      <c r="BS296" s="865"/>
      <c r="BT296" s="865"/>
      <c r="BU296" s="865"/>
      <c r="BV296" s="865"/>
      <c r="BW296" s="865"/>
      <c r="BX296" s="865"/>
      <c r="BY296" s="865"/>
      <c r="CM296" s="805"/>
      <c r="DC296" s="805"/>
      <c r="DP296" s="805"/>
      <c r="FO296" s="805"/>
      <c r="FP296" s="959"/>
      <c r="FR296" s="880"/>
      <c r="FS296" s="881"/>
      <c r="GP296" s="767"/>
    </row>
    <row r="297" spans="2:198" s="798" customFormat="1" ht="12.75" customHeight="1">
      <c r="B297" s="882"/>
      <c r="D297" s="1803" t="s">
        <v>812</v>
      </c>
      <c r="E297" s="1803"/>
      <c r="F297" s="1803"/>
      <c r="G297" s="1685">
        <f>SUM(G245:G295)</f>
        <v>0</v>
      </c>
      <c r="H297" s="1686"/>
      <c r="I297" s="1687"/>
      <c r="J297" s="1688"/>
      <c r="K297" s="1689"/>
      <c r="L297" s="1685">
        <f>SUM(L245:L295)</f>
        <v>0</v>
      </c>
      <c r="M297" s="1687"/>
      <c r="N297" s="883"/>
      <c r="O297" s="1578">
        <f>SUM(O245:O295)</f>
        <v>0</v>
      </c>
      <c r="P297" s="1579"/>
      <c r="Q297" s="1578">
        <f>SUM(Q245:Q295)</f>
        <v>0</v>
      </c>
      <c r="R297" s="1579"/>
      <c r="S297" s="884">
        <f>SUM(S245:S295)</f>
        <v>0</v>
      </c>
      <c r="T297" s="1578">
        <f>SUM(T245:T295)</f>
        <v>0</v>
      </c>
      <c r="U297" s="1579"/>
      <c r="V297" s="1578">
        <f>SUM(V245:V295)</f>
        <v>0</v>
      </c>
      <c r="W297" s="1579"/>
      <c r="X297" s="883"/>
      <c r="Y297" s="1618">
        <f>SUM(Y245:Y295)</f>
        <v>0</v>
      </c>
      <c r="Z297" s="1619"/>
      <c r="AA297" s="1620"/>
      <c r="AB297" s="1621"/>
      <c r="AC297" s="1621"/>
      <c r="AD297" s="1621"/>
      <c r="AE297" s="1621"/>
      <c r="AF297" s="1621"/>
      <c r="AG297" s="1621"/>
      <c r="AH297" s="1621"/>
      <c r="AI297" s="1621"/>
      <c r="AJ297" s="1621"/>
      <c r="AK297" s="1621"/>
      <c r="AL297" s="1621"/>
      <c r="AM297" s="1621"/>
      <c r="AN297" s="1621"/>
      <c r="AO297" s="790"/>
      <c r="AU297" s="885">
        <f>SUM(AU247:AU295)</f>
        <v>0</v>
      </c>
      <c r="AW297" s="886"/>
      <c r="AX297" s="886"/>
      <c r="AY297" s="886"/>
      <c r="AZ297" s="886"/>
      <c r="BA297" s="886"/>
      <c r="BB297" s="886"/>
      <c r="BC297" s="886"/>
      <c r="BD297" s="886"/>
      <c r="BE297" s="886"/>
      <c r="BF297" s="886"/>
      <c r="BG297" s="886"/>
      <c r="BH297" s="886"/>
      <c r="BI297" s="886"/>
      <c r="BJ297" s="886"/>
      <c r="BK297" s="886"/>
      <c r="BL297" s="886"/>
      <c r="BM297" s="886"/>
      <c r="BN297" s="886"/>
      <c r="BO297" s="886"/>
      <c r="BP297" s="886"/>
      <c r="BQ297" s="886"/>
      <c r="BR297" s="886"/>
      <c r="BS297" s="886"/>
      <c r="BT297" s="886"/>
      <c r="BU297" s="886"/>
      <c r="BV297" s="886"/>
      <c r="BW297" s="886"/>
      <c r="BX297" s="886"/>
      <c r="BY297" s="886"/>
      <c r="BZ297" s="887"/>
      <c r="CA297" s="887"/>
      <c r="CB297" s="887"/>
      <c r="CC297" s="887"/>
      <c r="CD297" s="887"/>
      <c r="CE297" s="887"/>
      <c r="CF297" s="887"/>
      <c r="CG297" s="887"/>
      <c r="CH297" s="887"/>
      <c r="CI297" s="887"/>
      <c r="CJ297" s="887"/>
      <c r="CK297" s="887"/>
      <c r="CL297" s="887"/>
      <c r="CM297" s="887"/>
      <c r="CN297" s="887"/>
      <c r="CO297" s="887"/>
      <c r="CP297" s="887"/>
      <c r="CQ297" s="887"/>
      <c r="CR297" s="887"/>
      <c r="CS297" s="887"/>
      <c r="CT297" s="887"/>
      <c r="CU297" s="887"/>
      <c r="CV297" s="887"/>
      <c r="CW297" s="887"/>
      <c r="CX297" s="887"/>
      <c r="CY297" s="887"/>
      <c r="CZ297" s="887"/>
      <c r="DA297" s="887"/>
      <c r="DB297" s="887"/>
      <c r="DC297" s="887"/>
      <c r="DD297" s="887"/>
      <c r="DE297" s="887"/>
      <c r="DF297" s="887"/>
      <c r="DG297" s="887"/>
      <c r="DH297" s="887"/>
      <c r="DI297" s="887"/>
      <c r="DJ297" s="887"/>
      <c r="DK297" s="887"/>
      <c r="DL297" s="887"/>
      <c r="DM297" s="887"/>
      <c r="DN297" s="887"/>
      <c r="DO297" s="887"/>
      <c r="DP297" s="887"/>
      <c r="DQ297" s="887"/>
      <c r="DR297" s="887"/>
      <c r="DS297" s="887"/>
      <c r="DT297" s="887"/>
      <c r="DU297" s="887"/>
      <c r="DV297" s="887"/>
      <c r="DW297" s="887"/>
      <c r="DX297" s="887"/>
      <c r="DY297" s="887"/>
      <c r="DZ297" s="887"/>
      <c r="EA297" s="887"/>
      <c r="EB297" s="887"/>
      <c r="FO297" s="805"/>
      <c r="FP297" s="959"/>
      <c r="FR297" s="888"/>
      <c r="FS297" s="889"/>
      <c r="GP297" s="790"/>
    </row>
    <row r="298" spans="2:198" ht="12.75" customHeight="1">
      <c r="AB298" s="192"/>
      <c r="AC298" s="192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</row>
    <row r="299" spans="2:198" ht="3.2" customHeight="1">
      <c r="C299" s="1375" t="s">
        <v>501</v>
      </c>
      <c r="D299" s="269"/>
      <c r="E299" s="269"/>
      <c r="F299" s="269"/>
      <c r="G299" s="269"/>
      <c r="H299" s="269"/>
      <c r="I299" s="269"/>
      <c r="J299" s="269"/>
      <c r="K299" s="269"/>
      <c r="L299" s="269"/>
      <c r="M299" s="269"/>
      <c r="N299" s="269"/>
      <c r="O299" s="269"/>
      <c r="P299" s="269"/>
      <c r="Q299" s="269"/>
      <c r="R299" s="269"/>
      <c r="S299" s="269"/>
      <c r="T299" s="269"/>
      <c r="U299" s="269"/>
      <c r="V299" s="269"/>
      <c r="W299" s="269"/>
      <c r="X299" s="269"/>
      <c r="Y299" s="269"/>
      <c r="Z299" s="269"/>
      <c r="AA299" s="269"/>
      <c r="AB299" s="269"/>
      <c r="AC299" s="269"/>
      <c r="AD299" s="269"/>
      <c r="AE299" s="269"/>
      <c r="AF299" s="269"/>
      <c r="AG299" s="269"/>
      <c r="AH299" s="269"/>
      <c r="AI299" s="269"/>
      <c r="AJ299" s="269"/>
      <c r="AK299" s="269"/>
      <c r="AL299" s="269"/>
      <c r="AM299" s="269"/>
      <c r="AN299" s="269"/>
      <c r="AO299" s="270"/>
    </row>
    <row r="300" spans="2:198" ht="24.95" customHeight="1">
      <c r="C300" s="1376"/>
      <c r="D300" s="624" t="s">
        <v>711</v>
      </c>
      <c r="E300" s="624"/>
      <c r="F300" s="357"/>
      <c r="G300" s="272"/>
      <c r="H300" s="272"/>
      <c r="I300" s="272"/>
      <c r="J300" s="272"/>
      <c r="K300" s="272"/>
      <c r="L300" s="272"/>
      <c r="M300" s="272"/>
      <c r="N300" s="272"/>
      <c r="O300" s="272"/>
      <c r="P300" s="272"/>
      <c r="Q300" s="272"/>
      <c r="R300" s="272"/>
      <c r="S300" s="272"/>
      <c r="T300" s="272"/>
      <c r="U300" s="272"/>
      <c r="V300" s="272"/>
      <c r="W300" s="272"/>
      <c r="X300" s="272"/>
      <c r="Y300" s="272"/>
      <c r="Z300" s="272"/>
      <c r="AA300" s="359"/>
      <c r="AB300" s="359"/>
      <c r="AC300" s="359"/>
      <c r="AD300" s="359"/>
      <c r="AE300" s="359"/>
      <c r="AF300" s="359"/>
      <c r="AG300" s="359"/>
      <c r="AH300" s="359"/>
      <c r="AI300" s="359"/>
      <c r="AJ300" s="357"/>
      <c r="AK300" s="272"/>
      <c r="AL300" s="272"/>
      <c r="AM300" s="272"/>
      <c r="AN300" s="272"/>
      <c r="AO300" s="273"/>
    </row>
    <row r="301" spans="2:198" ht="6.4" customHeight="1">
      <c r="C301" s="1377"/>
      <c r="D301" s="396"/>
      <c r="E301" s="397"/>
      <c r="F301" s="854"/>
      <c r="G301" s="854"/>
      <c r="H301" s="854"/>
      <c r="I301" s="854"/>
      <c r="J301" s="854"/>
      <c r="K301" s="854"/>
      <c r="L301" s="854"/>
      <c r="M301" s="854"/>
      <c r="N301" s="854"/>
      <c r="O301" s="854"/>
      <c r="P301" s="854"/>
      <c r="Q301" s="854"/>
      <c r="R301" s="854"/>
      <c r="S301" s="621"/>
      <c r="T301" s="621"/>
      <c r="U301" s="621"/>
      <c r="V301" s="621"/>
      <c r="W301" s="621"/>
      <c r="X301" s="621"/>
      <c r="Y301" s="621"/>
      <c r="Z301" s="621"/>
      <c r="AA301" s="621"/>
      <c r="AB301" s="621"/>
      <c r="AC301" s="621"/>
      <c r="AD301" s="621"/>
      <c r="AE301" s="621"/>
      <c r="AF301" s="621"/>
      <c r="AG301" s="621"/>
      <c r="AH301" s="621"/>
      <c r="AI301" s="621"/>
      <c r="AJ301" s="621"/>
      <c r="AK301" s="621"/>
      <c r="AL301" s="621"/>
      <c r="AM301" s="621"/>
      <c r="AN301" s="621"/>
      <c r="AO301" s="399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</row>
    <row r="302" spans="2:198" ht="12.75" customHeight="1">
      <c r="D302" s="313"/>
      <c r="E302" s="247"/>
      <c r="F302" s="855" t="s">
        <v>788</v>
      </c>
      <c r="G302" s="855"/>
      <c r="H302" s="855"/>
      <c r="I302" s="855"/>
      <c r="J302" s="855"/>
      <c r="K302" s="855"/>
      <c r="L302" s="855"/>
      <c r="M302" s="855" t="str">
        <f>IF(AY29&gt;0,IF(AX728&lt;0,"Die Investition amortisiert sich während der geplanten Anlagenlaufzeit nicht !!!","Die Investition ( "&amp;ROUND(T33,0)&amp;" € ) amortisiert sich nach rund   "&amp;ROUND(S701,1)&amp;" Jahren"),"")</f>
        <v/>
      </c>
      <c r="N302" s="855"/>
      <c r="O302" s="855"/>
      <c r="P302" s="855"/>
      <c r="Q302" s="855"/>
      <c r="R302" s="855"/>
      <c r="S302" s="530"/>
      <c r="T302" s="530"/>
      <c r="U302" s="653"/>
      <c r="W302" s="843"/>
      <c r="X302" s="843"/>
      <c r="Y302" s="843"/>
      <c r="Z302" s="843"/>
      <c r="AA302" s="843"/>
      <c r="AB302" s="843"/>
      <c r="AC302" s="843"/>
      <c r="AD302" s="843"/>
      <c r="AE302" s="843"/>
      <c r="AF302" s="843"/>
      <c r="AG302" s="843"/>
      <c r="AH302" s="843"/>
      <c r="AI302" s="843"/>
      <c r="AJ302" s="843"/>
      <c r="AK302" s="843"/>
      <c r="AL302" s="530"/>
      <c r="AM302" s="530"/>
      <c r="AN302" s="530"/>
      <c r="AO302" s="314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</row>
    <row r="303" spans="2:198" ht="12.75" customHeight="1">
      <c r="D303" s="313"/>
      <c r="E303" s="247"/>
      <c r="F303" s="855"/>
      <c r="G303" s="855"/>
      <c r="H303" s="855"/>
      <c r="I303" s="855"/>
      <c r="J303" s="855"/>
      <c r="K303" s="855"/>
      <c r="L303" s="855"/>
      <c r="M303" s="855" t="str">
        <f>IF(AY29&gt;0,IF(AX728&lt;0,"","Die eingesetzten Eigenmittel  ("&amp;ROUND(AA84,0)&amp;" €)  sind nach rund   "&amp;ROUND(P701,1)&amp;" Jahren zurückgeflossen."),"")</f>
        <v/>
      </c>
      <c r="N303" s="855"/>
      <c r="O303" s="855"/>
      <c r="P303" s="855"/>
      <c r="Q303" s="855"/>
      <c r="R303" s="855"/>
      <c r="S303" s="256"/>
      <c r="T303" s="256"/>
      <c r="U303" s="256"/>
      <c r="V303" s="256"/>
      <c r="W303" s="256"/>
      <c r="X303" s="256"/>
      <c r="Y303" s="256"/>
      <c r="Z303" s="256"/>
      <c r="AA303" s="256"/>
      <c r="AB303" s="256"/>
      <c r="AC303" s="256"/>
      <c r="AD303" s="256"/>
      <c r="AE303" s="256"/>
      <c r="AF303" s="256"/>
      <c r="AG303" s="256"/>
      <c r="AH303" s="256"/>
      <c r="AI303" s="256"/>
      <c r="AJ303" s="256"/>
      <c r="AK303" s="256"/>
      <c r="AL303" s="256"/>
      <c r="AM303" s="256"/>
      <c r="AN303" s="256"/>
      <c r="AO303" s="314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</row>
    <row r="304" spans="2:198" ht="6.4" customHeight="1">
      <c r="D304" s="313"/>
      <c r="E304" s="247"/>
      <c r="F304" s="855"/>
      <c r="G304" s="855"/>
      <c r="H304" s="855"/>
      <c r="I304" s="855"/>
      <c r="J304" s="855"/>
      <c r="K304" s="855"/>
      <c r="L304" s="855"/>
      <c r="M304" s="855"/>
      <c r="N304" s="855"/>
      <c r="O304" s="855"/>
      <c r="P304" s="855"/>
      <c r="Q304" s="855"/>
      <c r="R304" s="855"/>
      <c r="S304" s="256"/>
      <c r="T304" s="256"/>
      <c r="U304" s="256"/>
      <c r="V304" s="256"/>
      <c r="W304" s="256"/>
      <c r="X304" s="256"/>
      <c r="Y304" s="256"/>
      <c r="Z304" s="256"/>
      <c r="AA304" s="256"/>
      <c r="AB304" s="256"/>
      <c r="AC304" s="256"/>
      <c r="AD304" s="256"/>
      <c r="AE304" s="256"/>
      <c r="AF304" s="256"/>
      <c r="AG304" s="256"/>
      <c r="AH304" s="256"/>
      <c r="AI304" s="256"/>
      <c r="AJ304" s="256"/>
      <c r="AK304" s="256"/>
      <c r="AL304" s="256"/>
      <c r="AM304" s="256"/>
      <c r="AN304" s="256"/>
      <c r="AO304" s="31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</row>
    <row r="305" spans="4:77" ht="12.2" customHeight="1">
      <c r="D305" s="313"/>
      <c r="E305" s="247"/>
      <c r="F305" s="247"/>
      <c r="G305" s="247"/>
      <c r="H305" s="247"/>
      <c r="I305" s="247"/>
      <c r="J305" s="247"/>
      <c r="K305" s="247"/>
      <c r="L305" s="247"/>
      <c r="M305" s="247"/>
      <c r="N305" s="247"/>
      <c r="O305" s="247"/>
      <c r="P305" s="247"/>
      <c r="Q305" s="247"/>
      <c r="R305" s="247"/>
      <c r="S305" s="247"/>
      <c r="T305" s="247"/>
      <c r="U305" s="247"/>
      <c r="V305" s="247"/>
      <c r="W305" s="247"/>
      <c r="X305" s="247"/>
      <c r="Y305" s="247"/>
      <c r="Z305" s="247"/>
      <c r="AA305" s="247"/>
      <c r="AB305" s="247"/>
      <c r="AC305" s="247"/>
      <c r="AD305" s="247"/>
      <c r="AE305" s="247"/>
      <c r="AF305" s="247"/>
      <c r="AG305" s="247"/>
      <c r="AH305" s="247"/>
      <c r="AI305" s="247"/>
      <c r="AJ305" s="247"/>
      <c r="AK305" s="247"/>
      <c r="AL305" s="247"/>
      <c r="AM305" s="247"/>
      <c r="AN305" s="247"/>
      <c r="AO305" s="314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</row>
    <row r="306" spans="4:77" ht="12.2" customHeight="1">
      <c r="D306" s="313"/>
      <c r="E306" s="247"/>
      <c r="F306" s="247"/>
      <c r="G306" s="247"/>
      <c r="H306" s="247"/>
      <c r="I306" s="767"/>
      <c r="J306" s="767"/>
      <c r="K306" s="767"/>
      <c r="L306" s="767"/>
      <c r="M306" s="767"/>
      <c r="N306" s="767"/>
      <c r="O306" s="767"/>
      <c r="P306" s="767"/>
      <c r="Q306" s="767"/>
      <c r="R306" s="767"/>
      <c r="S306" s="767"/>
      <c r="T306" s="767"/>
      <c r="U306" s="767"/>
      <c r="V306" s="767"/>
      <c r="W306" s="767"/>
      <c r="X306" s="767"/>
      <c r="Y306" s="767"/>
      <c r="Z306" s="767"/>
      <c r="AA306" s="767"/>
      <c r="AB306" s="767"/>
      <c r="AC306" s="767"/>
      <c r="AD306" s="767"/>
      <c r="AE306" s="767"/>
      <c r="AF306" s="767"/>
      <c r="AG306" s="767"/>
      <c r="AH306" s="767"/>
      <c r="AI306" s="767"/>
      <c r="AJ306" s="767"/>
      <c r="AK306" s="767"/>
      <c r="AL306" s="767"/>
      <c r="AM306" s="247"/>
      <c r="AN306" s="247"/>
      <c r="AO306" s="314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</row>
    <row r="307" spans="4:77" ht="12.2" customHeight="1">
      <c r="D307" s="313"/>
      <c r="E307" s="247"/>
      <c r="F307" s="247"/>
      <c r="G307" s="247"/>
      <c r="H307" s="247"/>
      <c r="I307" s="767"/>
      <c r="J307" s="767"/>
      <c r="K307" s="767"/>
      <c r="L307" s="767"/>
      <c r="M307" s="767"/>
      <c r="N307" s="767"/>
      <c r="O307" s="767"/>
      <c r="P307" s="767"/>
      <c r="Q307" s="767"/>
      <c r="R307" s="767"/>
      <c r="S307" s="767"/>
      <c r="T307" s="767"/>
      <c r="U307" s="767"/>
      <c r="V307" s="767"/>
      <c r="W307" s="767"/>
      <c r="X307" s="767"/>
      <c r="Y307" s="767"/>
      <c r="Z307" s="767"/>
      <c r="AA307" s="767"/>
      <c r="AB307" s="767"/>
      <c r="AC307" s="767"/>
      <c r="AD307" s="767"/>
      <c r="AE307" s="767"/>
      <c r="AF307" s="767"/>
      <c r="AG307" s="767"/>
      <c r="AH307" s="767"/>
      <c r="AI307" s="767"/>
      <c r="AJ307" s="767"/>
      <c r="AK307" s="767"/>
      <c r="AL307" s="767"/>
      <c r="AM307" s="247"/>
      <c r="AN307" s="247"/>
      <c r="AO307" s="314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</row>
    <row r="308" spans="4:77" ht="12.2" customHeight="1">
      <c r="D308" s="313"/>
      <c r="E308" s="247"/>
      <c r="F308" s="247"/>
      <c r="G308" s="247"/>
      <c r="H308" s="247"/>
      <c r="I308" s="767"/>
      <c r="J308" s="767"/>
      <c r="K308" s="767"/>
      <c r="L308" s="767"/>
      <c r="M308" s="767"/>
      <c r="N308" s="767"/>
      <c r="O308" s="767"/>
      <c r="P308" s="767"/>
      <c r="Q308" s="767"/>
      <c r="R308" s="767"/>
      <c r="S308" s="767"/>
      <c r="T308" s="767"/>
      <c r="U308" s="767"/>
      <c r="V308" s="767"/>
      <c r="W308" s="767"/>
      <c r="X308" s="767"/>
      <c r="Y308" s="767"/>
      <c r="Z308" s="767"/>
      <c r="AA308" s="767"/>
      <c r="AB308" s="767"/>
      <c r="AC308" s="767"/>
      <c r="AD308" s="767"/>
      <c r="AE308" s="767"/>
      <c r="AF308" s="767"/>
      <c r="AG308" s="767"/>
      <c r="AH308" s="767"/>
      <c r="AI308" s="767"/>
      <c r="AJ308" s="767"/>
      <c r="AK308" s="767"/>
      <c r="AL308" s="767"/>
      <c r="AM308" s="247"/>
      <c r="AN308" s="247"/>
      <c r="AO308" s="314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</row>
    <row r="309" spans="4:77" ht="12.2" customHeight="1">
      <c r="D309" s="313"/>
      <c r="E309" s="247"/>
      <c r="F309" s="247"/>
      <c r="G309" s="247"/>
      <c r="H309" s="247"/>
      <c r="I309" s="767"/>
      <c r="J309" s="767"/>
      <c r="K309" s="767"/>
      <c r="L309" s="767"/>
      <c r="M309" s="767"/>
      <c r="N309" s="767"/>
      <c r="O309" s="767"/>
      <c r="P309" s="767"/>
      <c r="Q309" s="767"/>
      <c r="R309" s="767"/>
      <c r="S309" s="767"/>
      <c r="T309" s="767"/>
      <c r="U309" s="767"/>
      <c r="V309" s="767"/>
      <c r="W309" s="767"/>
      <c r="X309" s="767"/>
      <c r="Y309" s="767"/>
      <c r="Z309" s="767"/>
      <c r="AA309" s="767"/>
      <c r="AB309" s="767"/>
      <c r="AC309" s="767"/>
      <c r="AD309" s="767"/>
      <c r="AE309" s="767"/>
      <c r="AF309" s="767"/>
      <c r="AG309" s="767"/>
      <c r="AH309" s="767"/>
      <c r="AI309" s="767"/>
      <c r="AJ309" s="767"/>
      <c r="AK309" s="767"/>
      <c r="AL309" s="767"/>
      <c r="AM309" s="247"/>
      <c r="AN309" s="247"/>
      <c r="AO309" s="314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</row>
    <row r="310" spans="4:77" ht="12.2" customHeight="1">
      <c r="D310" s="313"/>
      <c r="E310" s="247"/>
      <c r="F310" s="247"/>
      <c r="G310" s="247"/>
      <c r="H310" s="247"/>
      <c r="I310" s="767"/>
      <c r="J310" s="767"/>
      <c r="K310" s="767"/>
      <c r="L310" s="767"/>
      <c r="M310" s="767"/>
      <c r="N310" s="767"/>
      <c r="O310" s="767"/>
      <c r="P310" s="767"/>
      <c r="Q310" s="767"/>
      <c r="R310" s="767"/>
      <c r="S310" s="767"/>
      <c r="T310" s="767"/>
      <c r="U310" s="767"/>
      <c r="V310" s="767"/>
      <c r="W310" s="767"/>
      <c r="X310" s="767"/>
      <c r="Y310" s="767"/>
      <c r="Z310" s="767"/>
      <c r="AA310" s="767"/>
      <c r="AB310" s="767"/>
      <c r="AC310" s="767"/>
      <c r="AD310" s="767"/>
      <c r="AE310" s="767"/>
      <c r="AF310" s="767"/>
      <c r="AG310" s="767"/>
      <c r="AH310" s="767"/>
      <c r="AI310" s="767"/>
      <c r="AJ310" s="767"/>
      <c r="AK310" s="767"/>
      <c r="AL310" s="767"/>
      <c r="AM310" s="247"/>
      <c r="AN310" s="247"/>
      <c r="AO310" s="314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</row>
    <row r="311" spans="4:77" ht="12.2" customHeight="1">
      <c r="D311" s="313"/>
      <c r="E311" s="247"/>
      <c r="F311" s="247"/>
      <c r="G311" s="247"/>
      <c r="H311" s="247"/>
      <c r="I311" s="767"/>
      <c r="J311" s="767"/>
      <c r="K311" s="767"/>
      <c r="L311" s="767"/>
      <c r="M311" s="767"/>
      <c r="N311" s="767"/>
      <c r="O311" s="767"/>
      <c r="P311" s="767"/>
      <c r="Q311" s="767"/>
      <c r="R311" s="767"/>
      <c r="S311" s="767"/>
      <c r="T311" s="767"/>
      <c r="U311" s="767"/>
      <c r="V311" s="767"/>
      <c r="W311" s="767"/>
      <c r="X311" s="767"/>
      <c r="Y311" s="767"/>
      <c r="Z311" s="767"/>
      <c r="AA311" s="767"/>
      <c r="AB311" s="767"/>
      <c r="AC311" s="767"/>
      <c r="AD311" s="767"/>
      <c r="AE311" s="767"/>
      <c r="AF311" s="767"/>
      <c r="AG311" s="767"/>
      <c r="AH311" s="767"/>
      <c r="AI311" s="767"/>
      <c r="AJ311" s="767"/>
      <c r="AK311" s="767"/>
      <c r="AL311" s="767"/>
      <c r="AM311" s="247"/>
      <c r="AN311" s="247"/>
      <c r="AO311" s="314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</row>
    <row r="312" spans="4:77" ht="12.2" customHeight="1">
      <c r="D312" s="313"/>
      <c r="E312" s="247"/>
      <c r="F312" s="247"/>
      <c r="G312" s="247"/>
      <c r="H312" s="247"/>
      <c r="I312" s="767"/>
      <c r="J312" s="767"/>
      <c r="K312" s="767"/>
      <c r="L312" s="767"/>
      <c r="M312" s="767"/>
      <c r="N312" s="767"/>
      <c r="O312" s="767"/>
      <c r="P312" s="767"/>
      <c r="Q312" s="767"/>
      <c r="R312" s="767"/>
      <c r="S312" s="767"/>
      <c r="T312" s="767"/>
      <c r="U312" s="767"/>
      <c r="V312" s="767"/>
      <c r="W312" s="767"/>
      <c r="X312" s="767"/>
      <c r="Y312" s="767"/>
      <c r="Z312" s="767"/>
      <c r="AA312" s="767"/>
      <c r="AB312" s="767"/>
      <c r="AC312" s="767"/>
      <c r="AD312" s="767"/>
      <c r="AE312" s="767"/>
      <c r="AF312" s="767"/>
      <c r="AG312" s="767"/>
      <c r="AH312" s="767"/>
      <c r="AI312" s="767"/>
      <c r="AJ312" s="767"/>
      <c r="AK312" s="767"/>
      <c r="AL312" s="767"/>
      <c r="AM312" s="247"/>
      <c r="AN312" s="247"/>
      <c r="AO312" s="314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</row>
    <row r="313" spans="4:77" ht="12.2" customHeight="1">
      <c r="D313" s="313"/>
      <c r="E313" s="247"/>
      <c r="F313" s="247"/>
      <c r="G313" s="247"/>
      <c r="H313" s="247"/>
      <c r="I313" s="767"/>
      <c r="J313" s="767"/>
      <c r="K313" s="767"/>
      <c r="L313" s="767"/>
      <c r="M313" s="767"/>
      <c r="N313" s="767"/>
      <c r="O313" s="767"/>
      <c r="P313" s="767"/>
      <c r="Q313" s="767"/>
      <c r="R313" s="767"/>
      <c r="S313" s="767"/>
      <c r="T313" s="767"/>
      <c r="U313" s="767"/>
      <c r="V313" s="767"/>
      <c r="W313" s="767"/>
      <c r="X313" s="767"/>
      <c r="Y313" s="767"/>
      <c r="Z313" s="767"/>
      <c r="AA313" s="767"/>
      <c r="AB313" s="767"/>
      <c r="AC313" s="767"/>
      <c r="AD313" s="767"/>
      <c r="AE313" s="767"/>
      <c r="AF313" s="767"/>
      <c r="AG313" s="767"/>
      <c r="AH313" s="767"/>
      <c r="AI313" s="767"/>
      <c r="AJ313" s="767"/>
      <c r="AK313" s="767"/>
      <c r="AL313" s="767"/>
      <c r="AM313" s="247"/>
      <c r="AN313" s="247"/>
      <c r="AO313" s="314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</row>
    <row r="314" spans="4:77" ht="12.2" customHeight="1">
      <c r="D314" s="313"/>
      <c r="E314" s="247"/>
      <c r="F314" s="247"/>
      <c r="G314" s="247"/>
      <c r="H314" s="247"/>
      <c r="I314" s="767"/>
      <c r="J314" s="767"/>
      <c r="K314" s="767"/>
      <c r="L314" s="767"/>
      <c r="M314" s="767"/>
      <c r="N314" s="767"/>
      <c r="O314" s="767"/>
      <c r="P314" s="767"/>
      <c r="Q314" s="767"/>
      <c r="R314" s="767"/>
      <c r="S314" s="767"/>
      <c r="T314" s="767"/>
      <c r="U314" s="767"/>
      <c r="V314" s="767"/>
      <c r="W314" s="767"/>
      <c r="X314" s="767"/>
      <c r="Y314" s="767"/>
      <c r="Z314" s="767"/>
      <c r="AA314" s="767"/>
      <c r="AB314" s="767"/>
      <c r="AC314" s="767"/>
      <c r="AD314" s="767"/>
      <c r="AE314" s="767"/>
      <c r="AF314" s="767"/>
      <c r="AG314" s="767"/>
      <c r="AH314" s="767"/>
      <c r="AI314" s="767"/>
      <c r="AJ314" s="767"/>
      <c r="AK314" s="767"/>
      <c r="AL314" s="767"/>
      <c r="AM314" s="247"/>
      <c r="AN314" s="247"/>
      <c r="AO314" s="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</row>
    <row r="315" spans="4:77" ht="12.2" customHeight="1">
      <c r="D315" s="313"/>
      <c r="E315" s="247"/>
      <c r="F315" s="247"/>
      <c r="G315" s="247"/>
      <c r="H315" s="247"/>
      <c r="I315" s="767"/>
      <c r="J315" s="767"/>
      <c r="K315" s="767"/>
      <c r="L315" s="767"/>
      <c r="M315" s="767"/>
      <c r="N315" s="767"/>
      <c r="O315" s="767"/>
      <c r="P315" s="767"/>
      <c r="Q315" s="767"/>
      <c r="R315" s="767"/>
      <c r="S315" s="767"/>
      <c r="T315" s="767"/>
      <c r="U315" s="767"/>
      <c r="V315" s="767"/>
      <c r="W315" s="767"/>
      <c r="X315" s="767"/>
      <c r="Y315" s="767"/>
      <c r="Z315" s="767"/>
      <c r="AA315" s="767"/>
      <c r="AB315" s="767"/>
      <c r="AC315" s="767"/>
      <c r="AD315" s="767"/>
      <c r="AE315" s="767"/>
      <c r="AF315" s="767"/>
      <c r="AG315" s="767"/>
      <c r="AH315" s="767"/>
      <c r="AI315" s="767"/>
      <c r="AJ315" s="767"/>
      <c r="AK315" s="767"/>
      <c r="AL315" s="767"/>
      <c r="AM315" s="247"/>
      <c r="AN315" s="247"/>
      <c r="AO315" s="314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</row>
    <row r="316" spans="4:77" ht="12.2" customHeight="1">
      <c r="D316" s="313"/>
      <c r="E316" s="247"/>
      <c r="F316" s="247"/>
      <c r="G316" s="247"/>
      <c r="H316" s="247"/>
      <c r="I316" s="767"/>
      <c r="J316" s="767"/>
      <c r="K316" s="767"/>
      <c r="L316" s="767"/>
      <c r="M316" s="767"/>
      <c r="N316" s="767"/>
      <c r="O316" s="767"/>
      <c r="P316" s="767"/>
      <c r="Q316" s="767"/>
      <c r="R316" s="767"/>
      <c r="S316" s="767"/>
      <c r="T316" s="767"/>
      <c r="U316" s="767"/>
      <c r="V316" s="767"/>
      <c r="W316" s="767"/>
      <c r="X316" s="767"/>
      <c r="Y316" s="767"/>
      <c r="Z316" s="767"/>
      <c r="AA316" s="767"/>
      <c r="AB316" s="767"/>
      <c r="AC316" s="767"/>
      <c r="AD316" s="767"/>
      <c r="AE316" s="767"/>
      <c r="AF316" s="767"/>
      <c r="AG316" s="767"/>
      <c r="AH316" s="767"/>
      <c r="AI316" s="767"/>
      <c r="AJ316" s="767"/>
      <c r="AK316" s="767"/>
      <c r="AL316" s="767"/>
      <c r="AM316" s="247"/>
      <c r="AN316" s="247"/>
      <c r="AO316" s="314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</row>
    <row r="317" spans="4:77" ht="12.2" customHeight="1">
      <c r="D317" s="313"/>
      <c r="E317" s="247"/>
      <c r="F317" s="247"/>
      <c r="G317" s="247"/>
      <c r="H317" s="247"/>
      <c r="I317" s="767"/>
      <c r="J317" s="767"/>
      <c r="K317" s="767"/>
      <c r="L317" s="767"/>
      <c r="M317" s="767"/>
      <c r="N317" s="767"/>
      <c r="O317" s="767"/>
      <c r="P317" s="767"/>
      <c r="Q317" s="767"/>
      <c r="R317" s="767"/>
      <c r="S317" s="767"/>
      <c r="T317" s="767"/>
      <c r="U317" s="767"/>
      <c r="V317" s="767"/>
      <c r="W317" s="767"/>
      <c r="X317" s="767"/>
      <c r="Y317" s="767"/>
      <c r="Z317" s="767"/>
      <c r="AA317" s="767"/>
      <c r="AB317" s="767"/>
      <c r="AC317" s="767"/>
      <c r="AD317" s="767"/>
      <c r="AE317" s="767"/>
      <c r="AF317" s="767"/>
      <c r="AG317" s="767"/>
      <c r="AH317" s="767"/>
      <c r="AI317" s="767"/>
      <c r="AJ317" s="767"/>
      <c r="AK317" s="767"/>
      <c r="AL317" s="767"/>
      <c r="AM317" s="247"/>
      <c r="AN317" s="247"/>
      <c r="AO317" s="314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</row>
    <row r="318" spans="4:77" ht="12.2" customHeight="1">
      <c r="D318" s="313"/>
      <c r="E318" s="247"/>
      <c r="F318" s="247"/>
      <c r="G318" s="247"/>
      <c r="H318" s="247"/>
      <c r="I318" s="767"/>
      <c r="J318" s="767"/>
      <c r="K318" s="767"/>
      <c r="L318" s="767"/>
      <c r="M318" s="767"/>
      <c r="N318" s="767"/>
      <c r="O318" s="767"/>
      <c r="P318" s="767"/>
      <c r="Q318" s="767"/>
      <c r="R318" s="767"/>
      <c r="S318" s="767"/>
      <c r="T318" s="767"/>
      <c r="U318" s="767"/>
      <c r="V318" s="767"/>
      <c r="W318" s="767"/>
      <c r="X318" s="767"/>
      <c r="Y318" s="767"/>
      <c r="Z318" s="767"/>
      <c r="AA318" s="767"/>
      <c r="AB318" s="767"/>
      <c r="AC318" s="767"/>
      <c r="AD318" s="767"/>
      <c r="AE318" s="767"/>
      <c r="AF318" s="767"/>
      <c r="AG318" s="767"/>
      <c r="AH318" s="767"/>
      <c r="AI318" s="767"/>
      <c r="AJ318" s="767"/>
      <c r="AK318" s="767"/>
      <c r="AL318" s="767"/>
      <c r="AM318" s="247"/>
      <c r="AN318" s="247"/>
      <c r="AO318" s="314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</row>
    <row r="319" spans="4:77" ht="12.2" customHeight="1">
      <c r="D319" s="313"/>
      <c r="E319" s="247"/>
      <c r="F319" s="247"/>
      <c r="G319" s="247"/>
      <c r="H319" s="247"/>
      <c r="I319" s="767"/>
      <c r="J319" s="767"/>
      <c r="K319" s="767"/>
      <c r="L319" s="767"/>
      <c r="M319" s="767"/>
      <c r="N319" s="767"/>
      <c r="O319" s="767"/>
      <c r="P319" s="767"/>
      <c r="Q319" s="767"/>
      <c r="R319" s="767"/>
      <c r="S319" s="767"/>
      <c r="T319" s="767"/>
      <c r="U319" s="767"/>
      <c r="V319" s="767"/>
      <c r="W319" s="767"/>
      <c r="X319" s="767"/>
      <c r="Y319" s="767"/>
      <c r="Z319" s="767"/>
      <c r="AA319" s="767"/>
      <c r="AB319" s="767"/>
      <c r="AC319" s="767"/>
      <c r="AD319" s="767"/>
      <c r="AE319" s="767"/>
      <c r="AF319" s="767"/>
      <c r="AG319" s="767"/>
      <c r="AH319" s="767"/>
      <c r="AI319" s="767"/>
      <c r="AJ319" s="767"/>
      <c r="AK319" s="767"/>
      <c r="AL319" s="767"/>
      <c r="AM319" s="247"/>
      <c r="AN319" s="247"/>
      <c r="AO319" s="314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</row>
    <row r="320" spans="4:77" ht="12.2" customHeight="1">
      <c r="D320" s="313"/>
      <c r="E320" s="247"/>
      <c r="F320" s="247"/>
      <c r="G320" s="247"/>
      <c r="H320" s="247"/>
      <c r="I320" s="767"/>
      <c r="J320" s="767"/>
      <c r="K320" s="767"/>
      <c r="L320" s="767"/>
      <c r="M320" s="767"/>
      <c r="N320" s="767"/>
      <c r="O320" s="767"/>
      <c r="P320" s="767"/>
      <c r="Q320" s="767"/>
      <c r="R320" s="767"/>
      <c r="S320" s="767"/>
      <c r="T320" s="767"/>
      <c r="U320" s="767"/>
      <c r="V320" s="767"/>
      <c r="W320" s="767"/>
      <c r="X320" s="767"/>
      <c r="Y320" s="767"/>
      <c r="Z320" s="767"/>
      <c r="AA320" s="767"/>
      <c r="AB320" s="767"/>
      <c r="AC320" s="767"/>
      <c r="AD320" s="767"/>
      <c r="AE320" s="767"/>
      <c r="AF320" s="767"/>
      <c r="AG320" s="767"/>
      <c r="AH320" s="767"/>
      <c r="AI320" s="767"/>
      <c r="AJ320" s="767"/>
      <c r="AK320" s="767"/>
      <c r="AL320" s="767"/>
      <c r="AM320" s="247"/>
      <c r="AN320" s="247"/>
      <c r="AO320" s="314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</row>
    <row r="321" spans="3:232" ht="12.2" customHeight="1">
      <c r="D321" s="313"/>
      <c r="E321" s="247"/>
      <c r="K321" s="247"/>
      <c r="L321" s="247"/>
      <c r="M321" s="247"/>
      <c r="N321" s="247"/>
      <c r="O321" s="247"/>
      <c r="P321" s="247"/>
      <c r="Q321" s="247"/>
      <c r="R321" s="247"/>
      <c r="S321" s="247"/>
      <c r="T321" s="247"/>
      <c r="U321" s="247"/>
      <c r="V321" s="247"/>
      <c r="W321" s="247"/>
      <c r="X321" s="247"/>
      <c r="Y321" s="247"/>
      <c r="Z321" s="247"/>
      <c r="AA321" s="247"/>
      <c r="AB321" s="247"/>
      <c r="AC321" s="247"/>
      <c r="AD321" s="247"/>
      <c r="AE321" s="247"/>
      <c r="AF321" s="247"/>
      <c r="AG321" s="247"/>
      <c r="AH321" s="247"/>
      <c r="AI321" s="247"/>
      <c r="AJ321" s="247"/>
      <c r="AK321" s="247"/>
      <c r="AL321" s="247"/>
      <c r="AM321" s="247"/>
      <c r="AN321" s="247"/>
      <c r="AO321" s="314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</row>
    <row r="322" spans="3:232" ht="6" customHeight="1" thickBot="1">
      <c r="D322" s="313"/>
      <c r="E322" s="247"/>
      <c r="G322" s="247"/>
      <c r="H322" s="247"/>
      <c r="I322" s="247"/>
      <c r="J322" s="247"/>
      <c r="K322" s="247"/>
      <c r="L322" s="247"/>
      <c r="M322" s="247"/>
      <c r="N322" s="247"/>
      <c r="O322" s="247"/>
      <c r="P322" s="247"/>
      <c r="Q322" s="247"/>
      <c r="R322" s="247"/>
      <c r="S322" s="247"/>
      <c r="T322" s="247"/>
      <c r="U322" s="247"/>
      <c r="V322" s="247"/>
      <c r="W322" s="247"/>
      <c r="X322" s="247"/>
      <c r="Y322" s="247"/>
      <c r="Z322" s="247"/>
      <c r="AA322" s="247"/>
      <c r="AB322" s="247"/>
      <c r="AC322" s="247"/>
      <c r="AD322" s="247"/>
      <c r="AE322" s="247"/>
      <c r="AF322" s="247"/>
      <c r="AG322" s="247"/>
      <c r="AH322" s="247"/>
      <c r="AI322" s="247"/>
      <c r="AJ322" s="247"/>
      <c r="AK322" s="247"/>
      <c r="AL322" s="247"/>
      <c r="AM322" s="247"/>
      <c r="AN322" s="247"/>
      <c r="AO322" s="314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</row>
    <row r="323" spans="3:232" ht="12.2" customHeight="1" thickTop="1" thickBot="1">
      <c r="D323" s="313"/>
      <c r="E323" s="247"/>
      <c r="F323" s="247"/>
      <c r="H323" s="856"/>
      <c r="I323" s="247" t="str">
        <f>" Invest. ges. ("&amp;ROUND(T33,0)&amp;" €)"</f>
        <v xml:space="preserve"> Invest. ges. (0 €)</v>
      </c>
      <c r="J323" s="247"/>
      <c r="K323" s="247"/>
      <c r="L323" s="247"/>
      <c r="Q323" s="859"/>
      <c r="R323" s="842" t="s">
        <v>793</v>
      </c>
      <c r="S323" s="247"/>
      <c r="T323" s="247"/>
      <c r="W323" s="247"/>
      <c r="X323" s="247"/>
      <c r="Y323" s="247"/>
      <c r="Z323" s="247"/>
      <c r="AA323" s="247"/>
      <c r="AB323" s="247"/>
      <c r="AC323" s="247"/>
      <c r="AD323" s="247"/>
      <c r="AE323" s="247"/>
      <c r="AF323" s="247"/>
      <c r="AG323" s="247"/>
      <c r="AH323" s="247"/>
      <c r="AI323" s="247"/>
      <c r="AJ323" s="247"/>
      <c r="AK323" s="247"/>
      <c r="AL323" s="247"/>
      <c r="AM323" s="247"/>
      <c r="AN323" s="247"/>
      <c r="AO323" s="314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</row>
    <row r="324" spans="3:232" ht="12.2" customHeight="1" thickTop="1" thickBot="1">
      <c r="D324" s="313"/>
      <c r="E324" s="247"/>
      <c r="F324" s="711"/>
      <c r="H324" s="857"/>
      <c r="I324" s="247" t="str">
        <f>" dv. Fremdmittel ("&amp;K729&amp;" €)"</f>
        <v xml:space="preserve"> dv. Fremdmittel (0 €)</v>
      </c>
      <c r="J324" s="247"/>
      <c r="K324" s="247"/>
      <c r="L324" s="247"/>
      <c r="Q324" s="860"/>
      <c r="R324" s="842" t="s">
        <v>794</v>
      </c>
      <c r="S324" s="247"/>
      <c r="T324" s="247"/>
      <c r="W324" s="247"/>
      <c r="X324" s="247"/>
      <c r="Y324" s="247"/>
      <c r="Z324" s="247"/>
      <c r="AA324" s="247"/>
      <c r="AB324" s="247"/>
      <c r="AC324" s="247"/>
      <c r="AD324" s="247"/>
      <c r="AE324" s="247"/>
      <c r="AF324" s="247"/>
      <c r="AG324" s="247"/>
      <c r="AH324" s="247"/>
      <c r="AI324" s="247"/>
      <c r="AJ324" s="247"/>
      <c r="AK324" s="247"/>
      <c r="AL324" s="247"/>
      <c r="AM324" s="247"/>
      <c r="AN324" s="247"/>
      <c r="AO324" s="31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</row>
    <row r="325" spans="3:232" ht="12.2" customHeight="1" thickTop="1">
      <c r="D325" s="324"/>
      <c r="E325" s="402"/>
      <c r="F325" s="402"/>
      <c r="G325" s="402"/>
      <c r="H325" s="862"/>
      <c r="I325" s="858" t="str">
        <f>" dv. Eigenmittel ("&amp;AA84&amp;" €)"</f>
        <v xml:space="preserve"> dv. Eigenmittel (0 €)</v>
      </c>
      <c r="J325" s="402"/>
      <c r="K325" s="402"/>
      <c r="L325" s="402"/>
      <c r="M325" s="402"/>
      <c r="N325" s="402"/>
      <c r="O325" s="402"/>
      <c r="P325" s="402"/>
      <c r="Q325" s="861"/>
      <c r="R325" s="858" t="s">
        <v>795</v>
      </c>
      <c r="S325" s="402"/>
      <c r="T325" s="402"/>
      <c r="U325" s="402"/>
      <c r="V325" s="402"/>
      <c r="W325" s="402"/>
      <c r="X325" s="402"/>
      <c r="Y325" s="402"/>
      <c r="Z325" s="402"/>
      <c r="AA325" s="402"/>
      <c r="AB325" s="402"/>
      <c r="AC325" s="402"/>
      <c r="AD325" s="402"/>
      <c r="AE325" s="402"/>
      <c r="AF325" s="402"/>
      <c r="AG325" s="402"/>
      <c r="AH325" s="402"/>
      <c r="AI325" s="402"/>
      <c r="AJ325" s="402"/>
      <c r="AK325" s="402"/>
      <c r="AL325" s="402"/>
      <c r="AM325" s="402"/>
      <c r="AN325" s="402"/>
      <c r="AO325" s="528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</row>
    <row r="326" spans="3:232" ht="12.2" customHeight="1">
      <c r="D326" s="247"/>
      <c r="E326" s="247"/>
      <c r="F326" s="247"/>
      <c r="G326" s="247"/>
      <c r="H326" s="247"/>
      <c r="I326" s="247"/>
      <c r="J326" s="247"/>
      <c r="K326" s="247"/>
      <c r="L326" s="247"/>
      <c r="M326" s="247"/>
      <c r="N326" s="247"/>
      <c r="O326" s="247"/>
      <c r="P326" s="247"/>
      <c r="Q326" s="247"/>
      <c r="R326" s="247"/>
      <c r="S326" s="247"/>
      <c r="T326" s="247"/>
      <c r="U326" s="247"/>
      <c r="V326" s="247"/>
      <c r="W326" s="247"/>
      <c r="X326" s="247"/>
      <c r="Y326" s="247"/>
      <c r="Z326" s="247"/>
      <c r="AA326" s="247"/>
      <c r="AB326" s="247"/>
      <c r="AC326" s="247"/>
      <c r="AD326" s="247"/>
      <c r="AE326" s="247"/>
      <c r="AF326" s="247"/>
      <c r="AG326" s="247"/>
      <c r="AH326" s="247"/>
      <c r="AI326" s="247"/>
      <c r="AJ326" s="247"/>
      <c r="AK326" s="247"/>
      <c r="AL326" s="247"/>
      <c r="AM326" s="247"/>
      <c r="AN326" s="247"/>
      <c r="AO326" s="247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</row>
    <row r="327" spans="3:232" ht="3.2" customHeight="1">
      <c r="D327" s="336"/>
      <c r="E327" s="269"/>
      <c r="F327" s="269"/>
      <c r="G327" s="269"/>
      <c r="H327" s="269"/>
      <c r="I327" s="269"/>
      <c r="J327" s="269"/>
      <c r="K327" s="269"/>
      <c r="L327" s="269"/>
      <c r="M327" s="269"/>
      <c r="N327" s="269"/>
      <c r="O327" s="269"/>
      <c r="P327" s="269"/>
      <c r="Q327" s="269"/>
      <c r="R327" s="269"/>
      <c r="S327" s="269"/>
      <c r="T327" s="269"/>
      <c r="U327" s="269"/>
      <c r="V327" s="269"/>
      <c r="W327" s="269"/>
      <c r="X327" s="269"/>
      <c r="Y327" s="269"/>
      <c r="Z327" s="269"/>
      <c r="AA327" s="269"/>
      <c r="AB327" s="269"/>
      <c r="AC327" s="269"/>
      <c r="AD327" s="269"/>
      <c r="AE327" s="269"/>
      <c r="AF327" s="269"/>
      <c r="AG327" s="269"/>
      <c r="AH327" s="269"/>
      <c r="AI327" s="269"/>
      <c r="AJ327" s="269"/>
      <c r="AK327" s="269"/>
      <c r="AL327" s="269"/>
      <c r="AM327" s="269"/>
      <c r="AN327" s="269"/>
      <c r="AO327" s="270"/>
    </row>
    <row r="328" spans="3:232" ht="24.95" customHeight="1">
      <c r="D328" s="271" t="s">
        <v>713</v>
      </c>
      <c r="E328" s="624"/>
      <c r="F328" s="357"/>
      <c r="G328" s="272"/>
      <c r="H328" s="272"/>
      <c r="I328" s="272"/>
      <c r="J328" s="272"/>
      <c r="K328" s="272"/>
      <c r="L328" s="272"/>
      <c r="M328" s="272"/>
      <c r="N328" s="272"/>
      <c r="O328" s="272"/>
      <c r="P328" s="272"/>
      <c r="Q328" s="272"/>
      <c r="R328" s="272"/>
      <c r="S328" s="272"/>
      <c r="T328" s="272"/>
      <c r="U328" s="272"/>
      <c r="V328" s="272"/>
      <c r="W328" s="272"/>
      <c r="X328" s="272"/>
      <c r="Y328" s="272"/>
      <c r="Z328" s="272"/>
      <c r="AA328" s="359"/>
      <c r="AB328" s="359"/>
      <c r="AC328" s="359"/>
      <c r="AD328" s="359"/>
      <c r="AE328" s="359"/>
      <c r="AF328" s="359"/>
      <c r="AG328" s="359"/>
      <c r="AH328" s="359"/>
      <c r="AI328" s="359"/>
      <c r="AJ328" s="357"/>
      <c r="AK328" s="272"/>
      <c r="AL328" s="272"/>
      <c r="AM328" s="272"/>
      <c r="AN328" s="272"/>
      <c r="AO328" s="273"/>
    </row>
    <row r="329" spans="3:232" ht="12.75" customHeight="1">
      <c r="D329" s="533"/>
      <c r="E329" s="761"/>
      <c r="F329" s="1623" t="str">
        <f>IF($AV$135&gt;0,"Abb. 2: Liquiditätsverlauf  - jährlicher Zahlungsfluss (incl. Eigenstrom; Vergütung + Wert)","Abb. 2: Liquiditätsverlauf  - jährlicher Zahlungsfluss")</f>
        <v>Abb. 2: Liquiditätsverlauf  - jährlicher Zahlungsfluss</v>
      </c>
      <c r="G329" s="1624"/>
      <c r="H329" s="1624"/>
      <c r="I329" s="1624"/>
      <c r="J329" s="1624"/>
      <c r="K329" s="1624"/>
      <c r="L329" s="1624"/>
      <c r="M329" s="1624"/>
      <c r="N329" s="1624"/>
      <c r="O329" s="1624"/>
      <c r="P329" s="1624"/>
      <c r="Q329" s="1624"/>
      <c r="R329" s="1624"/>
      <c r="S329" s="1624"/>
      <c r="T329" s="1624"/>
      <c r="U329" s="1624"/>
      <c r="V329" s="1624"/>
      <c r="W329" s="1624"/>
      <c r="X329" s="1624"/>
      <c r="Y329" s="1624"/>
      <c r="Z329" s="1624"/>
      <c r="AA329" s="1624"/>
      <c r="AB329" s="1624"/>
      <c r="AC329" s="1624"/>
      <c r="AD329" s="1624"/>
      <c r="AE329" s="1624"/>
      <c r="AF329" s="1624"/>
      <c r="AG329" s="1624"/>
      <c r="AH329" s="1624"/>
      <c r="AI329" s="1624"/>
      <c r="AJ329" s="1624"/>
      <c r="AK329" s="1624"/>
      <c r="AL329" s="1624"/>
      <c r="AM329" s="1624"/>
      <c r="AN329" s="1624"/>
      <c r="AO329" s="534"/>
      <c r="AW329"/>
      <c r="AX329"/>
      <c r="AY329"/>
      <c r="AZ329"/>
      <c r="BA329"/>
      <c r="BB329"/>
      <c r="BC329"/>
    </row>
    <row r="330" spans="3:232" ht="12.75" customHeight="1">
      <c r="C330" s="1375" t="s">
        <v>501</v>
      </c>
      <c r="D330" s="535"/>
      <c r="E330" s="762"/>
      <c r="F330" s="1777"/>
      <c r="G330" s="1777"/>
      <c r="H330" s="1777"/>
      <c r="I330" s="1777"/>
      <c r="J330" s="1777"/>
      <c r="K330" s="1777"/>
      <c r="L330" s="1777"/>
      <c r="M330" s="1777"/>
      <c r="N330" s="1777"/>
      <c r="O330" s="1777"/>
      <c r="P330" s="1777"/>
      <c r="Q330" s="1777"/>
      <c r="R330" s="1777"/>
      <c r="S330" s="1777"/>
      <c r="T330" s="1777"/>
      <c r="U330" s="1777"/>
      <c r="V330" s="1777"/>
      <c r="W330" s="1777"/>
      <c r="X330" s="1777"/>
      <c r="Y330" s="1777"/>
      <c r="Z330" s="1777"/>
      <c r="AA330" s="1777"/>
      <c r="AB330" s="1777"/>
      <c r="AC330" s="1777"/>
      <c r="AD330" s="1777"/>
      <c r="AE330" s="1777"/>
      <c r="AF330" s="1777"/>
      <c r="AG330" s="1777"/>
      <c r="AH330" s="1777"/>
      <c r="AI330" s="1777"/>
      <c r="AJ330" s="1777"/>
      <c r="AK330" s="1777"/>
      <c r="AL330" s="1777"/>
      <c r="AM330" s="1777"/>
      <c r="AN330" s="1777"/>
      <c r="AO330" s="537"/>
      <c r="AX330" s="245"/>
      <c r="AY330" s="245"/>
    </row>
    <row r="331" spans="3:232" ht="12.75" customHeight="1">
      <c r="C331" s="1376"/>
      <c r="D331" s="526"/>
      <c r="E331" s="527"/>
      <c r="F331" s="527"/>
      <c r="G331" s="527"/>
      <c r="H331" s="527"/>
      <c r="I331" s="527"/>
      <c r="J331" s="527"/>
      <c r="K331" s="527"/>
      <c r="L331" s="527"/>
      <c r="M331" s="527"/>
      <c r="N331" s="527"/>
      <c r="O331" s="527"/>
      <c r="P331" s="527"/>
      <c r="Q331" s="527"/>
      <c r="R331" s="527"/>
      <c r="S331" s="527"/>
      <c r="T331" s="527"/>
      <c r="U331" s="527"/>
      <c r="V331" s="527"/>
      <c r="W331" s="527"/>
      <c r="X331" s="527"/>
      <c r="Y331" s="527"/>
      <c r="Z331" s="527"/>
      <c r="AA331" s="527"/>
      <c r="AB331" s="527"/>
      <c r="AC331" s="527"/>
      <c r="AD331" s="527"/>
      <c r="AE331" s="527"/>
      <c r="AF331" s="527"/>
      <c r="AG331" s="527"/>
      <c r="AH331" s="527"/>
      <c r="AI331" s="527"/>
      <c r="AJ331" s="527"/>
      <c r="AK331" s="527"/>
      <c r="AL331" s="527"/>
      <c r="AM331" s="527"/>
      <c r="AN331" s="527"/>
      <c r="AO331" s="314"/>
      <c r="AX331" s="245"/>
      <c r="AY331" s="245"/>
    </row>
    <row r="332" spans="3:232" ht="12.75" customHeight="1">
      <c r="C332" s="1377"/>
      <c r="D332" s="313"/>
      <c r="E332" s="247"/>
      <c r="F332" s="247"/>
      <c r="G332" s="247"/>
      <c r="H332" s="247"/>
      <c r="I332" s="247"/>
      <c r="J332" s="247"/>
      <c r="K332" s="247"/>
      <c r="L332" s="247"/>
      <c r="M332" s="247"/>
      <c r="N332" s="247"/>
      <c r="O332" s="247"/>
      <c r="P332" s="247"/>
      <c r="Q332" s="247"/>
      <c r="R332" s="247"/>
      <c r="S332" s="247"/>
      <c r="T332" s="247"/>
      <c r="U332" s="247"/>
      <c r="V332" s="247"/>
      <c r="W332" s="247"/>
      <c r="X332" s="247"/>
      <c r="Y332" s="247"/>
      <c r="Z332" s="247"/>
      <c r="AA332" s="247"/>
      <c r="AB332" s="251"/>
      <c r="AD332" s="247"/>
      <c r="AE332" s="247"/>
      <c r="AF332" s="247"/>
      <c r="AG332" s="247"/>
      <c r="AH332" s="247"/>
      <c r="AI332" s="247"/>
      <c r="AJ332" s="247"/>
      <c r="AK332" s="247"/>
      <c r="AL332" s="247"/>
      <c r="AM332" s="247"/>
      <c r="AN332" s="247"/>
      <c r="AO332" s="314"/>
      <c r="AX332" s="245"/>
      <c r="AY332" s="245"/>
      <c r="BG332" s="1647" t="str">
        <f>$F$92</f>
        <v>Darlehen 1</v>
      </c>
      <c r="BH332" s="1647"/>
      <c r="BI332" s="1647"/>
      <c r="BJ332" s="1647"/>
      <c r="BQ332" s="372" t="s">
        <v>400</v>
      </c>
      <c r="BR332" s="1643">
        <f>$AY$92</f>
        <v>0</v>
      </c>
      <c r="BS332" s="1643"/>
      <c r="BT332" s="1643"/>
      <c r="BU332" s="1643"/>
      <c r="BW332" s="1647" t="str">
        <f>$F$94</f>
        <v>Darlehen 2</v>
      </c>
      <c r="BX332" s="1647"/>
      <c r="BY332" s="1647"/>
      <c r="BZ332" s="1647"/>
      <c r="CG332" s="372" t="s">
        <v>400</v>
      </c>
      <c r="CH332" s="1643">
        <f>$AY$94</f>
        <v>0</v>
      </c>
      <c r="CI332" s="1643"/>
      <c r="CJ332" s="1643"/>
      <c r="CK332" s="1643"/>
      <c r="CM332" s="1647" t="str">
        <f>$F$96</f>
        <v>Darlehen 3</v>
      </c>
      <c r="CN332" s="1647"/>
      <c r="CO332" s="1647"/>
      <c r="CP332" s="1647"/>
      <c r="CW332" s="372" t="s">
        <v>400</v>
      </c>
      <c r="CX332" s="1643">
        <f>$AY$96</f>
        <v>0</v>
      </c>
      <c r="CY332" s="1643"/>
      <c r="CZ332" s="1643"/>
      <c r="DA332" s="1643"/>
      <c r="DC332" s="1647" t="str">
        <f>'Endfälliges Darlehen'!$D$15</f>
        <v>Endfälliges Darlehen</v>
      </c>
      <c r="DD332" s="1647"/>
      <c r="DE332" s="1647"/>
      <c r="DF332" s="1647"/>
      <c r="DJ332" s="372" t="s">
        <v>400</v>
      </c>
      <c r="DK332" s="1643">
        <f>$AY$102</f>
        <v>0</v>
      </c>
      <c r="DL332" s="1643"/>
      <c r="DM332" s="1643"/>
      <c r="DN332" s="1643"/>
      <c r="DP332" s="1647" t="str">
        <f>'Endfälliges Darlehen'!D21</f>
        <v>Gegenfinanzierung</v>
      </c>
      <c r="DQ332" s="1647"/>
      <c r="DR332" s="1647"/>
      <c r="DS332" s="1647"/>
      <c r="DZ332" s="372"/>
      <c r="EA332" s="1643"/>
      <c r="EB332" s="1643"/>
      <c r="EC332" s="1643"/>
      <c r="ED332" s="1643"/>
      <c r="EE332" s="371"/>
      <c r="FL332" s="440"/>
      <c r="FN332" s="440"/>
      <c r="FO332" s="960"/>
      <c r="FQ332" s="440"/>
    </row>
    <row r="333" spans="3:232" ht="12.75" customHeight="1" thickBot="1">
      <c r="D333" s="313"/>
      <c r="E333" s="247"/>
      <c r="F333" s="247"/>
      <c r="G333" s="247"/>
      <c r="H333" s="247"/>
      <c r="I333" s="247"/>
      <c r="J333" s="247"/>
      <c r="K333" s="247"/>
      <c r="L333" s="247"/>
      <c r="M333" s="247"/>
      <c r="N333" s="247"/>
      <c r="O333" s="247"/>
      <c r="P333" s="247"/>
      <c r="Q333" s="247"/>
      <c r="R333" s="247"/>
      <c r="S333" s="247"/>
      <c r="T333" s="247"/>
      <c r="U333" s="247"/>
      <c r="V333" s="247"/>
      <c r="W333" s="247"/>
      <c r="X333" s="247"/>
      <c r="Y333" s="247"/>
      <c r="Z333" s="247"/>
      <c r="AA333" s="247"/>
      <c r="AB333" s="251"/>
      <c r="AD333" s="247"/>
      <c r="AE333" s="247"/>
      <c r="AF333" s="247"/>
      <c r="AG333" s="247"/>
      <c r="AH333" s="247"/>
      <c r="AI333" s="247"/>
      <c r="AJ333" s="247"/>
      <c r="AK333" s="247"/>
      <c r="AL333" s="247"/>
      <c r="AM333" s="247"/>
      <c r="AN333" s="247"/>
      <c r="AO333" s="314"/>
      <c r="AX333" s="245"/>
      <c r="AY333" s="245"/>
      <c r="BG333" s="1642">
        <f>$J$92</f>
        <v>0</v>
      </c>
      <c r="BH333" s="1642"/>
      <c r="BI333" s="1642"/>
      <c r="BJ333" s="1642"/>
      <c r="BQ333" s="372" t="s">
        <v>419</v>
      </c>
      <c r="BR333" s="1643">
        <f>$S$92</f>
        <v>0</v>
      </c>
      <c r="BS333" s="1643"/>
      <c r="BT333" s="1643"/>
      <c r="BU333" s="1643"/>
      <c r="BW333" s="1642">
        <f>$J$94</f>
        <v>0</v>
      </c>
      <c r="BX333" s="1642"/>
      <c r="BY333" s="1642"/>
      <c r="BZ333" s="1642"/>
      <c r="CG333" s="372" t="s">
        <v>419</v>
      </c>
      <c r="CH333" s="1643">
        <f>$S$94</f>
        <v>0</v>
      </c>
      <c r="CI333" s="1643"/>
      <c r="CJ333" s="1643"/>
      <c r="CK333" s="1643"/>
      <c r="CM333" s="1642">
        <f>$J$96</f>
        <v>0</v>
      </c>
      <c r="CN333" s="1642"/>
      <c r="CO333" s="1642"/>
      <c r="CP333" s="1642"/>
      <c r="CW333" s="372" t="s">
        <v>419</v>
      </c>
      <c r="CX333" s="1643">
        <f>$S$96</f>
        <v>0</v>
      </c>
      <c r="CY333" s="1643"/>
      <c r="CZ333" s="1643"/>
      <c r="DA333" s="1643"/>
      <c r="DC333" s="1642" t="str">
        <f>'Endfälliges Darlehen'!$D$17</f>
        <v>Institut</v>
      </c>
      <c r="DD333" s="1642"/>
      <c r="DE333" s="1642"/>
      <c r="DF333" s="1642"/>
      <c r="DJ333" s="372"/>
      <c r="DK333" s="370"/>
      <c r="DL333" s="370"/>
      <c r="DM333" s="370"/>
      <c r="DN333" s="370"/>
      <c r="DP333" s="1642" t="str">
        <f>'Endfälliges Darlehen'!D23</f>
        <v>Institut</v>
      </c>
      <c r="DQ333" s="1642"/>
      <c r="DR333" s="1642"/>
      <c r="DS333" s="1642"/>
      <c r="DZ333" s="372"/>
      <c r="EA333" s="1643"/>
      <c r="EB333" s="1643"/>
      <c r="EC333" s="1643"/>
      <c r="ED333" s="1643"/>
      <c r="EE333" s="371"/>
      <c r="FH333" s="1864">
        <f>BA168</f>
        <v>0</v>
      </c>
      <c r="FI333" s="1864"/>
      <c r="FJ333"/>
      <c r="FK333" s="836">
        <f>AU129</f>
        <v>0</v>
      </c>
      <c r="FL333" s="837" t="s">
        <v>703</v>
      </c>
      <c r="FM333"/>
      <c r="FN333" s="456"/>
      <c r="FO333" s="961"/>
      <c r="FQ333" s="1864">
        <f>BA182</f>
        <v>0</v>
      </c>
      <c r="FR333" s="1864"/>
    </row>
    <row r="334" spans="3:232" ht="12.75" customHeight="1" thickBot="1">
      <c r="D334" s="313"/>
      <c r="E334" s="247"/>
      <c r="F334" s="247"/>
      <c r="G334" s="247"/>
      <c r="H334" s="247"/>
      <c r="I334" s="247"/>
      <c r="J334" s="247"/>
      <c r="K334" s="247"/>
      <c r="L334" s="247"/>
      <c r="M334" s="247"/>
      <c r="N334" s="247"/>
      <c r="O334" s="247"/>
      <c r="P334" s="247"/>
      <c r="Q334" s="247"/>
      <c r="R334" s="247"/>
      <c r="S334" s="247"/>
      <c r="T334" s="247"/>
      <c r="U334" s="247"/>
      <c r="V334" s="247"/>
      <c r="W334" s="247"/>
      <c r="X334" s="247"/>
      <c r="Y334" s="247"/>
      <c r="Z334" s="247"/>
      <c r="AA334" s="247"/>
      <c r="AB334" s="251"/>
      <c r="AD334" s="247"/>
      <c r="AE334" s="247"/>
      <c r="AF334" s="247"/>
      <c r="AG334" s="247"/>
      <c r="AH334" s="247"/>
      <c r="AI334" s="247"/>
      <c r="AJ334" s="247"/>
      <c r="AK334" s="247"/>
      <c r="AL334" s="247"/>
      <c r="AM334" s="247"/>
      <c r="AN334" s="247"/>
      <c r="AO334" s="314"/>
      <c r="AX334" s="245"/>
      <c r="AY334" s="245"/>
      <c r="BG334" s="1646" t="str">
        <f>IF(R92="A",R92,"R")</f>
        <v>R</v>
      </c>
      <c r="BH334" s="1646"/>
      <c r="BQ334" s="372" t="s">
        <v>420</v>
      </c>
      <c r="BR334" s="1645">
        <f>$V$92/100*BR332</f>
        <v>0</v>
      </c>
      <c r="BS334" s="1645"/>
      <c r="BT334" s="1645"/>
      <c r="BU334" s="1645"/>
      <c r="BW334" s="1646" t="str">
        <f>IF(R94="A",R94,"R")</f>
        <v>R</v>
      </c>
      <c r="BX334" s="1646"/>
      <c r="CG334" s="372" t="s">
        <v>420</v>
      </c>
      <c r="CH334" s="1645">
        <f>$V$94/100*CH332</f>
        <v>0</v>
      </c>
      <c r="CI334" s="1645"/>
      <c r="CJ334" s="1645"/>
      <c r="CK334" s="1645"/>
      <c r="CM334" s="1646" t="str">
        <f>IF(R96="A",R96,"R")</f>
        <v>R</v>
      </c>
      <c r="CN334" s="1646"/>
      <c r="CW334" s="372" t="s">
        <v>423</v>
      </c>
      <c r="CX334" s="1645">
        <f>$V$96/100*CX332</f>
        <v>0</v>
      </c>
      <c r="CY334" s="1645"/>
      <c r="CZ334" s="1645"/>
      <c r="DA334" s="1645"/>
      <c r="DC334" s="1646" t="str">
        <f>'Endfälliges Darlehen'!J13</f>
        <v>E</v>
      </c>
      <c r="DD334" s="1646"/>
      <c r="DJ334" s="372"/>
      <c r="DK334" s="373"/>
      <c r="DL334" s="373"/>
      <c r="DM334" s="373"/>
      <c r="DN334" s="373"/>
      <c r="DP334" s="1646"/>
      <c r="DQ334" s="1646"/>
      <c r="DZ334" s="372"/>
      <c r="EA334" s="1645"/>
      <c r="EB334" s="1645"/>
      <c r="EC334" s="1645"/>
      <c r="ED334" s="1645"/>
      <c r="EE334" s="374"/>
      <c r="FJ334"/>
      <c r="FK334"/>
      <c r="FL334"/>
      <c r="FM334"/>
      <c r="FN334" s="647">
        <f>BV145/100</f>
        <v>0</v>
      </c>
      <c r="FO334" s="961"/>
      <c r="FQ334"/>
    </row>
    <row r="335" spans="3:232" ht="12.75" customHeight="1" thickBot="1">
      <c r="D335" s="313"/>
      <c r="E335" s="247"/>
      <c r="F335" s="247"/>
      <c r="G335" s="247"/>
      <c r="H335" s="247"/>
      <c r="I335" s="247"/>
      <c r="J335" s="247"/>
      <c r="K335" s="247"/>
      <c r="L335" s="247"/>
      <c r="M335" s="247"/>
      <c r="N335" s="247"/>
      <c r="O335" s="247"/>
      <c r="P335" s="247"/>
      <c r="Q335" s="247"/>
      <c r="R335" s="247"/>
      <c r="S335" s="247"/>
      <c r="T335" s="247"/>
      <c r="U335" s="247"/>
      <c r="V335" s="247"/>
      <c r="W335" s="247"/>
      <c r="X335" s="247"/>
      <c r="Y335" s="247"/>
      <c r="Z335" s="247"/>
      <c r="AA335" s="247"/>
      <c r="AB335" s="251"/>
      <c r="AD335" s="247"/>
      <c r="AE335" s="247"/>
      <c r="AF335" s="247"/>
      <c r="AG335" s="247"/>
      <c r="AH335" s="247"/>
      <c r="AI335" s="247"/>
      <c r="AJ335" s="247"/>
      <c r="AK335" s="247"/>
      <c r="AL335" s="247"/>
      <c r="AM335" s="247"/>
      <c r="AN335" s="247"/>
      <c r="AO335" s="314"/>
      <c r="AX335" s="245"/>
      <c r="AY335" s="245"/>
      <c r="BD335" s="1862" t="s">
        <v>391</v>
      </c>
      <c r="BE335" s="1782" t="s">
        <v>402</v>
      </c>
      <c r="BG335" s="246" t="s">
        <v>504</v>
      </c>
      <c r="BH335" s="375"/>
      <c r="BI335" s="1644">
        <f>T92</f>
        <v>0</v>
      </c>
      <c r="BJ335" s="1644"/>
      <c r="BQ335" s="372" t="s">
        <v>422</v>
      </c>
      <c r="BR335" s="1643">
        <f>$X$92</f>
        <v>0</v>
      </c>
      <c r="BS335" s="1643"/>
      <c r="BT335" s="1643"/>
      <c r="BU335" s="1643"/>
      <c r="BW335" s="246" t="s">
        <v>505</v>
      </c>
      <c r="BY335" s="1644">
        <f>T94</f>
        <v>0</v>
      </c>
      <c r="BZ335" s="1644"/>
      <c r="CG335" s="372" t="s">
        <v>422</v>
      </c>
      <c r="CH335" s="1643">
        <f>$X$94</f>
        <v>0</v>
      </c>
      <c r="CI335" s="1643"/>
      <c r="CJ335" s="1643"/>
      <c r="CK335" s="1643"/>
      <c r="CM335" s="246" t="s">
        <v>504</v>
      </c>
      <c r="CO335" s="1644">
        <f>T96</f>
        <v>0</v>
      </c>
      <c r="CP335" s="1644"/>
      <c r="CW335" s="372" t="s">
        <v>422</v>
      </c>
      <c r="CX335" s="1643">
        <f>$X$96</f>
        <v>0</v>
      </c>
      <c r="CY335" s="1643"/>
      <c r="CZ335" s="1643"/>
      <c r="DA335" s="1643"/>
      <c r="DC335" s="246" t="s">
        <v>504</v>
      </c>
      <c r="DE335" s="1644">
        <f>'Endfälliges Darlehen'!T17</f>
        <v>0</v>
      </c>
      <c r="DF335" s="1644"/>
      <c r="DH335" s="246" t="s">
        <v>77</v>
      </c>
      <c r="DJ335" s="372"/>
      <c r="DK335" s="376"/>
      <c r="DL335" s="376"/>
      <c r="DM335" s="1644">
        <f>IF(AA102&gt;0,'Endfälliges Darlehen'!T27,0)</f>
        <v>0</v>
      </c>
      <c r="DN335" s="1644"/>
      <c r="DP335" s="246" t="s">
        <v>504</v>
      </c>
      <c r="DR335" s="1644">
        <f>IF('Endfälliges Darlehen'!$T$25&gt;0,'Endfälliges Darlehen'!$T$25,0)</f>
        <v>0</v>
      </c>
      <c r="DS335" s="1644"/>
      <c r="DT335" s="246"/>
      <c r="DX335" s="246" t="s">
        <v>79</v>
      </c>
      <c r="DZ335" s="372"/>
      <c r="EA335" s="376"/>
      <c r="EB335" s="376"/>
      <c r="EC335" s="1644">
        <f>IF('Endfälliges Darlehen'!T21&gt;0,'Endfälliges Darlehen'!T21,0)</f>
        <v>0</v>
      </c>
      <c r="ED335" s="1644"/>
      <c r="EE335" s="371"/>
      <c r="EX335" s="1773" t="s">
        <v>24</v>
      </c>
      <c r="EY335" s="1774"/>
      <c r="EZ335" s="1774"/>
      <c r="FA335" s="1774"/>
      <c r="FB335" s="1775"/>
      <c r="FD335" s="1626">
        <f>BV157/100</f>
        <v>0</v>
      </c>
      <c r="FE335" s="1627"/>
      <c r="FF335" s="1627"/>
      <c r="FG335" s="1627"/>
      <c r="FH335" s="1628"/>
      <c r="FJ335" s="652" t="s">
        <v>25</v>
      </c>
      <c r="FL335" s="652" t="s">
        <v>26</v>
      </c>
      <c r="FN335" s="646" t="s">
        <v>339</v>
      </c>
      <c r="FO335" s="961"/>
      <c r="FQ335" s="377" t="s">
        <v>339</v>
      </c>
    </row>
    <row r="336" spans="3:232" ht="12.75" customHeight="1" thickBot="1">
      <c r="D336" s="313"/>
      <c r="E336" s="247"/>
      <c r="F336" s="247"/>
      <c r="G336" s="247"/>
      <c r="H336" s="247"/>
      <c r="I336" s="247"/>
      <c r="J336" s="247"/>
      <c r="K336" s="247"/>
      <c r="L336" s="247"/>
      <c r="M336" s="247"/>
      <c r="N336" s="247"/>
      <c r="O336" s="247"/>
      <c r="P336" s="247"/>
      <c r="Q336" s="247"/>
      <c r="R336" s="247"/>
      <c r="S336" s="247"/>
      <c r="T336" s="247"/>
      <c r="U336" s="247"/>
      <c r="V336" s="247"/>
      <c r="W336" s="247"/>
      <c r="X336" s="247"/>
      <c r="Y336" s="247"/>
      <c r="Z336" s="247"/>
      <c r="AA336" s="247"/>
      <c r="AB336" s="251"/>
      <c r="AD336" s="247"/>
      <c r="AE336" s="247"/>
      <c r="AF336" s="247"/>
      <c r="AG336" s="247"/>
      <c r="AH336" s="247"/>
      <c r="AI336" s="247"/>
      <c r="AJ336" s="247"/>
      <c r="AK336" s="247"/>
      <c r="AL336" s="247"/>
      <c r="AM336" s="247"/>
      <c r="AN336" s="247"/>
      <c r="AO336" s="314"/>
      <c r="AX336" s="245"/>
      <c r="AY336" s="245"/>
      <c r="BD336" s="1862"/>
      <c r="BE336" s="1782"/>
      <c r="BG336" s="1773" t="str">
        <f>BG332</f>
        <v>Darlehen 1</v>
      </c>
      <c r="BH336" s="1774"/>
      <c r="BI336" s="1774"/>
      <c r="BJ336" s="1774"/>
      <c r="BK336" s="1774"/>
      <c r="BL336" s="1774"/>
      <c r="BM336" s="1774"/>
      <c r="BN336" s="1774"/>
      <c r="BO336" s="1774"/>
      <c r="BP336" s="1774"/>
      <c r="BQ336" s="1774"/>
      <c r="BR336" s="1774"/>
      <c r="BS336" s="1774"/>
      <c r="BT336" s="1774"/>
      <c r="BU336" s="1775"/>
      <c r="BW336" s="1773" t="str">
        <f>BW332</f>
        <v>Darlehen 2</v>
      </c>
      <c r="BX336" s="1774"/>
      <c r="BY336" s="1774"/>
      <c r="BZ336" s="1774"/>
      <c r="CA336" s="1774"/>
      <c r="CB336" s="1774"/>
      <c r="CC336" s="1774"/>
      <c r="CD336" s="1774"/>
      <c r="CE336" s="1774"/>
      <c r="CF336" s="1774"/>
      <c r="CG336" s="1774"/>
      <c r="CH336" s="1774"/>
      <c r="CI336" s="1774"/>
      <c r="CJ336" s="1774"/>
      <c r="CK336" s="1775"/>
      <c r="CM336" s="1773" t="str">
        <f>CM332</f>
        <v>Darlehen 3</v>
      </c>
      <c r="CN336" s="1774"/>
      <c r="CO336" s="1774"/>
      <c r="CP336" s="1774"/>
      <c r="CQ336" s="1774"/>
      <c r="CR336" s="1774"/>
      <c r="CS336" s="1774"/>
      <c r="CT336" s="1774"/>
      <c r="CU336" s="1774"/>
      <c r="CV336" s="1774"/>
      <c r="CW336" s="1774"/>
      <c r="CX336" s="1774"/>
      <c r="CY336" s="1774"/>
      <c r="CZ336" s="1774"/>
      <c r="DA336" s="1775"/>
      <c r="DC336" s="1773" t="str">
        <f>DC332</f>
        <v>Endfälliges Darlehen</v>
      </c>
      <c r="DD336" s="1774"/>
      <c r="DE336" s="1774"/>
      <c r="DF336" s="1774"/>
      <c r="DG336" s="1774"/>
      <c r="DH336" s="1774"/>
      <c r="DI336" s="1774"/>
      <c r="DJ336" s="1774"/>
      <c r="DK336" s="1774"/>
      <c r="DL336" s="1774"/>
      <c r="DM336" s="1774"/>
      <c r="DN336" s="1775"/>
      <c r="DP336" s="1773" t="str">
        <f>DP332</f>
        <v>Gegenfinanzierung</v>
      </c>
      <c r="DQ336" s="1774"/>
      <c r="DR336" s="1774"/>
      <c r="DS336" s="1774"/>
      <c r="DT336" s="1774"/>
      <c r="DU336" s="1774"/>
      <c r="DV336" s="1774"/>
      <c r="DW336" s="1774"/>
      <c r="DX336" s="1774"/>
      <c r="DY336" s="1774"/>
      <c r="DZ336" s="1774"/>
      <c r="EA336" s="1774"/>
      <c r="EB336" s="1774"/>
      <c r="EC336" s="1774"/>
      <c r="ED336" s="1775"/>
      <c r="EE336" s="318"/>
      <c r="EF336" s="1834" t="s">
        <v>431</v>
      </c>
      <c r="EG336" s="1814"/>
      <c r="EH336" s="1814"/>
      <c r="EI336" s="1814"/>
      <c r="EJ336" s="1815"/>
      <c r="EL336" s="1834" t="s">
        <v>384</v>
      </c>
      <c r="EM336" s="1814"/>
      <c r="EN336" s="1814"/>
      <c r="EO336" s="1814"/>
      <c r="EP336" s="1815"/>
      <c r="ER336" s="1834" t="s">
        <v>432</v>
      </c>
      <c r="ES336" s="1814"/>
      <c r="ET336" s="1814"/>
      <c r="EU336" s="1814"/>
      <c r="EV336" s="1815"/>
      <c r="EX336" s="1816">
        <f>X118</f>
        <v>0</v>
      </c>
      <c r="EY336" s="1817"/>
      <c r="EZ336" s="1817"/>
      <c r="FA336" s="1817"/>
      <c r="FB336" s="1818"/>
      <c r="FD336" s="1813" t="s">
        <v>27</v>
      </c>
      <c r="FE336" s="1814"/>
      <c r="FF336" s="1814"/>
      <c r="FG336" s="1814"/>
      <c r="FH336" s="1815"/>
      <c r="FJ336" s="377"/>
      <c r="FL336" s="651">
        <f>X122</f>
        <v>0</v>
      </c>
      <c r="FN336" s="648">
        <f>ROUND(T172,4)</f>
        <v>0.2</v>
      </c>
      <c r="FO336" s="961"/>
      <c r="FQ336" s="615">
        <f>FQ333</f>
        <v>0</v>
      </c>
      <c r="FT336" s="1773" t="s">
        <v>178</v>
      </c>
      <c r="FU336" s="1774"/>
      <c r="FV336" s="1774"/>
      <c r="FW336" s="1774"/>
      <c r="FX336" s="1775"/>
      <c r="FY336" s="1828" t="s">
        <v>467</v>
      </c>
      <c r="FZ336" s="1829"/>
      <c r="GA336" s="1829"/>
      <c r="GB336" s="1830"/>
      <c r="GC336" s="1773" t="s">
        <v>179</v>
      </c>
      <c r="GD336" s="1774"/>
      <c r="GE336" s="1774"/>
      <c r="GF336" s="1775"/>
      <c r="GH336" s="1773" t="str">
        <f>IF(AA102&gt;0,"Anspar. / Tilg.","Tilgung ges.")</f>
        <v>Tilgung ges.</v>
      </c>
      <c r="GI336" s="1774"/>
      <c r="GJ336" s="1774"/>
      <c r="GK336" s="1775"/>
      <c r="GL336" s="1773" t="s">
        <v>466</v>
      </c>
      <c r="GM336" s="1774"/>
      <c r="GN336" s="1774"/>
      <c r="GO336" s="1775"/>
      <c r="GP336" s="318"/>
      <c r="GQ336" s="1834" t="s">
        <v>188</v>
      </c>
      <c r="GR336" s="1814"/>
      <c r="GS336" s="1814"/>
      <c r="GT336" s="1815"/>
      <c r="GW336" s="377" t="s">
        <v>189</v>
      </c>
      <c r="GX336" s="377" t="s">
        <v>191</v>
      </c>
      <c r="GY336" s="377" t="s">
        <v>213</v>
      </c>
      <c r="GZ336" s="377" t="s">
        <v>214</v>
      </c>
      <c r="HA336" s="377" t="s">
        <v>215</v>
      </c>
      <c r="HB336" s="377" t="s">
        <v>216</v>
      </c>
      <c r="HC336" s="377" t="s">
        <v>217</v>
      </c>
      <c r="HD336" s="377" t="s">
        <v>218</v>
      </c>
      <c r="HE336" s="377" t="s">
        <v>219</v>
      </c>
      <c r="HF336" s="377" t="s">
        <v>220</v>
      </c>
      <c r="HG336" s="377" t="s">
        <v>221</v>
      </c>
      <c r="HH336" s="377" t="s">
        <v>222</v>
      </c>
      <c r="HI336" s="377" t="s">
        <v>223</v>
      </c>
      <c r="HJ336" s="377" t="s">
        <v>224</v>
      </c>
      <c r="HK336" s="377" t="s">
        <v>225</v>
      </c>
      <c r="HL336" s="377" t="s">
        <v>226</v>
      </c>
      <c r="HM336" s="377" t="s">
        <v>227</v>
      </c>
      <c r="HN336" s="377" t="s">
        <v>228</v>
      </c>
      <c r="HO336" s="377" t="s">
        <v>229</v>
      </c>
      <c r="HP336" s="377" t="s">
        <v>230</v>
      </c>
      <c r="HQ336" s="377" t="s">
        <v>190</v>
      </c>
      <c r="HR336" s="377" t="s">
        <v>687</v>
      </c>
      <c r="HS336" s="377" t="s">
        <v>688</v>
      </c>
      <c r="HT336" s="377" t="s">
        <v>689</v>
      </c>
      <c r="HU336" s="377" t="s">
        <v>690</v>
      </c>
      <c r="HV336" s="377" t="s">
        <v>691</v>
      </c>
      <c r="HX336" s="377"/>
    </row>
    <row r="337" spans="3:232" ht="12.75" customHeight="1" thickBot="1">
      <c r="D337" s="313"/>
      <c r="E337" s="247"/>
      <c r="F337" s="247"/>
      <c r="G337" s="247"/>
      <c r="H337" s="247"/>
      <c r="I337" s="247"/>
      <c r="J337" s="247"/>
      <c r="K337" s="247"/>
      <c r="L337" s="247"/>
      <c r="M337" s="247"/>
      <c r="N337" s="247"/>
      <c r="O337" s="247"/>
      <c r="P337" s="247"/>
      <c r="Q337" s="247"/>
      <c r="R337" s="247"/>
      <c r="S337" s="247"/>
      <c r="T337" s="247"/>
      <c r="U337" s="247"/>
      <c r="V337" s="247"/>
      <c r="W337" s="247"/>
      <c r="X337" s="247"/>
      <c r="Y337" s="247"/>
      <c r="Z337" s="247"/>
      <c r="AA337" s="247"/>
      <c r="AB337" s="251"/>
      <c r="AD337" s="247"/>
      <c r="AE337" s="247"/>
      <c r="AF337" s="247"/>
      <c r="AG337" s="247"/>
      <c r="AH337" s="247"/>
      <c r="AI337" s="247"/>
      <c r="AJ337" s="247"/>
      <c r="AK337" s="247"/>
      <c r="AL337" s="247"/>
      <c r="AM337" s="247"/>
      <c r="AN337" s="247"/>
      <c r="AO337" s="314"/>
      <c r="AX337" s="245"/>
      <c r="AY337" s="245"/>
      <c r="BD337" s="1863"/>
      <c r="BE337" s="1783"/>
      <c r="BG337" s="378"/>
      <c r="BH337" s="1675" t="s">
        <v>404</v>
      </c>
      <c r="BI337" s="1675"/>
      <c r="BJ337" s="1675"/>
      <c r="BK337" s="1675"/>
      <c r="BL337" s="1675" t="s">
        <v>376</v>
      </c>
      <c r="BM337" s="1675"/>
      <c r="BN337" s="1675"/>
      <c r="BO337" s="1675" t="s">
        <v>378</v>
      </c>
      <c r="BP337" s="1675"/>
      <c r="BQ337" s="1675"/>
      <c r="BR337" s="1675" t="s">
        <v>405</v>
      </c>
      <c r="BS337" s="1675"/>
      <c r="BT337" s="1675"/>
      <c r="BU337" s="1675"/>
      <c r="BW337" s="378"/>
      <c r="BX337" s="1675" t="s">
        <v>404</v>
      </c>
      <c r="BY337" s="1675"/>
      <c r="BZ337" s="1675"/>
      <c r="CA337" s="1675"/>
      <c r="CB337" s="1675" t="s">
        <v>376</v>
      </c>
      <c r="CC337" s="1675"/>
      <c r="CD337" s="1675"/>
      <c r="CE337" s="1675" t="s">
        <v>378</v>
      </c>
      <c r="CF337" s="1675"/>
      <c r="CG337" s="1675"/>
      <c r="CH337" s="1675" t="s">
        <v>405</v>
      </c>
      <c r="CI337" s="1675"/>
      <c r="CJ337" s="1675"/>
      <c r="CK337" s="1675"/>
      <c r="CM337" s="378"/>
      <c r="CN337" s="1675" t="s">
        <v>404</v>
      </c>
      <c r="CO337" s="1675"/>
      <c r="CP337" s="1675"/>
      <c r="CQ337" s="1675"/>
      <c r="CR337" s="1675" t="s">
        <v>376</v>
      </c>
      <c r="CS337" s="1675"/>
      <c r="CT337" s="1675"/>
      <c r="CU337" s="1675" t="s">
        <v>378</v>
      </c>
      <c r="CV337" s="1675"/>
      <c r="CW337" s="1675"/>
      <c r="CX337" s="1675" t="s">
        <v>405</v>
      </c>
      <c r="CY337" s="1675"/>
      <c r="CZ337" s="1675"/>
      <c r="DA337" s="1675"/>
      <c r="DC337" s="378"/>
      <c r="DD337" s="1675" t="s">
        <v>404</v>
      </c>
      <c r="DE337" s="1675"/>
      <c r="DF337" s="1675"/>
      <c r="DG337" s="1675"/>
      <c r="DH337" s="1675" t="s">
        <v>378</v>
      </c>
      <c r="DI337" s="1675"/>
      <c r="DJ337" s="1675"/>
      <c r="DK337" s="1675" t="s">
        <v>405</v>
      </c>
      <c r="DL337" s="1675"/>
      <c r="DM337" s="1675"/>
      <c r="DN337" s="1675"/>
      <c r="DP337" s="378"/>
      <c r="DQ337" s="1675" t="s">
        <v>404</v>
      </c>
      <c r="DR337" s="1675"/>
      <c r="DS337" s="1675"/>
      <c r="DT337" s="1675"/>
      <c r="DU337" s="1675" t="s">
        <v>76</v>
      </c>
      <c r="DV337" s="1675"/>
      <c r="DW337" s="1675"/>
      <c r="DX337" s="1675" t="s">
        <v>378</v>
      </c>
      <c r="DY337" s="1675"/>
      <c r="DZ337" s="1675"/>
      <c r="EA337" s="1675" t="s">
        <v>405</v>
      </c>
      <c r="EB337" s="1675"/>
      <c r="EC337" s="1675"/>
      <c r="ED337" s="1675"/>
      <c r="EE337" s="379"/>
      <c r="FC337" s="455">
        <f>SUM(FC338:FC349)</f>
        <v>0</v>
      </c>
      <c r="FO337" s="961"/>
      <c r="FQ337" s="964">
        <f>BJ137</f>
        <v>0</v>
      </c>
      <c r="GU337" s="192">
        <f t="shared" ref="GU337:GU342" si="0">IF(BE337&gt;0,1,0)</f>
        <v>0</v>
      </c>
      <c r="GV337" s="192">
        <f>SUM(GU337)</f>
        <v>0</v>
      </c>
      <c r="GW337" s="380">
        <f t="shared" ref="GW337:HP337" si="1">SUM(GW338:GW660)</f>
        <v>0</v>
      </c>
      <c r="GX337" s="380">
        <f t="shared" si="1"/>
        <v>0</v>
      </c>
      <c r="GY337" s="380">
        <f t="shared" si="1"/>
        <v>0</v>
      </c>
      <c r="GZ337" s="380">
        <f t="shared" si="1"/>
        <v>0</v>
      </c>
      <c r="HA337" s="380">
        <f t="shared" si="1"/>
        <v>0</v>
      </c>
      <c r="HB337" s="380">
        <f t="shared" si="1"/>
        <v>0</v>
      </c>
      <c r="HC337" s="380">
        <f t="shared" si="1"/>
        <v>0</v>
      </c>
      <c r="HD337" s="380">
        <f t="shared" si="1"/>
        <v>0</v>
      </c>
      <c r="HE337" s="380">
        <f t="shared" si="1"/>
        <v>0</v>
      </c>
      <c r="HF337" s="380">
        <f t="shared" si="1"/>
        <v>0</v>
      </c>
      <c r="HG337" s="380">
        <f t="shared" si="1"/>
        <v>0</v>
      </c>
      <c r="HH337" s="380">
        <f t="shared" si="1"/>
        <v>0</v>
      </c>
      <c r="HI337" s="380">
        <f t="shared" si="1"/>
        <v>0</v>
      </c>
      <c r="HJ337" s="380">
        <f t="shared" si="1"/>
        <v>0</v>
      </c>
      <c r="HK337" s="380">
        <f t="shared" si="1"/>
        <v>0</v>
      </c>
      <c r="HL337" s="380">
        <f t="shared" si="1"/>
        <v>0</v>
      </c>
      <c r="HM337" s="380">
        <f t="shared" si="1"/>
        <v>0</v>
      </c>
      <c r="HN337" s="380">
        <f t="shared" si="1"/>
        <v>0</v>
      </c>
      <c r="HO337" s="380">
        <f t="shared" si="1"/>
        <v>0</v>
      </c>
      <c r="HP337" s="380">
        <f t="shared" si="1"/>
        <v>0</v>
      </c>
      <c r="HQ337" s="380">
        <f t="shared" ref="HQ337:HV337" si="2">SUM(HQ338:HQ660)</f>
        <v>0</v>
      </c>
      <c r="HR337" s="380">
        <f t="shared" si="2"/>
        <v>0</v>
      </c>
      <c r="HS337" s="380">
        <f t="shared" si="2"/>
        <v>0</v>
      </c>
      <c r="HT337" s="380">
        <f t="shared" si="2"/>
        <v>0</v>
      </c>
      <c r="HU337" s="380">
        <f t="shared" si="2"/>
        <v>0</v>
      </c>
      <c r="HV337" s="380">
        <f t="shared" si="2"/>
        <v>0</v>
      </c>
      <c r="HX337" s="839"/>
    </row>
    <row r="338" spans="3:232" ht="12.75" customHeight="1">
      <c r="D338" s="313"/>
      <c r="E338" s="247"/>
      <c r="F338" s="247"/>
      <c r="G338" s="247"/>
      <c r="H338" s="247"/>
      <c r="I338" s="247"/>
      <c r="J338" s="247"/>
      <c r="K338" s="247"/>
      <c r="L338" s="247"/>
      <c r="M338" s="247"/>
      <c r="N338" s="247"/>
      <c r="O338" s="247"/>
      <c r="P338" s="247"/>
      <c r="Q338" s="247"/>
      <c r="R338" s="247"/>
      <c r="S338" s="247"/>
      <c r="T338" s="247"/>
      <c r="U338" s="247"/>
      <c r="V338" s="247"/>
      <c r="W338" s="247"/>
      <c r="X338" s="247"/>
      <c r="Y338" s="247"/>
      <c r="Z338" s="247"/>
      <c r="AA338" s="247"/>
      <c r="AB338" s="251"/>
      <c r="AD338" s="247"/>
      <c r="AE338" s="247"/>
      <c r="AF338" s="247"/>
      <c r="AG338" s="247"/>
      <c r="AH338" s="247"/>
      <c r="AI338" s="247"/>
      <c r="AJ338" s="247"/>
      <c r="AK338" s="247"/>
      <c r="AL338" s="247"/>
      <c r="AM338" s="247"/>
      <c r="AN338" s="247"/>
      <c r="AO338" s="314"/>
      <c r="AX338" s="245"/>
      <c r="AY338" s="245"/>
      <c r="BD338" s="381">
        <f>IF($V$21&gt;0,0,-1)</f>
        <v>0</v>
      </c>
      <c r="BE338" s="382">
        <f>IF(BD338=0,IF(1&gt;$R$66-1,1,0),0)</f>
        <v>0</v>
      </c>
      <c r="BG338" s="383">
        <f>IF((BR333-X92)&gt;0,IF($BE338&gt;$R$66-1+($BR$335*12),1,0),0)</f>
        <v>0</v>
      </c>
      <c r="BH338" s="1747">
        <f>$BR$332</f>
        <v>0</v>
      </c>
      <c r="BI338" s="1748"/>
      <c r="BJ338" s="1748"/>
      <c r="BK338" s="1749"/>
      <c r="BL338" s="1747">
        <f>IF(BG338&gt;0,IF($BG$334="R",$BR$332/(($BR$333-$X$92)*12),$BR$334/12-BO338),0)</f>
        <v>0</v>
      </c>
      <c r="BM338" s="1748"/>
      <c r="BN338" s="1749"/>
      <c r="BO338" s="1747">
        <f t="shared" ref="BO338:BO401" si="3">IF($BE338&gt;0,BH338*$BI$335/(100*12),0)</f>
        <v>0</v>
      </c>
      <c r="BP338" s="1748"/>
      <c r="BQ338" s="1749"/>
      <c r="BR338" s="1747">
        <f t="shared" ref="BR338:BR343" si="4">BH338-BL338</f>
        <v>0</v>
      </c>
      <c r="BS338" s="1748"/>
      <c r="BT338" s="1748"/>
      <c r="BU338" s="1749"/>
      <c r="BW338" s="383">
        <f>IF((CH333-X94)&gt;0,IF($BE338&gt;$R$66-1+($CH$335*12),1,0),0)</f>
        <v>0</v>
      </c>
      <c r="BX338" s="1747">
        <f>$CH$332</f>
        <v>0</v>
      </c>
      <c r="BY338" s="1748"/>
      <c r="BZ338" s="1748"/>
      <c r="CA338" s="1749"/>
      <c r="CB338" s="1747">
        <f>IF(BW338&gt;0,IF($BW$334="R",$CH$332/(($CH$333-$X$94)*12),$CH$334/12-CE338),0)</f>
        <v>0</v>
      </c>
      <c r="CC338" s="1748"/>
      <c r="CD338" s="1749"/>
      <c r="CE338" s="1747">
        <f t="shared" ref="CE338:CE401" si="5">IF($BE338&gt;0,BX338*$BY$335/(100*12),0)</f>
        <v>0</v>
      </c>
      <c r="CF338" s="1748"/>
      <c r="CG338" s="1749"/>
      <c r="CH338" s="1747">
        <f t="shared" ref="CH338:CH401" si="6">BX338-CB338</f>
        <v>0</v>
      </c>
      <c r="CI338" s="1748"/>
      <c r="CJ338" s="1748"/>
      <c r="CK338" s="1749"/>
      <c r="CM338" s="383">
        <f>IF((CX333-X96)&gt;0,IF($BE338&gt;$R$66-1+($CX$335*12),1,0),0)</f>
        <v>0</v>
      </c>
      <c r="CN338" s="1747">
        <f>$CX$332</f>
        <v>0</v>
      </c>
      <c r="CO338" s="1748"/>
      <c r="CP338" s="1748"/>
      <c r="CQ338" s="1749"/>
      <c r="CR338" s="1747">
        <f>IF(CM338&gt;0,IF($CM$334="R",$CX$332/(($CX$333-$X$96)*12),$CX$334/12-CU338),0)</f>
        <v>0</v>
      </c>
      <c r="CS338" s="1748"/>
      <c r="CT338" s="1749"/>
      <c r="CU338" s="1747">
        <f t="shared" ref="CU338:CU401" si="7">IF($BE338&gt;0,CN338*$CO$335/(100*12),0)</f>
        <v>0</v>
      </c>
      <c r="CV338" s="1748"/>
      <c r="CW338" s="1749"/>
      <c r="CX338" s="1747">
        <f t="shared" ref="CX338:CX401" si="8">CN338-CR338</f>
        <v>0</v>
      </c>
      <c r="CY338" s="1748"/>
      <c r="CZ338" s="1748"/>
      <c r="DA338" s="1749"/>
      <c r="DC338" s="383">
        <f>IF($BE338&gt;$R$66-1,1,0)</f>
        <v>0</v>
      </c>
      <c r="DD338" s="1747">
        <f>$DK$332</f>
        <v>0</v>
      </c>
      <c r="DE338" s="1748"/>
      <c r="DF338" s="1748"/>
      <c r="DG338" s="1749"/>
      <c r="DH338" s="1747">
        <f>IF($BE338&gt;0,DD338*$DE$335/(100*12),0)</f>
        <v>0</v>
      </c>
      <c r="DI338" s="1748"/>
      <c r="DJ338" s="1749"/>
      <c r="DK338" s="1747">
        <f t="shared" ref="DK338:DK401" si="9">IF(EA338&gt;(DD338),0,DD338)</f>
        <v>0</v>
      </c>
      <c r="DL338" s="1748"/>
      <c r="DM338" s="1748"/>
      <c r="DN338" s="1749"/>
      <c r="DP338" s="383">
        <f>DC338</f>
        <v>0</v>
      </c>
      <c r="DQ338" s="1747"/>
      <c r="DR338" s="1748"/>
      <c r="DS338" s="1748"/>
      <c r="DT338" s="1749"/>
      <c r="DU338" s="1747">
        <f t="shared" ref="DU338:DU343" si="10">IF(DD338=0,0,IF($BE338&gt;0,($DK$332*$DM$335/100)/12-DH338,0))</f>
        <v>0</v>
      </c>
      <c r="DV338" s="1748"/>
      <c r="DW338" s="1749"/>
      <c r="DX338" s="1747">
        <f>(DQ338+DU338)*($DR$335/100)/12</f>
        <v>0</v>
      </c>
      <c r="DY338" s="1748"/>
      <c r="DZ338" s="1749"/>
      <c r="EA338" s="1747">
        <f>DQ338+DU338+DX338</f>
        <v>0</v>
      </c>
      <c r="EB338" s="1748"/>
      <c r="EC338" s="1748"/>
      <c r="ED338" s="1749"/>
      <c r="EE338" s="384"/>
      <c r="EF338" s="1750">
        <f t="shared" ref="EF338:EF401" si="11">IF($BE338&gt;0,$AB$187/12,0)</f>
        <v>0</v>
      </c>
      <c r="EG338" s="1751"/>
      <c r="EH338" s="1751"/>
      <c r="EI338" s="1751"/>
      <c r="EJ338" s="1752"/>
      <c r="EL338" s="1750">
        <f>IF($BE338&gt;0,$AB$191,0)</f>
        <v>0</v>
      </c>
      <c r="EM338" s="1751"/>
      <c r="EN338" s="1751"/>
      <c r="EO338" s="1751"/>
      <c r="EP338" s="1752"/>
      <c r="ER338" s="1750">
        <f t="shared" ref="ER338:ER401" si="12">IF($BE338&gt;0,($AB$197+$AB$203)/12,0)</f>
        <v>0</v>
      </c>
      <c r="ES338" s="1751"/>
      <c r="ET338" s="1751"/>
      <c r="EU338" s="1751"/>
      <c r="EV338" s="1752"/>
      <c r="EX338" s="1750">
        <f>IF(BE338&gt;0,Einstrahlung!$K$10*Kalkulation!$P$62/100*$AY$29,0)</f>
        <v>0</v>
      </c>
      <c r="EY338" s="1751"/>
      <c r="EZ338" s="1751"/>
      <c r="FA338" s="1751"/>
      <c r="FB338" s="1752"/>
      <c r="FC338" s="454">
        <f>IF(EX338&gt;0,1,0)</f>
        <v>0</v>
      </c>
      <c r="FD338" s="1750">
        <f>((FJ338*$BS$147/100*$AZ$151)+(FJ338*$BS$149/100*$AZ$153)+(FJ338*$BS$151/100*$AZ$155)+(FJ338*$BS$153/100*$AZ$157)+(FJ338*$BS$155/100*$AZ$159))</f>
        <v>0</v>
      </c>
      <c r="FE338" s="1751"/>
      <c r="FF338" s="1751"/>
      <c r="FG338" s="1751"/>
      <c r="FH338" s="1752"/>
      <c r="FI338" s="454"/>
      <c r="FJ338" s="380">
        <f>EX338-FL338</f>
        <v>0</v>
      </c>
      <c r="FK338" s="838">
        <f>IF($FK$333&gt;0,1,0)</f>
        <v>0</v>
      </c>
      <c r="FL338" s="380">
        <f>IF(FC337=0,0,IF(FK338=1,0,IF(BE338&gt;0,IF($FL$336&gt;SUM($EX$338:$FB$349),SUM($EX$338:$FB$349)/12,$FL$336/12),0)))</f>
        <v>0</v>
      </c>
      <c r="FM338" s="385"/>
      <c r="FN338" s="380">
        <f>FL338*$FN$336</f>
        <v>0</v>
      </c>
      <c r="FO338" s="962">
        <f>(B118+1)-(VLOOKUP(B118,Vergütungen!A19:C190,2,FALSE))</f>
        <v>130</v>
      </c>
      <c r="FP338" s="956">
        <f t="shared" ref="FP338:FP401" si="13">IF($B$118&lt;41,0,IF(FO338&lt;58,$BI$147,IF(AND(FO338&gt;57,FO338&lt;70),$BI$143,IF(FO338&gt;69,$BI$141,0))))</f>
        <v>0.4</v>
      </c>
      <c r="FQ338" s="963">
        <f t="shared" ref="FQ338:FQ344" si="14">FN338*FR338-(FL338*($FQ$337/100)*FP338)</f>
        <v>0</v>
      </c>
      <c r="FR338" s="626">
        <f t="shared" ref="FR338:FR348" si="15">IF(AND(GV338&gt;0,GV338&lt;12),$FR$349,0)</f>
        <v>0</v>
      </c>
      <c r="FS338" s="616"/>
      <c r="FT338" s="1819">
        <f>(FD338+FQ338)-(GH338+GL338)+(EF338+EL338+ER338)</f>
        <v>0</v>
      </c>
      <c r="FU338" s="1820"/>
      <c r="FV338" s="1820"/>
      <c r="FW338" s="1820"/>
      <c r="FX338" s="1821"/>
      <c r="FY338" s="1819">
        <f>IF(BE338=0,0,IF(FT338&lt;0,FT338*$AD$239/12/100,FT338*$AD$238/12/100))</f>
        <v>0</v>
      </c>
      <c r="FZ338" s="1820"/>
      <c r="GA338" s="1820"/>
      <c r="GB338" s="1821"/>
      <c r="GC338" s="1825">
        <f>FT338+FY338</f>
        <v>0</v>
      </c>
      <c r="GD338" s="1826"/>
      <c r="GE338" s="1826"/>
      <c r="GF338" s="1827"/>
      <c r="GH338" s="1750">
        <f>BL338+CB338+CR338+DU338</f>
        <v>0</v>
      </c>
      <c r="GI338" s="1751"/>
      <c r="GJ338" s="1751"/>
      <c r="GK338" s="1751"/>
      <c r="GL338" s="1750">
        <f>BO338+CE338+CU338+DH338</f>
        <v>0</v>
      </c>
      <c r="GM338" s="1751"/>
      <c r="GN338" s="1751"/>
      <c r="GO338" s="1752"/>
      <c r="GP338" s="385"/>
      <c r="GQ338" s="1750">
        <f>FD338+FQ338+EF338+EL338+ER338+IF(FY338&gt;0,0,FY338)</f>
        <v>0</v>
      </c>
      <c r="GR338" s="1751"/>
      <c r="GS338" s="1751"/>
      <c r="GT338" s="1752"/>
      <c r="GU338" s="192">
        <f t="shared" si="0"/>
        <v>0</v>
      </c>
      <c r="GV338" s="192">
        <f>SUM($GU$337:GU338)</f>
        <v>0</v>
      </c>
      <c r="GW338" s="386"/>
      <c r="HX338" s="380"/>
    </row>
    <row r="339" spans="3:232" ht="12.75" customHeight="1">
      <c r="D339" s="313"/>
      <c r="E339" s="247"/>
      <c r="F339" s="247"/>
      <c r="G339" s="247"/>
      <c r="H339" s="247"/>
      <c r="I339" s="247"/>
      <c r="J339" s="247"/>
      <c r="K339" s="247"/>
      <c r="L339" s="247"/>
      <c r="M339" s="247"/>
      <c r="N339" s="247"/>
      <c r="O339" s="247"/>
      <c r="P339" s="247"/>
      <c r="Q339" s="247"/>
      <c r="R339" s="247"/>
      <c r="S339" s="247"/>
      <c r="T339" s="247"/>
      <c r="U339" s="247"/>
      <c r="V339" s="247"/>
      <c r="W339" s="247"/>
      <c r="X339" s="247"/>
      <c r="Y339" s="247"/>
      <c r="Z339" s="247"/>
      <c r="AA339" s="247"/>
      <c r="AB339" s="251"/>
      <c r="AD339" s="247"/>
      <c r="AE339" s="247"/>
      <c r="AF339" s="247"/>
      <c r="AG339" s="247"/>
      <c r="AH339" s="247"/>
      <c r="AI339" s="247"/>
      <c r="AJ339" s="247"/>
      <c r="AK339" s="247"/>
      <c r="AL339" s="247"/>
      <c r="AM339" s="247"/>
      <c r="AN339" s="247"/>
      <c r="AO339" s="314"/>
      <c r="AX339" s="245"/>
      <c r="AY339" s="245"/>
      <c r="BD339" s="387">
        <f>IF($V$21&gt;0,0,-1)</f>
        <v>0</v>
      </c>
      <c r="BE339" s="382">
        <f>IF(BD338=0,IF(2&gt;$R$66-1,2,0),0)</f>
        <v>0</v>
      </c>
      <c r="BG339" s="383">
        <f>IF($BE339&gt;$R$66-1+($BR$335*12),2,0)</f>
        <v>0</v>
      </c>
      <c r="BH339" s="1747">
        <f t="shared" ref="BH339:BH387" si="16">IF(BR338&lt;=0,0,BR338)</f>
        <v>0</v>
      </c>
      <c r="BI339" s="1748"/>
      <c r="BJ339" s="1748"/>
      <c r="BK339" s="1749"/>
      <c r="BL339" s="1747">
        <f t="shared" ref="BL339:BL402" si="17">IF(BH339&lt;=BL338,BH339,IF(BG339&gt;0,IF($BG$334="R",$BR$332/(($BR$333-$X$92)*12),$BR$334/12-BO339),0))</f>
        <v>0</v>
      </c>
      <c r="BM339" s="1748"/>
      <c r="BN339" s="1749"/>
      <c r="BO339" s="1747">
        <f t="shared" si="3"/>
        <v>0</v>
      </c>
      <c r="BP339" s="1748"/>
      <c r="BQ339" s="1749"/>
      <c r="BR339" s="1747">
        <f t="shared" si="4"/>
        <v>0</v>
      </c>
      <c r="BS339" s="1748"/>
      <c r="BT339" s="1748"/>
      <c r="BU339" s="1749"/>
      <c r="BW339" s="383">
        <f>IF($BE339&gt;$R$66-1+($CH$335*12),2,0)</f>
        <v>0</v>
      </c>
      <c r="BX339" s="1747">
        <f>IF(CH338&lt;=0,0,CH338)</f>
        <v>0</v>
      </c>
      <c r="BY339" s="1748"/>
      <c r="BZ339" s="1748"/>
      <c r="CA339" s="1749"/>
      <c r="CB339" s="1747">
        <f t="shared" ref="CB339:CB402" si="18">IF(BX339&lt;=CB338,BX339,IF(BW339&gt;0,IF($BW$334="R",$CH$332/(($CH$333-$X$94)*12),$CH$334/12-CE339),0))</f>
        <v>0</v>
      </c>
      <c r="CC339" s="1748"/>
      <c r="CD339" s="1749"/>
      <c r="CE339" s="1747">
        <f t="shared" si="5"/>
        <v>0</v>
      </c>
      <c r="CF339" s="1748"/>
      <c r="CG339" s="1749"/>
      <c r="CH339" s="1747">
        <f t="shared" si="6"/>
        <v>0</v>
      </c>
      <c r="CI339" s="1748"/>
      <c r="CJ339" s="1748"/>
      <c r="CK339" s="1749"/>
      <c r="CM339" s="383">
        <f>IF($BE339&gt;$R$66-1+($CX$335*12),2,0)</f>
        <v>0</v>
      </c>
      <c r="CN339" s="1747">
        <f t="shared" ref="CN339:CN387" si="19">IF(CX338&lt;=0,0,CX338)</f>
        <v>0</v>
      </c>
      <c r="CO339" s="1748"/>
      <c r="CP339" s="1748"/>
      <c r="CQ339" s="1749"/>
      <c r="CR339" s="1747">
        <f t="shared" ref="CR339:CR402" si="20">IF(CN339&lt;=CR338,CN339,IF(CM339&gt;0,IF($CM$334="R",$CX$332/(($CX$333-$X$96)*12),$CX$334/12-CU339),0))</f>
        <v>0</v>
      </c>
      <c r="CS339" s="1748"/>
      <c r="CT339" s="1749"/>
      <c r="CU339" s="1747">
        <f t="shared" si="7"/>
        <v>0</v>
      </c>
      <c r="CV339" s="1748"/>
      <c r="CW339" s="1749"/>
      <c r="CX339" s="1747">
        <f t="shared" si="8"/>
        <v>0</v>
      </c>
      <c r="CY339" s="1748"/>
      <c r="CZ339" s="1748"/>
      <c r="DA339" s="1749"/>
      <c r="DC339" s="383">
        <f>IF($BE339&gt;$R$66-1,2,0)</f>
        <v>0</v>
      </c>
      <c r="DD339" s="1747">
        <f>IF(DK338&lt;=0,0,DK338)</f>
        <v>0</v>
      </c>
      <c r="DE339" s="1748"/>
      <c r="DF339" s="1748"/>
      <c r="DG339" s="1749"/>
      <c r="DH339" s="1747">
        <f t="shared" ref="DH339:DH402" si="21">IF($BE339&gt;0,DD339*$DE$335/(100*12),0)</f>
        <v>0</v>
      </c>
      <c r="DI339" s="1748"/>
      <c r="DJ339" s="1749"/>
      <c r="DK339" s="1747">
        <f t="shared" si="9"/>
        <v>0</v>
      </c>
      <c r="DL339" s="1748"/>
      <c r="DM339" s="1748"/>
      <c r="DN339" s="1749"/>
      <c r="DP339" s="383">
        <f t="shared" ref="DP339:DP402" si="22">DC339</f>
        <v>0</v>
      </c>
      <c r="DQ339" s="1747">
        <f t="shared" ref="DQ339:DQ402" si="23">IF(DD339=0,0,IF(EA338&lt;=0,0,EA338))</f>
        <v>0</v>
      </c>
      <c r="DR339" s="1748"/>
      <c r="DS339" s="1748"/>
      <c r="DT339" s="1749"/>
      <c r="DU339" s="1747">
        <f t="shared" si="10"/>
        <v>0</v>
      </c>
      <c r="DV339" s="1748"/>
      <c r="DW339" s="1749"/>
      <c r="DX339" s="1747">
        <f t="shared" ref="DX339:DX349" si="24">(DQ339+DU339)*($DR$335/100)/12</f>
        <v>0</v>
      </c>
      <c r="DY339" s="1748"/>
      <c r="DZ339" s="1749"/>
      <c r="EA339" s="1747">
        <f>DQ339+DU339+DX339</f>
        <v>0</v>
      </c>
      <c r="EB339" s="1748"/>
      <c r="EC339" s="1748"/>
      <c r="ED339" s="1749"/>
      <c r="EE339" s="384"/>
      <c r="EF339" s="1750">
        <f t="shared" si="11"/>
        <v>0</v>
      </c>
      <c r="EG339" s="1751"/>
      <c r="EH339" s="1751"/>
      <c r="EI339" s="1751"/>
      <c r="EJ339" s="1752"/>
      <c r="EL339" s="1750">
        <f t="shared" ref="EL339:EL349" si="25">IF(AND($BE338=0,$BE339&gt;0),$AB$191,0)</f>
        <v>0</v>
      </c>
      <c r="EM339" s="1751"/>
      <c r="EN339" s="1751"/>
      <c r="EO339" s="1751"/>
      <c r="EP339" s="1752"/>
      <c r="ER339" s="1750">
        <f t="shared" si="12"/>
        <v>0</v>
      </c>
      <c r="ES339" s="1751"/>
      <c r="ET339" s="1751"/>
      <c r="EU339" s="1751"/>
      <c r="EV339" s="1752"/>
      <c r="EX339" s="1750">
        <f>IF(BE339&gt;0,Einstrahlung!$K$12*Kalkulation!$P$62/100*$AY$29,0)</f>
        <v>0</v>
      </c>
      <c r="EY339" s="1751"/>
      <c r="EZ339" s="1751"/>
      <c r="FA339" s="1751"/>
      <c r="FB339" s="1752"/>
      <c r="FC339" s="454">
        <f t="shared" ref="FC339:FC349" si="26">IF(EX339&gt;0,1,0)</f>
        <v>0</v>
      </c>
      <c r="FD339" s="1750">
        <f t="shared" ref="FD339:FD402" si="27">((FJ339*$BS$147/100*$AZ$151)+(FJ339*$BS$149/100*$AZ$153)+(FJ339*$BS$151/100*$AZ$155)+(FJ339*$BS$153/100*$AZ$157)+(FJ339*$BS$155/100*$AZ$159))</f>
        <v>0</v>
      </c>
      <c r="FE339" s="1751"/>
      <c r="FF339" s="1751"/>
      <c r="FG339" s="1751"/>
      <c r="FH339" s="1752"/>
      <c r="FI339" s="454"/>
      <c r="FJ339" s="380">
        <f>EX339-FL339</f>
        <v>0</v>
      </c>
      <c r="FK339" s="838">
        <f t="shared" ref="FK339:FK349" si="28">IF($FK$333&gt;0,1,0)</f>
        <v>0</v>
      </c>
      <c r="FL339" s="380">
        <f>IF(FC337=0,0,IF(FK339=1,0,IF(BE339&gt;0,IF($FL$336&gt;SUM($EX$338:$FB$349),SUM($EX$338:$FB$349)/12,$FL$336/12),0)))</f>
        <v>0</v>
      </c>
      <c r="FM339" s="385"/>
      <c r="FN339" s="380">
        <f t="shared" ref="FN339:FN402" si="29">FL339*$FN$336</f>
        <v>0</v>
      </c>
      <c r="FO339" s="962">
        <f>FO338+1</f>
        <v>131</v>
      </c>
      <c r="FP339" s="956">
        <f t="shared" si="13"/>
        <v>0.4</v>
      </c>
      <c r="FQ339" s="380">
        <f t="shared" si="14"/>
        <v>0</v>
      </c>
      <c r="FR339" s="626">
        <f t="shared" si="15"/>
        <v>0</v>
      </c>
      <c r="FS339" s="616"/>
      <c r="FT339" s="1819">
        <f>GC338+(FD339+FQ339)-(GH339+GL339)+(EF339+EL339+ER339)</f>
        <v>0</v>
      </c>
      <c r="FU339" s="1820"/>
      <c r="FV339" s="1820"/>
      <c r="FW339" s="1820"/>
      <c r="FX339" s="1821"/>
      <c r="FY339" s="1819">
        <f t="shared" ref="FY339:FY402" si="30">IF(BE339=0,0,IF((FT338+FT339)/2&lt;0,(FT339+FT338)/2*$AD$239/12/100,(FT339+FT338)/2*$AD$238/12/100))</f>
        <v>0</v>
      </c>
      <c r="FZ339" s="1820"/>
      <c r="GA339" s="1820"/>
      <c r="GB339" s="1821"/>
      <c r="GC339" s="1825">
        <f t="shared" ref="GC339:GC350" si="31">FT339+FY339</f>
        <v>0</v>
      </c>
      <c r="GD339" s="1826"/>
      <c r="GE339" s="1826"/>
      <c r="GF339" s="1827"/>
      <c r="GH339" s="1750">
        <f t="shared" ref="GH339:GH402" si="32">BL339+CB339+CR339+DU339</f>
        <v>0</v>
      </c>
      <c r="GI339" s="1751"/>
      <c r="GJ339" s="1751"/>
      <c r="GK339" s="1752"/>
      <c r="GL339" s="1750">
        <f t="shared" ref="GL339:GL402" si="33">BO339+CE339+CU339+DH339</f>
        <v>0</v>
      </c>
      <c r="GM339" s="1751"/>
      <c r="GN339" s="1751"/>
      <c r="GO339" s="1752"/>
      <c r="GP339" s="385"/>
      <c r="GQ339" s="1750">
        <f t="shared" ref="GQ339:GQ402" si="34">FD339+FQ339+EF339+EL339+ER339+IF(FY339&gt;0,0,FY339)</f>
        <v>0</v>
      </c>
      <c r="GR339" s="1751"/>
      <c r="GS339" s="1751"/>
      <c r="GT339" s="1752"/>
      <c r="GU339" s="192">
        <f t="shared" si="0"/>
        <v>0</v>
      </c>
      <c r="GV339" s="192">
        <f>SUM($GU$337:GU339)</f>
        <v>0</v>
      </c>
      <c r="GW339" s="318"/>
      <c r="HX339" s="380"/>
    </row>
    <row r="340" spans="3:232" ht="12.75" customHeight="1">
      <c r="D340" s="313"/>
      <c r="E340" s="247"/>
      <c r="F340" s="247"/>
      <c r="G340" s="247"/>
      <c r="H340" s="247"/>
      <c r="I340" s="247"/>
      <c r="J340" s="247"/>
      <c r="K340" s="247"/>
      <c r="L340" s="247"/>
      <c r="M340" s="247"/>
      <c r="N340" s="247"/>
      <c r="O340" s="247"/>
      <c r="P340" s="247"/>
      <c r="Q340" s="247"/>
      <c r="R340" s="247"/>
      <c r="S340" s="247"/>
      <c r="T340" s="247"/>
      <c r="U340" s="247"/>
      <c r="V340" s="247"/>
      <c r="W340" s="247"/>
      <c r="X340" s="247"/>
      <c r="Y340" s="247"/>
      <c r="Z340" s="247"/>
      <c r="AA340" s="247"/>
      <c r="AB340" s="251"/>
      <c r="AD340" s="247"/>
      <c r="AE340" s="247"/>
      <c r="AF340" s="247"/>
      <c r="AG340" s="247"/>
      <c r="AH340" s="247"/>
      <c r="AI340" s="247"/>
      <c r="AJ340" s="247"/>
      <c r="AK340" s="247"/>
      <c r="AL340" s="247"/>
      <c r="AM340" s="247"/>
      <c r="AN340" s="247"/>
      <c r="AO340" s="314"/>
      <c r="AX340" s="245"/>
      <c r="AY340" s="245"/>
      <c r="BD340" s="387">
        <f>IF($V$21&gt;0,0,-1)</f>
        <v>0</v>
      </c>
      <c r="BE340" s="382">
        <f>IF(BD338=0,IF(3&gt;$R$66-1,3,0),0)</f>
        <v>0</v>
      </c>
      <c r="BG340" s="383">
        <f>IF($BE340&gt;$R$66-1+($BR$335*12),3,0)</f>
        <v>0</v>
      </c>
      <c r="BH340" s="1747">
        <f t="shared" si="16"/>
        <v>0</v>
      </c>
      <c r="BI340" s="1748"/>
      <c r="BJ340" s="1748"/>
      <c r="BK340" s="1749"/>
      <c r="BL340" s="1747">
        <f t="shared" si="17"/>
        <v>0</v>
      </c>
      <c r="BM340" s="1748"/>
      <c r="BN340" s="1749"/>
      <c r="BO340" s="1747">
        <f t="shared" si="3"/>
        <v>0</v>
      </c>
      <c r="BP340" s="1748"/>
      <c r="BQ340" s="1749"/>
      <c r="BR340" s="1747">
        <f t="shared" si="4"/>
        <v>0</v>
      </c>
      <c r="BS340" s="1748"/>
      <c r="BT340" s="1748"/>
      <c r="BU340" s="1749"/>
      <c r="BW340" s="383">
        <f>IF($BE340&gt;$R$66-1+($CH$335*12),3,0)</f>
        <v>0</v>
      </c>
      <c r="BX340" s="1747">
        <f t="shared" ref="BX340:BX387" si="35">IF(CH339&lt;=0,0,CH339)</f>
        <v>0</v>
      </c>
      <c r="BY340" s="1748"/>
      <c r="BZ340" s="1748"/>
      <c r="CA340" s="1749"/>
      <c r="CB340" s="1747">
        <f t="shared" si="18"/>
        <v>0</v>
      </c>
      <c r="CC340" s="1748"/>
      <c r="CD340" s="1749"/>
      <c r="CE340" s="1747">
        <f t="shared" si="5"/>
        <v>0</v>
      </c>
      <c r="CF340" s="1748"/>
      <c r="CG340" s="1749"/>
      <c r="CH340" s="1747">
        <f t="shared" si="6"/>
        <v>0</v>
      </c>
      <c r="CI340" s="1748"/>
      <c r="CJ340" s="1748"/>
      <c r="CK340" s="1749"/>
      <c r="CM340" s="383">
        <f>IF($BE340&gt;$R$66-1+($CX$335*12),3,0)</f>
        <v>0</v>
      </c>
      <c r="CN340" s="1747">
        <f t="shared" si="19"/>
        <v>0</v>
      </c>
      <c r="CO340" s="1748"/>
      <c r="CP340" s="1748"/>
      <c r="CQ340" s="1749"/>
      <c r="CR340" s="1747">
        <f t="shared" si="20"/>
        <v>0</v>
      </c>
      <c r="CS340" s="1748"/>
      <c r="CT340" s="1749"/>
      <c r="CU340" s="1747">
        <f t="shared" si="7"/>
        <v>0</v>
      </c>
      <c r="CV340" s="1748"/>
      <c r="CW340" s="1749"/>
      <c r="CX340" s="1747">
        <f t="shared" si="8"/>
        <v>0</v>
      </c>
      <c r="CY340" s="1748"/>
      <c r="CZ340" s="1748"/>
      <c r="DA340" s="1749"/>
      <c r="DC340" s="383">
        <f>IF($BE340&gt;$R$66-1,3,0)</f>
        <v>0</v>
      </c>
      <c r="DD340" s="1747">
        <f>IF(DK339&lt;=0,0,DK339)</f>
        <v>0</v>
      </c>
      <c r="DE340" s="1748"/>
      <c r="DF340" s="1748"/>
      <c r="DG340" s="1749"/>
      <c r="DH340" s="1747">
        <f t="shared" si="21"/>
        <v>0</v>
      </c>
      <c r="DI340" s="1748"/>
      <c r="DJ340" s="1749"/>
      <c r="DK340" s="1747">
        <f t="shared" si="9"/>
        <v>0</v>
      </c>
      <c r="DL340" s="1748"/>
      <c r="DM340" s="1748"/>
      <c r="DN340" s="1749"/>
      <c r="DP340" s="383">
        <f t="shared" si="22"/>
        <v>0</v>
      </c>
      <c r="DQ340" s="1747">
        <f t="shared" si="23"/>
        <v>0</v>
      </c>
      <c r="DR340" s="1748"/>
      <c r="DS340" s="1748"/>
      <c r="DT340" s="1749"/>
      <c r="DU340" s="1747">
        <f t="shared" si="10"/>
        <v>0</v>
      </c>
      <c r="DV340" s="1748"/>
      <c r="DW340" s="1749"/>
      <c r="DX340" s="1747">
        <f t="shared" si="24"/>
        <v>0</v>
      </c>
      <c r="DY340" s="1748"/>
      <c r="DZ340" s="1749"/>
      <c r="EA340" s="1747">
        <f t="shared" ref="EA340:EA349" si="36">DQ340+DU340+DX340</f>
        <v>0</v>
      </c>
      <c r="EB340" s="1748"/>
      <c r="EC340" s="1748"/>
      <c r="ED340" s="1749"/>
      <c r="EE340" s="384"/>
      <c r="EF340" s="1750">
        <f t="shared" si="11"/>
        <v>0</v>
      </c>
      <c r="EG340" s="1751"/>
      <c r="EH340" s="1751"/>
      <c r="EI340" s="1751"/>
      <c r="EJ340" s="1752"/>
      <c r="EL340" s="1750">
        <f t="shared" si="25"/>
        <v>0</v>
      </c>
      <c r="EM340" s="1751"/>
      <c r="EN340" s="1751"/>
      <c r="EO340" s="1751"/>
      <c r="EP340" s="1752"/>
      <c r="ER340" s="1750">
        <f t="shared" si="12"/>
        <v>0</v>
      </c>
      <c r="ES340" s="1751"/>
      <c r="ET340" s="1751"/>
      <c r="EU340" s="1751"/>
      <c r="EV340" s="1752"/>
      <c r="EX340" s="1750">
        <f>IF(BE340&gt;0,Einstrahlung!$K$14*Kalkulation!$P$62/100*$AY$29,0)</f>
        <v>0</v>
      </c>
      <c r="EY340" s="1751"/>
      <c r="EZ340" s="1751"/>
      <c r="FA340" s="1751"/>
      <c r="FB340" s="1752"/>
      <c r="FC340" s="454">
        <f t="shared" si="26"/>
        <v>0</v>
      </c>
      <c r="FD340" s="1750">
        <f t="shared" si="27"/>
        <v>0</v>
      </c>
      <c r="FE340" s="1751"/>
      <c r="FF340" s="1751"/>
      <c r="FG340" s="1751"/>
      <c r="FH340" s="1752"/>
      <c r="FI340" s="454"/>
      <c r="FJ340" s="380">
        <f>EX340-FL340</f>
        <v>0</v>
      </c>
      <c r="FK340" s="838">
        <f t="shared" si="28"/>
        <v>0</v>
      </c>
      <c r="FL340" s="380">
        <f>IF(FC337=0,0,IF(FK340=1,0,IF(BE340&gt;0,IF($FL$336&gt;SUM($EX$338:$FB$349),SUM($EX$338:$FB$349)/12,$FL$336/12),0)))</f>
        <v>0</v>
      </c>
      <c r="FM340" s="385"/>
      <c r="FN340" s="380">
        <f t="shared" si="29"/>
        <v>0</v>
      </c>
      <c r="FO340" s="962">
        <f t="shared" ref="FO340:FO403" si="37">FO339+1</f>
        <v>132</v>
      </c>
      <c r="FP340" s="956">
        <f t="shared" si="13"/>
        <v>0.4</v>
      </c>
      <c r="FQ340" s="380">
        <f t="shared" si="14"/>
        <v>0</v>
      </c>
      <c r="FR340" s="626">
        <f t="shared" si="15"/>
        <v>0</v>
      </c>
      <c r="FS340" s="616"/>
      <c r="FT340" s="1819">
        <f t="shared" ref="FT340:FT403" si="38">GC339+(FD340+FQ340)-(GH340+GL340)+(EF340+EL340+ER340)</f>
        <v>0</v>
      </c>
      <c r="FU340" s="1820"/>
      <c r="FV340" s="1820"/>
      <c r="FW340" s="1820"/>
      <c r="FX340" s="1821"/>
      <c r="FY340" s="1819">
        <f t="shared" si="30"/>
        <v>0</v>
      </c>
      <c r="FZ340" s="1820"/>
      <c r="GA340" s="1820"/>
      <c r="GB340" s="1821"/>
      <c r="GC340" s="1825">
        <f t="shared" si="31"/>
        <v>0</v>
      </c>
      <c r="GD340" s="1826"/>
      <c r="GE340" s="1826"/>
      <c r="GF340" s="1827"/>
      <c r="GH340" s="1750">
        <f t="shared" si="32"/>
        <v>0</v>
      </c>
      <c r="GI340" s="1751"/>
      <c r="GJ340" s="1751"/>
      <c r="GK340" s="1752"/>
      <c r="GL340" s="1750">
        <f t="shared" si="33"/>
        <v>0</v>
      </c>
      <c r="GM340" s="1751"/>
      <c r="GN340" s="1751"/>
      <c r="GO340" s="1752"/>
      <c r="GP340" s="385"/>
      <c r="GQ340" s="1750">
        <f t="shared" si="34"/>
        <v>0</v>
      </c>
      <c r="GR340" s="1751"/>
      <c r="GS340" s="1751"/>
      <c r="GT340" s="1752"/>
      <c r="GU340" s="192">
        <f t="shared" si="0"/>
        <v>0</v>
      </c>
      <c r="GV340" s="192">
        <f>SUM($GU$337:GU340)</f>
        <v>0</v>
      </c>
      <c r="GW340" s="318"/>
      <c r="HX340" s="380"/>
    </row>
    <row r="341" spans="3:232" ht="12.75" customHeight="1">
      <c r="D341" s="313"/>
      <c r="E341" s="247"/>
      <c r="F341" s="247"/>
      <c r="G341" s="247"/>
      <c r="H341" s="247"/>
      <c r="I341" s="247"/>
      <c r="J341" s="247"/>
      <c r="K341" s="247"/>
      <c r="L341" s="247"/>
      <c r="M341" s="247"/>
      <c r="N341" s="247"/>
      <c r="O341" s="247"/>
      <c r="P341" s="247"/>
      <c r="Q341" s="247"/>
      <c r="R341" s="247"/>
      <c r="S341" s="247"/>
      <c r="T341" s="247"/>
      <c r="U341" s="247"/>
      <c r="V341" s="247"/>
      <c r="W341" s="247"/>
      <c r="X341" s="247"/>
      <c r="Y341" s="247"/>
      <c r="Z341" s="247"/>
      <c r="AA341" s="247"/>
      <c r="AB341" s="251"/>
      <c r="AD341" s="247"/>
      <c r="AE341" s="247"/>
      <c r="AF341" s="247"/>
      <c r="AG341" s="247"/>
      <c r="AH341" s="247"/>
      <c r="AI341" s="247"/>
      <c r="AJ341" s="247"/>
      <c r="AK341" s="247"/>
      <c r="AL341" s="247"/>
      <c r="AM341" s="247"/>
      <c r="AN341" s="247"/>
      <c r="AO341" s="314"/>
      <c r="AX341" s="245"/>
      <c r="AY341" s="245"/>
      <c r="AZ341" s="374"/>
      <c r="BA341" s="374"/>
      <c r="BB341" s="374"/>
      <c r="BD341" s="387">
        <f>IF($V$21&gt;0,0,-1)</f>
        <v>0</v>
      </c>
      <c r="BE341" s="382">
        <f>IF(BD338=0,IF(4&gt;$R$66-1,4,0),0)</f>
        <v>0</v>
      </c>
      <c r="BG341" s="383">
        <f>IF($BE341&gt;$R$66-1+($BR$335*12),4,0)</f>
        <v>0</v>
      </c>
      <c r="BH341" s="1747">
        <f t="shared" si="16"/>
        <v>0</v>
      </c>
      <c r="BI341" s="1748"/>
      <c r="BJ341" s="1748"/>
      <c r="BK341" s="1749"/>
      <c r="BL341" s="1747">
        <f t="shared" si="17"/>
        <v>0</v>
      </c>
      <c r="BM341" s="1748"/>
      <c r="BN341" s="1749"/>
      <c r="BO341" s="1747">
        <f t="shared" si="3"/>
        <v>0</v>
      </c>
      <c r="BP341" s="1748"/>
      <c r="BQ341" s="1749"/>
      <c r="BR341" s="1747">
        <f t="shared" si="4"/>
        <v>0</v>
      </c>
      <c r="BS341" s="1748"/>
      <c r="BT341" s="1748"/>
      <c r="BU341" s="1749"/>
      <c r="BW341" s="383">
        <f>IF($BE341&gt;$R$66-1+($CH$335*12),4,0)</f>
        <v>0</v>
      </c>
      <c r="BX341" s="1747">
        <f t="shared" si="35"/>
        <v>0</v>
      </c>
      <c r="BY341" s="1748"/>
      <c r="BZ341" s="1748"/>
      <c r="CA341" s="1749"/>
      <c r="CB341" s="1747">
        <f t="shared" si="18"/>
        <v>0</v>
      </c>
      <c r="CC341" s="1748"/>
      <c r="CD341" s="1749"/>
      <c r="CE341" s="1747">
        <f t="shared" si="5"/>
        <v>0</v>
      </c>
      <c r="CF341" s="1748"/>
      <c r="CG341" s="1749"/>
      <c r="CH341" s="1747">
        <f t="shared" si="6"/>
        <v>0</v>
      </c>
      <c r="CI341" s="1748"/>
      <c r="CJ341" s="1748"/>
      <c r="CK341" s="1749"/>
      <c r="CM341" s="383">
        <f>IF($BE341&gt;$R$66-1+($CX$335*12),4,0)</f>
        <v>0</v>
      </c>
      <c r="CN341" s="1747">
        <f t="shared" si="19"/>
        <v>0</v>
      </c>
      <c r="CO341" s="1748"/>
      <c r="CP341" s="1748"/>
      <c r="CQ341" s="1749"/>
      <c r="CR341" s="1747">
        <f t="shared" si="20"/>
        <v>0</v>
      </c>
      <c r="CS341" s="1748"/>
      <c r="CT341" s="1749"/>
      <c r="CU341" s="1747">
        <f t="shared" si="7"/>
        <v>0</v>
      </c>
      <c r="CV341" s="1748"/>
      <c r="CW341" s="1749"/>
      <c r="CX341" s="1747">
        <f t="shared" si="8"/>
        <v>0</v>
      </c>
      <c r="CY341" s="1748"/>
      <c r="CZ341" s="1748"/>
      <c r="DA341" s="1749"/>
      <c r="DC341" s="383">
        <f>IF($BE341&gt;$R$66-1,4,0)</f>
        <v>0</v>
      </c>
      <c r="DD341" s="1747">
        <f>IF(DK340&lt;=0,0,DK340)</f>
        <v>0</v>
      </c>
      <c r="DE341" s="1748"/>
      <c r="DF341" s="1748"/>
      <c r="DG341" s="1749"/>
      <c r="DH341" s="1747">
        <f t="shared" si="21"/>
        <v>0</v>
      </c>
      <c r="DI341" s="1748"/>
      <c r="DJ341" s="1749"/>
      <c r="DK341" s="1747">
        <f t="shared" si="9"/>
        <v>0</v>
      </c>
      <c r="DL341" s="1748"/>
      <c r="DM341" s="1748"/>
      <c r="DN341" s="1749"/>
      <c r="DP341" s="383">
        <f t="shared" si="22"/>
        <v>0</v>
      </c>
      <c r="DQ341" s="1747">
        <f t="shared" si="23"/>
        <v>0</v>
      </c>
      <c r="DR341" s="1748"/>
      <c r="DS341" s="1748"/>
      <c r="DT341" s="1749"/>
      <c r="DU341" s="1747">
        <f t="shared" si="10"/>
        <v>0</v>
      </c>
      <c r="DV341" s="1748"/>
      <c r="DW341" s="1749"/>
      <c r="DX341" s="1747">
        <f t="shared" si="24"/>
        <v>0</v>
      </c>
      <c r="DY341" s="1748"/>
      <c r="DZ341" s="1749"/>
      <c r="EA341" s="1747">
        <f t="shared" si="36"/>
        <v>0</v>
      </c>
      <c r="EB341" s="1748"/>
      <c r="EC341" s="1748"/>
      <c r="ED341" s="1749"/>
      <c r="EE341" s="384"/>
      <c r="EF341" s="1750">
        <f t="shared" si="11"/>
        <v>0</v>
      </c>
      <c r="EG341" s="1751"/>
      <c r="EH341" s="1751"/>
      <c r="EI341" s="1751"/>
      <c r="EJ341" s="1752"/>
      <c r="EL341" s="1750">
        <f t="shared" si="25"/>
        <v>0</v>
      </c>
      <c r="EM341" s="1751"/>
      <c r="EN341" s="1751"/>
      <c r="EO341" s="1751"/>
      <c r="EP341" s="1752"/>
      <c r="ER341" s="1750">
        <f t="shared" si="12"/>
        <v>0</v>
      </c>
      <c r="ES341" s="1751"/>
      <c r="ET341" s="1751"/>
      <c r="EU341" s="1751"/>
      <c r="EV341" s="1752"/>
      <c r="EX341" s="1750">
        <f>IF(BE341&gt;0,Einstrahlung!$K$16*Kalkulation!$P$62/100*$AY$29,0)</f>
        <v>0</v>
      </c>
      <c r="EY341" s="1751"/>
      <c r="EZ341" s="1751"/>
      <c r="FA341" s="1751"/>
      <c r="FB341" s="1752"/>
      <c r="FC341" s="454">
        <f t="shared" si="26"/>
        <v>0</v>
      </c>
      <c r="FD341" s="1750">
        <f t="shared" si="27"/>
        <v>0</v>
      </c>
      <c r="FE341" s="1751"/>
      <c r="FF341" s="1751"/>
      <c r="FG341" s="1751"/>
      <c r="FH341" s="1752"/>
      <c r="FI341" s="454"/>
      <c r="FJ341" s="380">
        <f>EX341-FL341</f>
        <v>0</v>
      </c>
      <c r="FK341" s="838">
        <f t="shared" si="28"/>
        <v>0</v>
      </c>
      <c r="FL341" s="380">
        <f>IF(FC337=0,0,IF(FK341=1,0,IF(BE341&gt;0,IF($FL$336&gt;SUM($EX$338:$FB$349),SUM($EX$338:$FB$349)/12,$FL$336/12),0)))</f>
        <v>0</v>
      </c>
      <c r="FM341" s="385"/>
      <c r="FN341" s="380">
        <f t="shared" si="29"/>
        <v>0</v>
      </c>
      <c r="FO341" s="962">
        <f t="shared" si="37"/>
        <v>133</v>
      </c>
      <c r="FP341" s="956">
        <f t="shared" si="13"/>
        <v>0.4</v>
      </c>
      <c r="FQ341" s="380">
        <f t="shared" si="14"/>
        <v>0</v>
      </c>
      <c r="FR341" s="626">
        <f t="shared" si="15"/>
        <v>0</v>
      </c>
      <c r="FS341" s="616"/>
      <c r="FT341" s="1819">
        <f t="shared" si="38"/>
        <v>0</v>
      </c>
      <c r="FU341" s="1820"/>
      <c r="FV341" s="1820"/>
      <c r="FW341" s="1820"/>
      <c r="FX341" s="1821"/>
      <c r="FY341" s="1819">
        <f t="shared" si="30"/>
        <v>0</v>
      </c>
      <c r="FZ341" s="1820"/>
      <c r="GA341" s="1820"/>
      <c r="GB341" s="1821"/>
      <c r="GC341" s="1825">
        <f t="shared" si="31"/>
        <v>0</v>
      </c>
      <c r="GD341" s="1826"/>
      <c r="GE341" s="1826"/>
      <c r="GF341" s="1827"/>
      <c r="GH341" s="1750">
        <f t="shared" si="32"/>
        <v>0</v>
      </c>
      <c r="GI341" s="1751"/>
      <c r="GJ341" s="1751"/>
      <c r="GK341" s="1752"/>
      <c r="GL341" s="1750">
        <f t="shared" si="33"/>
        <v>0</v>
      </c>
      <c r="GM341" s="1751"/>
      <c r="GN341" s="1751"/>
      <c r="GO341" s="1752"/>
      <c r="GP341" s="385"/>
      <c r="GQ341" s="1750">
        <f t="shared" si="34"/>
        <v>0</v>
      </c>
      <c r="GR341" s="1751"/>
      <c r="GS341" s="1751"/>
      <c r="GT341" s="1752"/>
      <c r="GU341" s="192">
        <f t="shared" si="0"/>
        <v>0</v>
      </c>
      <c r="GV341" s="192">
        <f>SUM($GU$337:GU341)</f>
        <v>0</v>
      </c>
      <c r="GW341" s="318"/>
      <c r="HX341" s="380"/>
    </row>
    <row r="342" spans="3:232" ht="12.75" customHeight="1">
      <c r="D342" s="313"/>
      <c r="E342" s="247"/>
      <c r="F342" s="247"/>
      <c r="G342" s="247"/>
      <c r="H342" s="247"/>
      <c r="I342" s="247"/>
      <c r="J342" s="247"/>
      <c r="K342" s="247"/>
      <c r="L342" s="247"/>
      <c r="M342" s="247"/>
      <c r="N342" s="247"/>
      <c r="O342" s="247"/>
      <c r="P342" s="247"/>
      <c r="Q342" s="247"/>
      <c r="R342" s="247"/>
      <c r="S342" s="247"/>
      <c r="T342" s="247"/>
      <c r="U342" s="247"/>
      <c r="V342" s="247"/>
      <c r="W342" s="247"/>
      <c r="X342" s="247"/>
      <c r="Y342" s="247"/>
      <c r="Z342" s="247"/>
      <c r="AA342" s="247"/>
      <c r="AB342" s="251"/>
      <c r="AD342" s="247"/>
      <c r="AE342" s="247"/>
      <c r="AF342" s="247"/>
      <c r="AG342" s="247"/>
      <c r="AH342" s="247"/>
      <c r="AI342" s="247"/>
      <c r="AJ342" s="247"/>
      <c r="AK342" s="247"/>
      <c r="AL342" s="247"/>
      <c r="AM342" s="247"/>
      <c r="AN342" s="247"/>
      <c r="AO342" s="314"/>
      <c r="AX342" s="245"/>
      <c r="AY342" s="245"/>
      <c r="BD342" s="387">
        <f t="shared" ref="BD342:BD349" si="39">IF($V$21&gt;0,0,-1)</f>
        <v>0</v>
      </c>
      <c r="BE342" s="382">
        <f>IF(BD338=0,IF(5&gt;$R$66-1,5,0),0)</f>
        <v>0</v>
      </c>
      <c r="BG342" s="383">
        <f>IF($BE342&gt;$R$66-1+($BR$335*12),5,0)</f>
        <v>0</v>
      </c>
      <c r="BH342" s="1747">
        <f>IF(BR341&lt;=0,0,BR341)</f>
        <v>0</v>
      </c>
      <c r="BI342" s="1748"/>
      <c r="BJ342" s="1748"/>
      <c r="BK342" s="1749"/>
      <c r="BL342" s="1747">
        <f t="shared" si="17"/>
        <v>0</v>
      </c>
      <c r="BM342" s="1748"/>
      <c r="BN342" s="1749"/>
      <c r="BO342" s="1747">
        <f t="shared" si="3"/>
        <v>0</v>
      </c>
      <c r="BP342" s="1748"/>
      <c r="BQ342" s="1749"/>
      <c r="BR342" s="1747">
        <f t="shared" si="4"/>
        <v>0</v>
      </c>
      <c r="BS342" s="1748"/>
      <c r="BT342" s="1748"/>
      <c r="BU342" s="1749"/>
      <c r="BW342" s="383">
        <f>IF($BE342&gt;$R$66-1+($CH$335*12),5,0)</f>
        <v>0</v>
      </c>
      <c r="BX342" s="1747">
        <f>IF(CH341&lt;=0,0,CH341)</f>
        <v>0</v>
      </c>
      <c r="BY342" s="1748"/>
      <c r="BZ342" s="1748"/>
      <c r="CA342" s="1749"/>
      <c r="CB342" s="1747">
        <f t="shared" si="18"/>
        <v>0</v>
      </c>
      <c r="CC342" s="1748"/>
      <c r="CD342" s="1749"/>
      <c r="CE342" s="1747">
        <f t="shared" si="5"/>
        <v>0</v>
      </c>
      <c r="CF342" s="1748"/>
      <c r="CG342" s="1749"/>
      <c r="CH342" s="1747">
        <f t="shared" si="6"/>
        <v>0</v>
      </c>
      <c r="CI342" s="1748"/>
      <c r="CJ342" s="1748"/>
      <c r="CK342" s="1749"/>
      <c r="CM342" s="383">
        <f>IF($BE342&gt;$R$66-1+($CX$335*12),5,0)</f>
        <v>0</v>
      </c>
      <c r="CN342" s="1747">
        <f>IF(CX341&lt;=0,0,CX341)</f>
        <v>0</v>
      </c>
      <c r="CO342" s="1748"/>
      <c r="CP342" s="1748"/>
      <c r="CQ342" s="1749"/>
      <c r="CR342" s="1747">
        <f t="shared" si="20"/>
        <v>0</v>
      </c>
      <c r="CS342" s="1748"/>
      <c r="CT342" s="1749"/>
      <c r="CU342" s="1747">
        <f t="shared" si="7"/>
        <v>0</v>
      </c>
      <c r="CV342" s="1748"/>
      <c r="CW342" s="1749"/>
      <c r="CX342" s="1747">
        <f t="shared" si="8"/>
        <v>0</v>
      </c>
      <c r="CY342" s="1748"/>
      <c r="CZ342" s="1748"/>
      <c r="DA342" s="1749"/>
      <c r="DC342" s="383">
        <f>IF($BE342&gt;$R$66-1,5,0)</f>
        <v>0</v>
      </c>
      <c r="DD342" s="1747">
        <f>IF(DK341&lt;=0,0,DK341)</f>
        <v>0</v>
      </c>
      <c r="DE342" s="1748"/>
      <c r="DF342" s="1748"/>
      <c r="DG342" s="1749"/>
      <c r="DH342" s="1747">
        <f t="shared" si="21"/>
        <v>0</v>
      </c>
      <c r="DI342" s="1748"/>
      <c r="DJ342" s="1749"/>
      <c r="DK342" s="1747">
        <f t="shared" si="9"/>
        <v>0</v>
      </c>
      <c r="DL342" s="1748"/>
      <c r="DM342" s="1748"/>
      <c r="DN342" s="1749"/>
      <c r="DP342" s="383">
        <f t="shared" si="22"/>
        <v>0</v>
      </c>
      <c r="DQ342" s="1747">
        <f t="shared" si="23"/>
        <v>0</v>
      </c>
      <c r="DR342" s="1748"/>
      <c r="DS342" s="1748"/>
      <c r="DT342" s="1749"/>
      <c r="DU342" s="1747">
        <f t="shared" si="10"/>
        <v>0</v>
      </c>
      <c r="DV342" s="1748"/>
      <c r="DW342" s="1749"/>
      <c r="DX342" s="1747">
        <f t="shared" si="24"/>
        <v>0</v>
      </c>
      <c r="DY342" s="1748"/>
      <c r="DZ342" s="1749"/>
      <c r="EA342" s="1747">
        <f t="shared" si="36"/>
        <v>0</v>
      </c>
      <c r="EB342" s="1748"/>
      <c r="EC342" s="1748"/>
      <c r="ED342" s="1749"/>
      <c r="EE342" s="384"/>
      <c r="EF342" s="1750">
        <f t="shared" si="11"/>
        <v>0</v>
      </c>
      <c r="EG342" s="1751"/>
      <c r="EH342" s="1751"/>
      <c r="EI342" s="1751"/>
      <c r="EJ342" s="1752"/>
      <c r="EL342" s="1750">
        <f t="shared" si="25"/>
        <v>0</v>
      </c>
      <c r="EM342" s="1751"/>
      <c r="EN342" s="1751"/>
      <c r="EO342" s="1751"/>
      <c r="EP342" s="1752"/>
      <c r="ER342" s="1750">
        <f t="shared" si="12"/>
        <v>0</v>
      </c>
      <c r="ES342" s="1751"/>
      <c r="ET342" s="1751"/>
      <c r="EU342" s="1751"/>
      <c r="EV342" s="1752"/>
      <c r="EX342" s="1750">
        <f>IF(BE342&gt;0,Einstrahlung!$K$18*Kalkulation!$P$62/100*$AY$29,0)</f>
        <v>0</v>
      </c>
      <c r="EY342" s="1751"/>
      <c r="EZ342" s="1751"/>
      <c r="FA342" s="1751"/>
      <c r="FB342" s="1752"/>
      <c r="FC342" s="454">
        <f t="shared" si="26"/>
        <v>0</v>
      </c>
      <c r="FD342" s="1750">
        <f t="shared" si="27"/>
        <v>0</v>
      </c>
      <c r="FE342" s="1751"/>
      <c r="FF342" s="1751"/>
      <c r="FG342" s="1751"/>
      <c r="FH342" s="1752"/>
      <c r="FI342" s="454"/>
      <c r="FJ342" s="380">
        <f t="shared" ref="FJ342:FJ405" si="40">EX342-FL342</f>
        <v>0</v>
      </c>
      <c r="FK342" s="838">
        <f t="shared" si="28"/>
        <v>0</v>
      </c>
      <c r="FL342" s="380">
        <f>IF(FC337=0,0,IF(FK342=1,0,IF(BE342&gt;0,IF($FL$336&gt;SUM($EX$338:$FB$349),SUM($EX$338:$FB$349)/12,$FL$336/12),0)))</f>
        <v>0</v>
      </c>
      <c r="FM342" s="385"/>
      <c r="FN342" s="380">
        <f t="shared" si="29"/>
        <v>0</v>
      </c>
      <c r="FO342" s="962">
        <f t="shared" si="37"/>
        <v>134</v>
      </c>
      <c r="FP342" s="956">
        <f t="shared" si="13"/>
        <v>0.4</v>
      </c>
      <c r="FQ342" s="380">
        <f t="shared" si="14"/>
        <v>0</v>
      </c>
      <c r="FR342" s="626">
        <f t="shared" si="15"/>
        <v>0</v>
      </c>
      <c r="FS342" s="616"/>
      <c r="FT342" s="1819">
        <f t="shared" si="38"/>
        <v>0</v>
      </c>
      <c r="FU342" s="1820"/>
      <c r="FV342" s="1820"/>
      <c r="FW342" s="1820"/>
      <c r="FX342" s="1821"/>
      <c r="FY342" s="1819">
        <f t="shared" si="30"/>
        <v>0</v>
      </c>
      <c r="FZ342" s="1820"/>
      <c r="GA342" s="1820"/>
      <c r="GB342" s="1821"/>
      <c r="GC342" s="1825">
        <f t="shared" si="31"/>
        <v>0</v>
      </c>
      <c r="GD342" s="1826"/>
      <c r="GE342" s="1826"/>
      <c r="GF342" s="1827"/>
      <c r="GH342" s="1750">
        <f t="shared" si="32"/>
        <v>0</v>
      </c>
      <c r="GI342" s="1751"/>
      <c r="GJ342" s="1751"/>
      <c r="GK342" s="1752"/>
      <c r="GL342" s="1750">
        <f t="shared" si="33"/>
        <v>0</v>
      </c>
      <c r="GM342" s="1751"/>
      <c r="GN342" s="1751"/>
      <c r="GO342" s="1752"/>
      <c r="GP342" s="385"/>
      <c r="GQ342" s="1750">
        <f t="shared" si="34"/>
        <v>0</v>
      </c>
      <c r="GR342" s="1751"/>
      <c r="GS342" s="1751"/>
      <c r="GT342" s="1752"/>
      <c r="GU342" s="192">
        <f t="shared" si="0"/>
        <v>0</v>
      </c>
      <c r="GV342" s="192">
        <f>SUM($GU$337:GU342)</f>
        <v>0</v>
      </c>
      <c r="GW342" s="318"/>
      <c r="HX342" s="380"/>
    </row>
    <row r="343" spans="3:232" ht="12.75" customHeight="1">
      <c r="D343" s="313"/>
      <c r="E343" s="247"/>
      <c r="F343" s="247"/>
      <c r="G343" s="247"/>
      <c r="H343" s="247"/>
      <c r="I343" s="247"/>
      <c r="J343" s="247"/>
      <c r="K343" s="247"/>
      <c r="L343" s="247"/>
      <c r="M343" s="247"/>
      <c r="N343" s="247"/>
      <c r="O343" s="247"/>
      <c r="P343" s="247"/>
      <c r="Q343" s="247"/>
      <c r="R343" s="247"/>
      <c r="S343" s="247"/>
      <c r="T343" s="247"/>
      <c r="U343" s="247"/>
      <c r="V343" s="247"/>
      <c r="W343" s="247"/>
      <c r="X343" s="247"/>
      <c r="Y343" s="247"/>
      <c r="Z343" s="247"/>
      <c r="AA343" s="247"/>
      <c r="AB343" s="251"/>
      <c r="AD343" s="247"/>
      <c r="AE343" s="247"/>
      <c r="AF343" s="247"/>
      <c r="AG343" s="247"/>
      <c r="AH343" s="247"/>
      <c r="AI343" s="247"/>
      <c r="AJ343" s="247"/>
      <c r="AK343" s="247"/>
      <c r="AL343" s="247"/>
      <c r="AM343" s="247"/>
      <c r="AN343" s="247"/>
      <c r="AO343" s="314"/>
      <c r="AX343" s="245"/>
      <c r="AY343" s="245"/>
      <c r="BD343" s="387">
        <f t="shared" si="39"/>
        <v>0</v>
      </c>
      <c r="BE343" s="382">
        <f>IF(BD338=0,IF(6&gt;$R$66-1,6,0),0)</f>
        <v>0</v>
      </c>
      <c r="BG343" s="383">
        <f>IF($BE343&gt;$R$66-1+($BR$335*12),6,0)</f>
        <v>0</v>
      </c>
      <c r="BH343" s="1747">
        <f t="shared" si="16"/>
        <v>0</v>
      </c>
      <c r="BI343" s="1748"/>
      <c r="BJ343" s="1748"/>
      <c r="BK343" s="1749"/>
      <c r="BL343" s="1747">
        <f t="shared" si="17"/>
        <v>0</v>
      </c>
      <c r="BM343" s="1748"/>
      <c r="BN343" s="1749"/>
      <c r="BO343" s="1747">
        <f t="shared" si="3"/>
        <v>0</v>
      </c>
      <c r="BP343" s="1748"/>
      <c r="BQ343" s="1749"/>
      <c r="BR343" s="1747">
        <f t="shared" si="4"/>
        <v>0</v>
      </c>
      <c r="BS343" s="1748"/>
      <c r="BT343" s="1748"/>
      <c r="BU343" s="1749"/>
      <c r="BW343" s="383">
        <f>IF($BE343&gt;$R$66-1+($CH$335*12),6,0)</f>
        <v>0</v>
      </c>
      <c r="BX343" s="1747">
        <f t="shared" si="35"/>
        <v>0</v>
      </c>
      <c r="BY343" s="1748"/>
      <c r="BZ343" s="1748"/>
      <c r="CA343" s="1749"/>
      <c r="CB343" s="1747">
        <f t="shared" si="18"/>
        <v>0</v>
      </c>
      <c r="CC343" s="1748"/>
      <c r="CD343" s="1749"/>
      <c r="CE343" s="1747">
        <f t="shared" si="5"/>
        <v>0</v>
      </c>
      <c r="CF343" s="1748"/>
      <c r="CG343" s="1749"/>
      <c r="CH343" s="1747">
        <f t="shared" si="6"/>
        <v>0</v>
      </c>
      <c r="CI343" s="1748"/>
      <c r="CJ343" s="1748"/>
      <c r="CK343" s="1749"/>
      <c r="CM343" s="383">
        <f>IF($BE343&gt;$R$66-1+($CX$335*12),6,0)</f>
        <v>0</v>
      </c>
      <c r="CN343" s="1747">
        <f t="shared" si="19"/>
        <v>0</v>
      </c>
      <c r="CO343" s="1748"/>
      <c r="CP343" s="1748"/>
      <c r="CQ343" s="1749"/>
      <c r="CR343" s="1747">
        <f t="shared" si="20"/>
        <v>0</v>
      </c>
      <c r="CS343" s="1748"/>
      <c r="CT343" s="1749"/>
      <c r="CU343" s="1747">
        <f t="shared" si="7"/>
        <v>0</v>
      </c>
      <c r="CV343" s="1748"/>
      <c r="CW343" s="1749"/>
      <c r="CX343" s="1747">
        <f t="shared" si="8"/>
        <v>0</v>
      </c>
      <c r="CY343" s="1748"/>
      <c r="CZ343" s="1748"/>
      <c r="DA343" s="1749"/>
      <c r="DC343" s="383">
        <f>IF($BE343&gt;$R$66-1,6,0)</f>
        <v>0</v>
      </c>
      <c r="DD343" s="1747">
        <f t="shared" ref="DD343:DD387" si="41">IF(DK342&lt;=0,0,DK342)</f>
        <v>0</v>
      </c>
      <c r="DE343" s="1748"/>
      <c r="DF343" s="1748"/>
      <c r="DG343" s="1749"/>
      <c r="DH343" s="1747">
        <f t="shared" si="21"/>
        <v>0</v>
      </c>
      <c r="DI343" s="1748"/>
      <c r="DJ343" s="1749"/>
      <c r="DK343" s="1747">
        <f t="shared" si="9"/>
        <v>0</v>
      </c>
      <c r="DL343" s="1748"/>
      <c r="DM343" s="1748"/>
      <c r="DN343" s="1749"/>
      <c r="DP343" s="383">
        <f t="shared" si="22"/>
        <v>0</v>
      </c>
      <c r="DQ343" s="1747">
        <f t="shared" si="23"/>
        <v>0</v>
      </c>
      <c r="DR343" s="1748"/>
      <c r="DS343" s="1748"/>
      <c r="DT343" s="1749"/>
      <c r="DU343" s="1747">
        <f t="shared" si="10"/>
        <v>0</v>
      </c>
      <c r="DV343" s="1748"/>
      <c r="DW343" s="1749"/>
      <c r="DX343" s="1747">
        <f t="shared" si="24"/>
        <v>0</v>
      </c>
      <c r="DY343" s="1748"/>
      <c r="DZ343" s="1749"/>
      <c r="EA343" s="1747">
        <f t="shared" si="36"/>
        <v>0</v>
      </c>
      <c r="EB343" s="1748"/>
      <c r="EC343" s="1748"/>
      <c r="ED343" s="1749"/>
      <c r="EE343" s="384"/>
      <c r="EF343" s="1750">
        <f t="shared" si="11"/>
        <v>0</v>
      </c>
      <c r="EG343" s="1751"/>
      <c r="EH343" s="1751"/>
      <c r="EI343" s="1751"/>
      <c r="EJ343" s="1752"/>
      <c r="EL343" s="1750">
        <f t="shared" si="25"/>
        <v>0</v>
      </c>
      <c r="EM343" s="1751"/>
      <c r="EN343" s="1751"/>
      <c r="EO343" s="1751"/>
      <c r="EP343" s="1752"/>
      <c r="ER343" s="1750">
        <f t="shared" si="12"/>
        <v>0</v>
      </c>
      <c r="ES343" s="1751"/>
      <c r="ET343" s="1751"/>
      <c r="EU343" s="1751"/>
      <c r="EV343" s="1752"/>
      <c r="EX343" s="1750">
        <f>IF(BE343&gt;0,Einstrahlung!$K$20*Kalkulation!$P$62/100*$AY$29,0)</f>
        <v>0</v>
      </c>
      <c r="EY343" s="1751"/>
      <c r="EZ343" s="1751"/>
      <c r="FA343" s="1751"/>
      <c r="FB343" s="1752"/>
      <c r="FC343" s="454">
        <f t="shared" si="26"/>
        <v>0</v>
      </c>
      <c r="FD343" s="1750">
        <f t="shared" si="27"/>
        <v>0</v>
      </c>
      <c r="FE343" s="1751"/>
      <c r="FF343" s="1751"/>
      <c r="FG343" s="1751"/>
      <c r="FH343" s="1752"/>
      <c r="FI343" s="454"/>
      <c r="FJ343" s="380">
        <f t="shared" si="40"/>
        <v>0</v>
      </c>
      <c r="FK343" s="838">
        <f t="shared" si="28"/>
        <v>0</v>
      </c>
      <c r="FL343" s="380">
        <f>IF(FC337=0,0,IF(FK343=1,0,IF(BE343&gt;0,IF($FL$336&gt;SUM($EX$338:$FB$349),SUM($EX$338:$FB$349)/12,$FL$336/12),0)))</f>
        <v>0</v>
      </c>
      <c r="FM343" s="385"/>
      <c r="FN343" s="380">
        <f t="shared" si="29"/>
        <v>0</v>
      </c>
      <c r="FO343" s="962">
        <f t="shared" si="37"/>
        <v>135</v>
      </c>
      <c r="FP343" s="956">
        <f t="shared" si="13"/>
        <v>0.4</v>
      </c>
      <c r="FQ343" s="380">
        <f t="shared" si="14"/>
        <v>0</v>
      </c>
      <c r="FR343" s="626">
        <f t="shared" si="15"/>
        <v>0</v>
      </c>
      <c r="FS343" s="616"/>
      <c r="FT343" s="1819">
        <f t="shared" si="38"/>
        <v>0</v>
      </c>
      <c r="FU343" s="1820"/>
      <c r="FV343" s="1820"/>
      <c r="FW343" s="1820"/>
      <c r="FX343" s="1821"/>
      <c r="FY343" s="1819">
        <f t="shared" si="30"/>
        <v>0</v>
      </c>
      <c r="FZ343" s="1820"/>
      <c r="GA343" s="1820"/>
      <c r="GB343" s="1821"/>
      <c r="GC343" s="1825">
        <f t="shared" si="31"/>
        <v>0</v>
      </c>
      <c r="GD343" s="1826"/>
      <c r="GE343" s="1826"/>
      <c r="GF343" s="1827"/>
      <c r="GH343" s="1750">
        <f t="shared" si="32"/>
        <v>0</v>
      </c>
      <c r="GI343" s="1751"/>
      <c r="GJ343" s="1751"/>
      <c r="GK343" s="1752"/>
      <c r="GL343" s="1750">
        <f t="shared" si="33"/>
        <v>0</v>
      </c>
      <c r="GM343" s="1751"/>
      <c r="GN343" s="1751"/>
      <c r="GO343" s="1752"/>
      <c r="GP343" s="385"/>
      <c r="GQ343" s="1750">
        <f t="shared" si="34"/>
        <v>0</v>
      </c>
      <c r="GR343" s="1751"/>
      <c r="GS343" s="1751"/>
      <c r="GT343" s="1752"/>
      <c r="GU343" s="192">
        <f>IF(BE343&gt;0,1,0)</f>
        <v>0</v>
      </c>
      <c r="GV343" s="192">
        <f>SUM($GU$337:GU343)</f>
        <v>0</v>
      </c>
      <c r="GW343" s="318"/>
      <c r="HX343" s="380"/>
    </row>
    <row r="344" spans="3:232" ht="12.75" customHeight="1">
      <c r="D344" s="313"/>
      <c r="E344" s="247"/>
      <c r="F344" s="247"/>
      <c r="G344" s="247"/>
      <c r="H344" s="247"/>
      <c r="I344" s="247"/>
      <c r="J344" s="247"/>
      <c r="K344" s="247"/>
      <c r="L344" s="247"/>
      <c r="M344" s="247"/>
      <c r="N344" s="247"/>
      <c r="O344" s="247"/>
      <c r="P344" s="247"/>
      <c r="Q344" s="247"/>
      <c r="R344" s="247"/>
      <c r="S344" s="247"/>
      <c r="T344" s="247"/>
      <c r="U344" s="247"/>
      <c r="V344" s="247"/>
      <c r="W344" s="247"/>
      <c r="X344" s="247"/>
      <c r="Y344" s="247"/>
      <c r="Z344" s="247"/>
      <c r="AA344" s="247"/>
      <c r="AB344" s="251"/>
      <c r="AD344" s="247"/>
      <c r="AE344" s="247"/>
      <c r="AF344" s="247"/>
      <c r="AG344" s="247"/>
      <c r="AH344" s="247"/>
      <c r="AI344" s="247"/>
      <c r="AJ344" s="247"/>
      <c r="AK344" s="247"/>
      <c r="AL344" s="247"/>
      <c r="AM344" s="247"/>
      <c r="AN344" s="247"/>
      <c r="AO344" s="314"/>
      <c r="AX344" s="245"/>
      <c r="AY344" s="245"/>
      <c r="BD344" s="387">
        <f t="shared" si="39"/>
        <v>0</v>
      </c>
      <c r="BE344" s="382">
        <f>IF(BD338=0,IF(7&gt;$R$66-1,7,0),0)</f>
        <v>0</v>
      </c>
      <c r="BG344" s="383">
        <f>IF($BE344&gt;$R$66-1+($BR$335*12),7,0)</f>
        <v>0</v>
      </c>
      <c r="BH344" s="1747">
        <f t="shared" si="16"/>
        <v>0</v>
      </c>
      <c r="BI344" s="1748"/>
      <c r="BJ344" s="1748"/>
      <c r="BK344" s="1749"/>
      <c r="BL344" s="1747">
        <f t="shared" si="17"/>
        <v>0</v>
      </c>
      <c r="BM344" s="1748"/>
      <c r="BN344" s="1749"/>
      <c r="BO344" s="1747">
        <f t="shared" si="3"/>
        <v>0</v>
      </c>
      <c r="BP344" s="1748"/>
      <c r="BQ344" s="1749"/>
      <c r="BR344" s="1747">
        <f t="shared" ref="BR344:BR349" si="42">BH344-BL344</f>
        <v>0</v>
      </c>
      <c r="BS344" s="1748"/>
      <c r="BT344" s="1748"/>
      <c r="BU344" s="1749"/>
      <c r="BW344" s="383">
        <f>IF($BE344&gt;$R$66-1+($CH$335*12),7,0)</f>
        <v>0</v>
      </c>
      <c r="BX344" s="1747">
        <f t="shared" si="35"/>
        <v>0</v>
      </c>
      <c r="BY344" s="1748"/>
      <c r="BZ344" s="1748"/>
      <c r="CA344" s="1749"/>
      <c r="CB344" s="1747">
        <f t="shared" si="18"/>
        <v>0</v>
      </c>
      <c r="CC344" s="1748"/>
      <c r="CD344" s="1749"/>
      <c r="CE344" s="1747">
        <f t="shared" si="5"/>
        <v>0</v>
      </c>
      <c r="CF344" s="1748"/>
      <c r="CG344" s="1749"/>
      <c r="CH344" s="1747">
        <f t="shared" si="6"/>
        <v>0</v>
      </c>
      <c r="CI344" s="1748"/>
      <c r="CJ344" s="1748"/>
      <c r="CK344" s="1749"/>
      <c r="CM344" s="383">
        <f>IF($BE344&gt;$R$66-1+($CX$335*12),7,0)</f>
        <v>0</v>
      </c>
      <c r="CN344" s="1747">
        <f t="shared" si="19"/>
        <v>0</v>
      </c>
      <c r="CO344" s="1748"/>
      <c r="CP344" s="1748"/>
      <c r="CQ344" s="1749"/>
      <c r="CR344" s="1747">
        <f t="shared" si="20"/>
        <v>0</v>
      </c>
      <c r="CS344" s="1748"/>
      <c r="CT344" s="1749"/>
      <c r="CU344" s="1747">
        <f t="shared" si="7"/>
        <v>0</v>
      </c>
      <c r="CV344" s="1748"/>
      <c r="CW344" s="1749"/>
      <c r="CX344" s="1747">
        <f t="shared" si="8"/>
        <v>0</v>
      </c>
      <c r="CY344" s="1748"/>
      <c r="CZ344" s="1748"/>
      <c r="DA344" s="1749"/>
      <c r="DC344" s="383">
        <f>IF($BE344&gt;$R$66-1,7,0)</f>
        <v>0</v>
      </c>
      <c r="DD344" s="1747">
        <f t="shared" si="41"/>
        <v>0</v>
      </c>
      <c r="DE344" s="1748"/>
      <c r="DF344" s="1748"/>
      <c r="DG344" s="1749"/>
      <c r="DH344" s="1747">
        <f t="shared" si="21"/>
        <v>0</v>
      </c>
      <c r="DI344" s="1748"/>
      <c r="DJ344" s="1749"/>
      <c r="DK344" s="1747">
        <f t="shared" si="9"/>
        <v>0</v>
      </c>
      <c r="DL344" s="1748"/>
      <c r="DM344" s="1748"/>
      <c r="DN344" s="1749"/>
      <c r="DP344" s="383">
        <f t="shared" si="22"/>
        <v>0</v>
      </c>
      <c r="DQ344" s="1747">
        <f t="shared" si="23"/>
        <v>0</v>
      </c>
      <c r="DR344" s="1748"/>
      <c r="DS344" s="1748"/>
      <c r="DT344" s="1749"/>
      <c r="DU344" s="1747">
        <f>IF(DD344=0,0,IF($BE344&gt;0,($DK$332*$DM$335/100)/12-DH344,0))</f>
        <v>0</v>
      </c>
      <c r="DV344" s="1748"/>
      <c r="DW344" s="1749"/>
      <c r="DX344" s="1747">
        <f t="shared" si="24"/>
        <v>0</v>
      </c>
      <c r="DY344" s="1748"/>
      <c r="DZ344" s="1749"/>
      <c r="EA344" s="1747">
        <f t="shared" si="36"/>
        <v>0</v>
      </c>
      <c r="EB344" s="1748"/>
      <c r="EC344" s="1748"/>
      <c r="ED344" s="1749"/>
      <c r="EE344" s="384"/>
      <c r="EF344" s="1750">
        <f t="shared" si="11"/>
        <v>0</v>
      </c>
      <c r="EG344" s="1751"/>
      <c r="EH344" s="1751"/>
      <c r="EI344" s="1751"/>
      <c r="EJ344" s="1752"/>
      <c r="EL344" s="1750">
        <f t="shared" si="25"/>
        <v>0</v>
      </c>
      <c r="EM344" s="1751"/>
      <c r="EN344" s="1751"/>
      <c r="EO344" s="1751"/>
      <c r="EP344" s="1752"/>
      <c r="ER344" s="1750">
        <f t="shared" si="12"/>
        <v>0</v>
      </c>
      <c r="ES344" s="1751"/>
      <c r="ET344" s="1751"/>
      <c r="EU344" s="1751"/>
      <c r="EV344" s="1752"/>
      <c r="EX344" s="1750">
        <f>IF(BE344&gt;0,Einstrahlung!$K$22*Kalkulation!$P$62/100*$AY$29,0)</f>
        <v>0</v>
      </c>
      <c r="EY344" s="1751"/>
      <c r="EZ344" s="1751"/>
      <c r="FA344" s="1751"/>
      <c r="FB344" s="1752"/>
      <c r="FC344" s="454">
        <f t="shared" si="26"/>
        <v>0</v>
      </c>
      <c r="FD344" s="1750">
        <f t="shared" si="27"/>
        <v>0</v>
      </c>
      <c r="FE344" s="1751"/>
      <c r="FF344" s="1751"/>
      <c r="FG344" s="1751"/>
      <c r="FH344" s="1752"/>
      <c r="FI344" s="454"/>
      <c r="FJ344" s="380">
        <f t="shared" si="40"/>
        <v>0</v>
      </c>
      <c r="FK344" s="838">
        <f t="shared" si="28"/>
        <v>0</v>
      </c>
      <c r="FL344" s="380">
        <f>IF(FC337=0,0,IF(FK344=1,0,IF(BE344&gt;0,IF($FL$336&gt;SUM($EX$338:$FB$349),SUM($EX$338:$FB$349)/12,$FL$336/12),0)))</f>
        <v>0</v>
      </c>
      <c r="FM344" s="385"/>
      <c r="FN344" s="380">
        <f t="shared" si="29"/>
        <v>0</v>
      </c>
      <c r="FO344" s="962">
        <f t="shared" si="37"/>
        <v>136</v>
      </c>
      <c r="FP344" s="956">
        <f t="shared" si="13"/>
        <v>0.4</v>
      </c>
      <c r="FQ344" s="380">
        <f t="shared" si="14"/>
        <v>0</v>
      </c>
      <c r="FR344" s="626">
        <f t="shared" si="15"/>
        <v>0</v>
      </c>
      <c r="FS344" s="616"/>
      <c r="FT344" s="1819">
        <f t="shared" si="38"/>
        <v>0</v>
      </c>
      <c r="FU344" s="1820"/>
      <c r="FV344" s="1820"/>
      <c r="FW344" s="1820"/>
      <c r="FX344" s="1821"/>
      <c r="FY344" s="1819">
        <f t="shared" si="30"/>
        <v>0</v>
      </c>
      <c r="FZ344" s="1820"/>
      <c r="GA344" s="1820"/>
      <c r="GB344" s="1821"/>
      <c r="GC344" s="1825">
        <f t="shared" si="31"/>
        <v>0</v>
      </c>
      <c r="GD344" s="1826"/>
      <c r="GE344" s="1826"/>
      <c r="GF344" s="1827"/>
      <c r="GH344" s="1750">
        <f t="shared" si="32"/>
        <v>0</v>
      </c>
      <c r="GI344" s="1751"/>
      <c r="GJ344" s="1751"/>
      <c r="GK344" s="1752"/>
      <c r="GL344" s="1750">
        <f t="shared" si="33"/>
        <v>0</v>
      </c>
      <c r="GM344" s="1751"/>
      <c r="GN344" s="1751"/>
      <c r="GO344" s="1752"/>
      <c r="GP344" s="385"/>
      <c r="GQ344" s="1750">
        <f t="shared" si="34"/>
        <v>0</v>
      </c>
      <c r="GR344" s="1751"/>
      <c r="GS344" s="1751"/>
      <c r="GT344" s="1752"/>
      <c r="GU344" s="192">
        <f t="shared" ref="GU344:GU407" si="43">IF(BE344&gt;0,1,0)</f>
        <v>0</v>
      </c>
      <c r="GV344" s="192">
        <f>SUM($GU$337:GU344)</f>
        <v>0</v>
      </c>
      <c r="GW344" s="318"/>
      <c r="HX344" s="380"/>
    </row>
    <row r="345" spans="3:232" ht="12.75" customHeight="1" thickBot="1">
      <c r="D345" s="313"/>
      <c r="E345" s="247"/>
      <c r="F345" s="247"/>
      <c r="G345" s="247"/>
      <c r="H345" s="247"/>
      <c r="I345" s="247"/>
      <c r="J345" s="247"/>
      <c r="K345" s="247"/>
      <c r="L345" s="247"/>
      <c r="M345" s="247"/>
      <c r="N345" s="247"/>
      <c r="O345" s="247"/>
      <c r="P345" s="247"/>
      <c r="Q345" s="247"/>
      <c r="R345" s="247"/>
      <c r="S345" s="247"/>
      <c r="T345" s="247"/>
      <c r="U345" s="247"/>
      <c r="V345" s="247"/>
      <c r="W345" s="247"/>
      <c r="X345" s="247"/>
      <c r="Y345" s="247"/>
      <c r="Z345" s="247"/>
      <c r="AA345" s="247"/>
      <c r="AB345" s="251"/>
      <c r="AD345" s="247"/>
      <c r="AE345" s="247"/>
      <c r="AF345" s="247"/>
      <c r="AG345" s="247"/>
      <c r="AH345" s="247"/>
      <c r="AI345" s="247"/>
      <c r="AJ345" s="247"/>
      <c r="AK345" s="247"/>
      <c r="AL345" s="247"/>
      <c r="AM345" s="247"/>
      <c r="AN345" s="247"/>
      <c r="AO345" s="314"/>
      <c r="AX345" s="245"/>
      <c r="AY345" s="245"/>
      <c r="BD345" s="387">
        <f t="shared" si="39"/>
        <v>0</v>
      </c>
      <c r="BE345" s="382">
        <f>IF(BD338=0,IF(8&gt;$R$66-1,8,0),0)</f>
        <v>8</v>
      </c>
      <c r="BG345" s="383">
        <f>IF($BE345&gt;$R$66-1+($BR$335*12),8,0)</f>
        <v>8</v>
      </c>
      <c r="BH345" s="1747">
        <f t="shared" si="16"/>
        <v>0</v>
      </c>
      <c r="BI345" s="1748"/>
      <c r="BJ345" s="1748"/>
      <c r="BK345" s="1749"/>
      <c r="BL345" s="1747">
        <f t="shared" si="17"/>
        <v>0</v>
      </c>
      <c r="BM345" s="1748"/>
      <c r="BN345" s="1749"/>
      <c r="BO345" s="1747">
        <f t="shared" si="3"/>
        <v>0</v>
      </c>
      <c r="BP345" s="1748"/>
      <c r="BQ345" s="1749"/>
      <c r="BR345" s="1747">
        <f t="shared" si="42"/>
        <v>0</v>
      </c>
      <c r="BS345" s="1748"/>
      <c r="BT345" s="1748"/>
      <c r="BU345" s="1749"/>
      <c r="BW345" s="383">
        <f>IF($BE345&gt;$R$66-1+($CH$335*12),8,0)</f>
        <v>8</v>
      </c>
      <c r="BX345" s="1747">
        <f t="shared" si="35"/>
        <v>0</v>
      </c>
      <c r="BY345" s="1748"/>
      <c r="BZ345" s="1748"/>
      <c r="CA345" s="1749"/>
      <c r="CB345" s="1747">
        <f t="shared" si="18"/>
        <v>0</v>
      </c>
      <c r="CC345" s="1748"/>
      <c r="CD345" s="1749"/>
      <c r="CE345" s="1747">
        <f t="shared" si="5"/>
        <v>0</v>
      </c>
      <c r="CF345" s="1748"/>
      <c r="CG345" s="1749"/>
      <c r="CH345" s="1747">
        <f t="shared" si="6"/>
        <v>0</v>
      </c>
      <c r="CI345" s="1748"/>
      <c r="CJ345" s="1748"/>
      <c r="CK345" s="1749"/>
      <c r="CM345" s="383">
        <f>IF($BE345&gt;$R$66-1+($CX$335*12),8,0)</f>
        <v>8</v>
      </c>
      <c r="CN345" s="1747">
        <f t="shared" si="19"/>
        <v>0</v>
      </c>
      <c r="CO345" s="1748"/>
      <c r="CP345" s="1748"/>
      <c r="CQ345" s="1749"/>
      <c r="CR345" s="1747">
        <f t="shared" si="20"/>
        <v>0</v>
      </c>
      <c r="CS345" s="1748"/>
      <c r="CT345" s="1749"/>
      <c r="CU345" s="1747">
        <f t="shared" si="7"/>
        <v>0</v>
      </c>
      <c r="CV345" s="1748"/>
      <c r="CW345" s="1749"/>
      <c r="CX345" s="1747">
        <f t="shared" si="8"/>
        <v>0</v>
      </c>
      <c r="CY345" s="1748"/>
      <c r="CZ345" s="1748"/>
      <c r="DA345" s="1749"/>
      <c r="DC345" s="383">
        <f>IF($BE345&gt;$R$66-1,8,0)</f>
        <v>8</v>
      </c>
      <c r="DD345" s="1747">
        <f t="shared" si="41"/>
        <v>0</v>
      </c>
      <c r="DE345" s="1748"/>
      <c r="DF345" s="1748"/>
      <c r="DG345" s="1749"/>
      <c r="DH345" s="1747">
        <f t="shared" si="21"/>
        <v>0</v>
      </c>
      <c r="DI345" s="1748"/>
      <c r="DJ345" s="1749"/>
      <c r="DK345" s="1747">
        <f t="shared" si="9"/>
        <v>0</v>
      </c>
      <c r="DL345" s="1748"/>
      <c r="DM345" s="1748"/>
      <c r="DN345" s="1749"/>
      <c r="DP345" s="383">
        <f t="shared" si="22"/>
        <v>8</v>
      </c>
      <c r="DQ345" s="1747">
        <f t="shared" si="23"/>
        <v>0</v>
      </c>
      <c r="DR345" s="1748"/>
      <c r="DS345" s="1748"/>
      <c r="DT345" s="1749"/>
      <c r="DU345" s="1747">
        <f t="shared" ref="DU345:DU408" si="44">IF(DD345=0,0,IF($BE345&gt;0,($DK$332*$DM$335/100)/12-DH345,0))</f>
        <v>0</v>
      </c>
      <c r="DV345" s="1748"/>
      <c r="DW345" s="1749"/>
      <c r="DX345" s="1747">
        <f t="shared" si="24"/>
        <v>0</v>
      </c>
      <c r="DY345" s="1748"/>
      <c r="DZ345" s="1749"/>
      <c r="EA345" s="1747">
        <f t="shared" si="36"/>
        <v>0</v>
      </c>
      <c r="EB345" s="1748"/>
      <c r="EC345" s="1748"/>
      <c r="ED345" s="1749"/>
      <c r="EE345" s="384"/>
      <c r="EF345" s="1750">
        <f t="shared" si="11"/>
        <v>0</v>
      </c>
      <c r="EG345" s="1751"/>
      <c r="EH345" s="1751"/>
      <c r="EI345" s="1751"/>
      <c r="EJ345" s="1752"/>
      <c r="EL345" s="1750">
        <f t="shared" si="25"/>
        <v>0</v>
      </c>
      <c r="EM345" s="1751"/>
      <c r="EN345" s="1751"/>
      <c r="EO345" s="1751"/>
      <c r="EP345" s="1752"/>
      <c r="ER345" s="1750">
        <f t="shared" si="12"/>
        <v>0</v>
      </c>
      <c r="ES345" s="1751"/>
      <c r="ET345" s="1751"/>
      <c r="EU345" s="1751"/>
      <c r="EV345" s="1752"/>
      <c r="EX345" s="1750">
        <f>IF(BE345&gt;0,Einstrahlung!$K$24*Kalkulation!$P$62/100*$AY$29,0)</f>
        <v>0</v>
      </c>
      <c r="EY345" s="1751"/>
      <c r="EZ345" s="1751"/>
      <c r="FA345" s="1751"/>
      <c r="FB345" s="1752"/>
      <c r="FC345" s="454">
        <f t="shared" si="26"/>
        <v>0</v>
      </c>
      <c r="FD345" s="1810">
        <f t="shared" si="27"/>
        <v>0</v>
      </c>
      <c r="FE345" s="1811"/>
      <c r="FF345" s="1811"/>
      <c r="FG345" s="1811"/>
      <c r="FH345" s="1812"/>
      <c r="FI345" s="454"/>
      <c r="FJ345" s="380">
        <f t="shared" si="40"/>
        <v>0</v>
      </c>
      <c r="FK345" s="838">
        <f t="shared" si="28"/>
        <v>0</v>
      </c>
      <c r="FL345" s="380">
        <f>IF(FC337=0,0,IF(FK345=1,0,IF(BE345&gt;0,IF($FL$336&gt;SUM($EX$338:$FB$349),SUM($EX$338:$FB$349)/12,$FL$336/12),0)))</f>
        <v>0</v>
      </c>
      <c r="FM345" s="385"/>
      <c r="FN345" s="380">
        <f t="shared" si="29"/>
        <v>0</v>
      </c>
      <c r="FO345" s="962">
        <f t="shared" si="37"/>
        <v>137</v>
      </c>
      <c r="FP345" s="956">
        <f t="shared" si="13"/>
        <v>0.4</v>
      </c>
      <c r="FQ345" s="380">
        <f>FN345*FR345-(FL345*($FQ$337/100)*FP345)</f>
        <v>0</v>
      </c>
      <c r="FR345" s="626">
        <f t="shared" si="15"/>
        <v>1</v>
      </c>
      <c r="FS345" s="616"/>
      <c r="FT345" s="1819">
        <f t="shared" si="38"/>
        <v>0</v>
      </c>
      <c r="FU345" s="1820"/>
      <c r="FV345" s="1820"/>
      <c r="FW345" s="1820"/>
      <c r="FX345" s="1821"/>
      <c r="FY345" s="1819">
        <f t="shared" si="30"/>
        <v>0</v>
      </c>
      <c r="FZ345" s="1820"/>
      <c r="GA345" s="1820"/>
      <c r="GB345" s="1821"/>
      <c r="GC345" s="1825">
        <f t="shared" si="31"/>
        <v>0</v>
      </c>
      <c r="GD345" s="1826"/>
      <c r="GE345" s="1826"/>
      <c r="GF345" s="1827"/>
      <c r="GH345" s="1750">
        <f t="shared" si="32"/>
        <v>0</v>
      </c>
      <c r="GI345" s="1751"/>
      <c r="GJ345" s="1751"/>
      <c r="GK345" s="1752"/>
      <c r="GL345" s="1750">
        <f t="shared" si="33"/>
        <v>0</v>
      </c>
      <c r="GM345" s="1751"/>
      <c r="GN345" s="1751"/>
      <c r="GO345" s="1752"/>
      <c r="GP345" s="385"/>
      <c r="GQ345" s="1750">
        <f t="shared" si="34"/>
        <v>0</v>
      </c>
      <c r="GR345" s="1751"/>
      <c r="GS345" s="1751"/>
      <c r="GT345" s="1752"/>
      <c r="GU345" s="192">
        <f t="shared" si="43"/>
        <v>1</v>
      </c>
      <c r="GV345" s="192">
        <f>SUM($GU$337:GU345)</f>
        <v>1</v>
      </c>
      <c r="GW345" s="318"/>
      <c r="HX345" s="380"/>
    </row>
    <row r="346" spans="3:232" ht="12.75" customHeight="1" thickTop="1" thickBot="1">
      <c r="D346" s="313"/>
      <c r="E346" s="247"/>
      <c r="F346" s="247"/>
      <c r="G346" s="247"/>
      <c r="H346" s="247" t="s">
        <v>346</v>
      </c>
      <c r="I346" s="247"/>
      <c r="J346" s="247"/>
      <c r="K346" s="531"/>
      <c r="L346" s="247" t="s">
        <v>347</v>
      </c>
      <c r="M346" s="247"/>
      <c r="N346" s="247"/>
      <c r="O346" s="247"/>
      <c r="P346" s="247"/>
      <c r="Q346" s="247"/>
      <c r="R346" s="247"/>
      <c r="S346" s="247"/>
      <c r="T346" s="247"/>
      <c r="U346" s="247"/>
      <c r="V346" s="247"/>
      <c r="W346" s="247"/>
      <c r="X346" s="247"/>
      <c r="Y346" s="247"/>
      <c r="Z346" s="247"/>
      <c r="AA346" s="247"/>
      <c r="AB346" s="251"/>
      <c r="AD346" s="247"/>
      <c r="AE346" s="247"/>
      <c r="AF346" s="247"/>
      <c r="AG346" s="247"/>
      <c r="AH346" s="247"/>
      <c r="AI346" s="247"/>
      <c r="AJ346" s="247"/>
      <c r="AK346" s="247"/>
      <c r="AL346" s="247"/>
      <c r="AM346" s="247"/>
      <c r="AN346" s="247"/>
      <c r="AO346" s="314"/>
      <c r="AX346" s="245"/>
      <c r="AY346" s="245"/>
      <c r="BD346" s="387">
        <f t="shared" si="39"/>
        <v>0</v>
      </c>
      <c r="BE346" s="382">
        <f>IF(BD338=0,IF(9&gt;$R$66-1,9,0),0)</f>
        <v>9</v>
      </c>
      <c r="BG346" s="383">
        <f>IF($BE346&gt;$R$66-1+($BR$335*12),9,0)</f>
        <v>9</v>
      </c>
      <c r="BH346" s="1747">
        <f t="shared" si="16"/>
        <v>0</v>
      </c>
      <c r="BI346" s="1748"/>
      <c r="BJ346" s="1748"/>
      <c r="BK346" s="1749"/>
      <c r="BL346" s="1747">
        <f t="shared" si="17"/>
        <v>0</v>
      </c>
      <c r="BM346" s="1748"/>
      <c r="BN346" s="1749"/>
      <c r="BO346" s="1747">
        <f t="shared" si="3"/>
        <v>0</v>
      </c>
      <c r="BP346" s="1748"/>
      <c r="BQ346" s="1749"/>
      <c r="BR346" s="1747">
        <f t="shared" si="42"/>
        <v>0</v>
      </c>
      <c r="BS346" s="1748"/>
      <c r="BT346" s="1748"/>
      <c r="BU346" s="1749"/>
      <c r="BW346" s="383">
        <f>IF($BE346&gt;$R$66-1+($CH$335*12),9,0)</f>
        <v>9</v>
      </c>
      <c r="BX346" s="1747">
        <f t="shared" si="35"/>
        <v>0</v>
      </c>
      <c r="BY346" s="1748"/>
      <c r="BZ346" s="1748"/>
      <c r="CA346" s="1749"/>
      <c r="CB346" s="1747">
        <f t="shared" si="18"/>
        <v>0</v>
      </c>
      <c r="CC346" s="1748"/>
      <c r="CD346" s="1749"/>
      <c r="CE346" s="1747">
        <f t="shared" si="5"/>
        <v>0</v>
      </c>
      <c r="CF346" s="1748"/>
      <c r="CG346" s="1749"/>
      <c r="CH346" s="1747">
        <f t="shared" si="6"/>
        <v>0</v>
      </c>
      <c r="CI346" s="1748"/>
      <c r="CJ346" s="1748"/>
      <c r="CK346" s="1749"/>
      <c r="CM346" s="383">
        <f>IF($BE346&gt;$R$66-1+($CX$335*12),9,0)</f>
        <v>9</v>
      </c>
      <c r="CN346" s="1747">
        <f t="shared" si="19"/>
        <v>0</v>
      </c>
      <c r="CO346" s="1748"/>
      <c r="CP346" s="1748"/>
      <c r="CQ346" s="1749"/>
      <c r="CR346" s="1747">
        <f t="shared" si="20"/>
        <v>0</v>
      </c>
      <c r="CS346" s="1748"/>
      <c r="CT346" s="1749"/>
      <c r="CU346" s="1747">
        <f t="shared" si="7"/>
        <v>0</v>
      </c>
      <c r="CV346" s="1748"/>
      <c r="CW346" s="1749"/>
      <c r="CX346" s="1747">
        <f t="shared" si="8"/>
        <v>0</v>
      </c>
      <c r="CY346" s="1748"/>
      <c r="CZ346" s="1748"/>
      <c r="DA346" s="1749"/>
      <c r="DC346" s="383">
        <f>IF($BE346&gt;$R$66-1,9,0)</f>
        <v>9</v>
      </c>
      <c r="DD346" s="1747">
        <f t="shared" si="41"/>
        <v>0</v>
      </c>
      <c r="DE346" s="1748"/>
      <c r="DF346" s="1748"/>
      <c r="DG346" s="1749"/>
      <c r="DH346" s="1747">
        <f t="shared" si="21"/>
        <v>0</v>
      </c>
      <c r="DI346" s="1748"/>
      <c r="DJ346" s="1749"/>
      <c r="DK346" s="1747">
        <f t="shared" si="9"/>
        <v>0</v>
      </c>
      <c r="DL346" s="1748"/>
      <c r="DM346" s="1748"/>
      <c r="DN346" s="1749"/>
      <c r="DP346" s="383">
        <f t="shared" si="22"/>
        <v>9</v>
      </c>
      <c r="DQ346" s="1747">
        <f t="shared" si="23"/>
        <v>0</v>
      </c>
      <c r="DR346" s="1748"/>
      <c r="DS346" s="1748"/>
      <c r="DT346" s="1749"/>
      <c r="DU346" s="1747">
        <f t="shared" si="44"/>
        <v>0</v>
      </c>
      <c r="DV346" s="1748"/>
      <c r="DW346" s="1749"/>
      <c r="DX346" s="1747">
        <f t="shared" si="24"/>
        <v>0</v>
      </c>
      <c r="DY346" s="1748"/>
      <c r="DZ346" s="1749"/>
      <c r="EA346" s="1747">
        <f t="shared" si="36"/>
        <v>0</v>
      </c>
      <c r="EB346" s="1748"/>
      <c r="EC346" s="1748"/>
      <c r="ED346" s="1749"/>
      <c r="EE346" s="384"/>
      <c r="EF346" s="1750">
        <f t="shared" si="11"/>
        <v>0</v>
      </c>
      <c r="EG346" s="1751"/>
      <c r="EH346" s="1751"/>
      <c r="EI346" s="1751"/>
      <c r="EJ346" s="1752"/>
      <c r="EL346" s="1750">
        <f t="shared" si="25"/>
        <v>0</v>
      </c>
      <c r="EM346" s="1751"/>
      <c r="EN346" s="1751"/>
      <c r="EO346" s="1751"/>
      <c r="EP346" s="1752"/>
      <c r="ER346" s="1750">
        <f t="shared" si="12"/>
        <v>0</v>
      </c>
      <c r="ES346" s="1751"/>
      <c r="ET346" s="1751"/>
      <c r="EU346" s="1751"/>
      <c r="EV346" s="1752"/>
      <c r="EX346" s="1750">
        <f>IF(BE346&gt;0,Einstrahlung!$K$26*Kalkulation!$P$62/100*$AY$29,0)</f>
        <v>0</v>
      </c>
      <c r="EY346" s="1751"/>
      <c r="EZ346" s="1751"/>
      <c r="FA346" s="1751"/>
      <c r="FB346" s="1752"/>
      <c r="FC346" s="454">
        <f t="shared" si="26"/>
        <v>0</v>
      </c>
      <c r="FD346" s="1750">
        <f t="shared" si="27"/>
        <v>0</v>
      </c>
      <c r="FE346" s="1751"/>
      <c r="FF346" s="1751"/>
      <c r="FG346" s="1751"/>
      <c r="FH346" s="1752"/>
      <c r="FI346" s="454"/>
      <c r="FJ346" s="380">
        <f t="shared" si="40"/>
        <v>0</v>
      </c>
      <c r="FK346" s="838">
        <f t="shared" si="28"/>
        <v>0</v>
      </c>
      <c r="FL346" s="380">
        <f>IF(FC337=0,0,IF(FK346=1,0,IF(BE346&gt;0,IF($FL$336&gt;SUM($EX$338:$FB$349),SUM($EX$338:$FB$349)/12,$FL$336/12),0)))</f>
        <v>0</v>
      </c>
      <c r="FM346" s="385"/>
      <c r="FN346" s="380">
        <f t="shared" si="29"/>
        <v>0</v>
      </c>
      <c r="FO346" s="962">
        <f t="shared" si="37"/>
        <v>138</v>
      </c>
      <c r="FP346" s="956">
        <f t="shared" si="13"/>
        <v>0.4</v>
      </c>
      <c r="FQ346" s="380">
        <f t="shared" ref="FQ346:FQ409" si="45">FN346*FR346-(FL346*($FQ$337/100)*FP346)</f>
        <v>0</v>
      </c>
      <c r="FR346" s="626">
        <f t="shared" si="15"/>
        <v>1</v>
      </c>
      <c r="FS346" s="616"/>
      <c r="FT346" s="1819">
        <f t="shared" si="38"/>
        <v>0</v>
      </c>
      <c r="FU346" s="1820"/>
      <c r="FV346" s="1820"/>
      <c r="FW346" s="1820"/>
      <c r="FX346" s="1821"/>
      <c r="FY346" s="1819">
        <f t="shared" si="30"/>
        <v>0</v>
      </c>
      <c r="FZ346" s="1820"/>
      <c r="GA346" s="1820"/>
      <c r="GB346" s="1821"/>
      <c r="GC346" s="1825">
        <f t="shared" si="31"/>
        <v>0</v>
      </c>
      <c r="GD346" s="1826"/>
      <c r="GE346" s="1826"/>
      <c r="GF346" s="1827"/>
      <c r="GH346" s="1750">
        <f t="shared" si="32"/>
        <v>0</v>
      </c>
      <c r="GI346" s="1751"/>
      <c r="GJ346" s="1751"/>
      <c r="GK346" s="1752"/>
      <c r="GL346" s="1750">
        <f t="shared" si="33"/>
        <v>0</v>
      </c>
      <c r="GM346" s="1751"/>
      <c r="GN346" s="1751"/>
      <c r="GO346" s="1752"/>
      <c r="GP346" s="385"/>
      <c r="GQ346" s="1750">
        <f t="shared" si="34"/>
        <v>0</v>
      </c>
      <c r="GR346" s="1751"/>
      <c r="GS346" s="1751"/>
      <c r="GT346" s="1752"/>
      <c r="GU346" s="192">
        <f t="shared" si="43"/>
        <v>1</v>
      </c>
      <c r="GV346" s="192">
        <f>SUM($GU$337:GU346)</f>
        <v>2</v>
      </c>
      <c r="GW346" s="318"/>
      <c r="HX346" s="380"/>
    </row>
    <row r="347" spans="3:232" ht="12.75" customHeight="1" thickTop="1">
      <c r="D347" s="324"/>
      <c r="E347" s="402"/>
      <c r="F347" s="402"/>
      <c r="G347" s="402"/>
      <c r="H347" s="402"/>
      <c r="I347" s="402"/>
      <c r="J347" s="402"/>
      <c r="K347" s="402"/>
      <c r="L347" s="402"/>
      <c r="M347" s="402"/>
      <c r="N347" s="402"/>
      <c r="O347" s="402"/>
      <c r="P347" s="402"/>
      <c r="Q347" s="402"/>
      <c r="R347" s="402"/>
      <c r="S347" s="402"/>
      <c r="T347" s="402"/>
      <c r="U347" s="402"/>
      <c r="V347" s="402"/>
      <c r="W347" s="402"/>
      <c r="X347" s="402"/>
      <c r="Y347" s="402"/>
      <c r="Z347" s="402"/>
      <c r="AA347" s="402"/>
      <c r="AB347" s="404"/>
      <c r="AC347" s="404"/>
      <c r="AD347" s="402"/>
      <c r="AE347" s="402"/>
      <c r="AF347" s="402"/>
      <c r="AG347" s="402"/>
      <c r="AH347" s="402"/>
      <c r="AI347" s="402"/>
      <c r="AJ347" s="402"/>
      <c r="AK347" s="402"/>
      <c r="AL347" s="402"/>
      <c r="AM347" s="402"/>
      <c r="AN347" s="402"/>
      <c r="AO347" s="528"/>
      <c r="AX347" s="245"/>
      <c r="AY347" s="245"/>
      <c r="BD347" s="387">
        <f t="shared" si="39"/>
        <v>0</v>
      </c>
      <c r="BE347" s="382">
        <f>IF(BD338=0,IF(10&gt;$R$66-1,10,0),0)</f>
        <v>10</v>
      </c>
      <c r="BG347" s="383">
        <f>IF($BE347&gt;$R$66-1+($BR$335*12),10,0)</f>
        <v>10</v>
      </c>
      <c r="BH347" s="1747">
        <f t="shared" si="16"/>
        <v>0</v>
      </c>
      <c r="BI347" s="1748"/>
      <c r="BJ347" s="1748"/>
      <c r="BK347" s="1749"/>
      <c r="BL347" s="1747">
        <f t="shared" si="17"/>
        <v>0</v>
      </c>
      <c r="BM347" s="1748"/>
      <c r="BN347" s="1749"/>
      <c r="BO347" s="1747">
        <f t="shared" si="3"/>
        <v>0</v>
      </c>
      <c r="BP347" s="1748"/>
      <c r="BQ347" s="1749"/>
      <c r="BR347" s="1747">
        <f t="shared" si="42"/>
        <v>0</v>
      </c>
      <c r="BS347" s="1748"/>
      <c r="BT347" s="1748"/>
      <c r="BU347" s="1749"/>
      <c r="BW347" s="383">
        <f>IF($BE347&gt;$R$66-1+($CH$335*12),10,0)</f>
        <v>10</v>
      </c>
      <c r="BX347" s="1747">
        <f t="shared" si="35"/>
        <v>0</v>
      </c>
      <c r="BY347" s="1748"/>
      <c r="BZ347" s="1748"/>
      <c r="CA347" s="1749"/>
      <c r="CB347" s="1747">
        <f t="shared" si="18"/>
        <v>0</v>
      </c>
      <c r="CC347" s="1748"/>
      <c r="CD347" s="1749"/>
      <c r="CE347" s="1747">
        <f t="shared" si="5"/>
        <v>0</v>
      </c>
      <c r="CF347" s="1748"/>
      <c r="CG347" s="1749"/>
      <c r="CH347" s="1747">
        <f t="shared" si="6"/>
        <v>0</v>
      </c>
      <c r="CI347" s="1748"/>
      <c r="CJ347" s="1748"/>
      <c r="CK347" s="1749"/>
      <c r="CM347" s="383">
        <f>IF($BE347&gt;$R$66-1+($CX$335*12),10,0)</f>
        <v>10</v>
      </c>
      <c r="CN347" s="1747">
        <f t="shared" si="19"/>
        <v>0</v>
      </c>
      <c r="CO347" s="1748"/>
      <c r="CP347" s="1748"/>
      <c r="CQ347" s="1749"/>
      <c r="CR347" s="1747">
        <f t="shared" si="20"/>
        <v>0</v>
      </c>
      <c r="CS347" s="1748"/>
      <c r="CT347" s="1749"/>
      <c r="CU347" s="1747">
        <f t="shared" si="7"/>
        <v>0</v>
      </c>
      <c r="CV347" s="1748"/>
      <c r="CW347" s="1749"/>
      <c r="CX347" s="1747">
        <f t="shared" si="8"/>
        <v>0</v>
      </c>
      <c r="CY347" s="1748"/>
      <c r="CZ347" s="1748"/>
      <c r="DA347" s="1749"/>
      <c r="DC347" s="383">
        <f>IF($BE347&gt;$R$66-1,10,0)</f>
        <v>10</v>
      </c>
      <c r="DD347" s="1747">
        <f t="shared" si="41"/>
        <v>0</v>
      </c>
      <c r="DE347" s="1748"/>
      <c r="DF347" s="1748"/>
      <c r="DG347" s="1749"/>
      <c r="DH347" s="1747">
        <f t="shared" si="21"/>
        <v>0</v>
      </c>
      <c r="DI347" s="1748"/>
      <c r="DJ347" s="1749"/>
      <c r="DK347" s="1747">
        <f t="shared" si="9"/>
        <v>0</v>
      </c>
      <c r="DL347" s="1748"/>
      <c r="DM347" s="1748"/>
      <c r="DN347" s="1749"/>
      <c r="DP347" s="383">
        <f t="shared" si="22"/>
        <v>10</v>
      </c>
      <c r="DQ347" s="1747">
        <f t="shared" si="23"/>
        <v>0</v>
      </c>
      <c r="DR347" s="1748"/>
      <c r="DS347" s="1748"/>
      <c r="DT347" s="1749"/>
      <c r="DU347" s="1747">
        <f t="shared" si="44"/>
        <v>0</v>
      </c>
      <c r="DV347" s="1748"/>
      <c r="DW347" s="1749"/>
      <c r="DX347" s="1747">
        <f t="shared" si="24"/>
        <v>0</v>
      </c>
      <c r="DY347" s="1748"/>
      <c r="DZ347" s="1749"/>
      <c r="EA347" s="1747">
        <f t="shared" si="36"/>
        <v>0</v>
      </c>
      <c r="EB347" s="1748"/>
      <c r="EC347" s="1748"/>
      <c r="ED347" s="1749"/>
      <c r="EE347" s="384"/>
      <c r="EF347" s="1750">
        <f t="shared" si="11"/>
        <v>0</v>
      </c>
      <c r="EG347" s="1751"/>
      <c r="EH347" s="1751"/>
      <c r="EI347" s="1751"/>
      <c r="EJ347" s="1752"/>
      <c r="EL347" s="1750">
        <f t="shared" si="25"/>
        <v>0</v>
      </c>
      <c r="EM347" s="1751"/>
      <c r="EN347" s="1751"/>
      <c r="EO347" s="1751"/>
      <c r="EP347" s="1752"/>
      <c r="ER347" s="1750">
        <f t="shared" si="12"/>
        <v>0</v>
      </c>
      <c r="ES347" s="1751"/>
      <c r="ET347" s="1751"/>
      <c r="EU347" s="1751"/>
      <c r="EV347" s="1752"/>
      <c r="EX347" s="1750">
        <f>IF(BE347&gt;0,Einstrahlung!$K$28*Kalkulation!$P$62/100*$AY$29,0)</f>
        <v>0</v>
      </c>
      <c r="EY347" s="1751"/>
      <c r="EZ347" s="1751"/>
      <c r="FA347" s="1751"/>
      <c r="FB347" s="1752"/>
      <c r="FC347" s="454">
        <f t="shared" si="26"/>
        <v>0</v>
      </c>
      <c r="FD347" s="1750">
        <f t="shared" si="27"/>
        <v>0</v>
      </c>
      <c r="FE347" s="1751"/>
      <c r="FF347" s="1751"/>
      <c r="FG347" s="1751"/>
      <c r="FH347" s="1752"/>
      <c r="FI347" s="454"/>
      <c r="FJ347" s="380">
        <f t="shared" si="40"/>
        <v>0</v>
      </c>
      <c r="FK347" s="838">
        <f t="shared" si="28"/>
        <v>0</v>
      </c>
      <c r="FL347" s="380">
        <f>IF(FC337=0,0,IF(FK347=1,0,IF(BE347&gt;0,IF($FL$336&gt;SUM($EX$338:$FB$349),SUM($EX$338:$FB$349)/12,$FL$336/12),0)))</f>
        <v>0</v>
      </c>
      <c r="FM347" s="385"/>
      <c r="FN347" s="380">
        <f t="shared" si="29"/>
        <v>0</v>
      </c>
      <c r="FO347" s="962">
        <f t="shared" si="37"/>
        <v>139</v>
      </c>
      <c r="FP347" s="956">
        <f t="shared" si="13"/>
        <v>0.4</v>
      </c>
      <c r="FQ347" s="380">
        <f t="shared" si="45"/>
        <v>0</v>
      </c>
      <c r="FR347" s="626">
        <f t="shared" si="15"/>
        <v>1</v>
      </c>
      <c r="FS347" s="616"/>
      <c r="FT347" s="1819">
        <f t="shared" si="38"/>
        <v>0</v>
      </c>
      <c r="FU347" s="1820"/>
      <c r="FV347" s="1820"/>
      <c r="FW347" s="1820"/>
      <c r="FX347" s="1821"/>
      <c r="FY347" s="1819">
        <f t="shared" si="30"/>
        <v>0</v>
      </c>
      <c r="FZ347" s="1820"/>
      <c r="GA347" s="1820"/>
      <c r="GB347" s="1821"/>
      <c r="GC347" s="1825">
        <f t="shared" si="31"/>
        <v>0</v>
      </c>
      <c r="GD347" s="1826"/>
      <c r="GE347" s="1826"/>
      <c r="GF347" s="1827"/>
      <c r="GH347" s="1750">
        <f t="shared" si="32"/>
        <v>0</v>
      </c>
      <c r="GI347" s="1751"/>
      <c r="GJ347" s="1751"/>
      <c r="GK347" s="1752"/>
      <c r="GL347" s="1750">
        <f t="shared" si="33"/>
        <v>0</v>
      </c>
      <c r="GM347" s="1751"/>
      <c r="GN347" s="1751"/>
      <c r="GO347" s="1752"/>
      <c r="GP347" s="385"/>
      <c r="GQ347" s="1750">
        <f t="shared" si="34"/>
        <v>0</v>
      </c>
      <c r="GR347" s="1751"/>
      <c r="GS347" s="1751"/>
      <c r="GT347" s="1752"/>
      <c r="GU347" s="192">
        <f t="shared" si="43"/>
        <v>1</v>
      </c>
      <c r="GV347" s="192">
        <f>SUM($GU$337:GU347)</f>
        <v>3</v>
      </c>
      <c r="GW347" s="318"/>
      <c r="HX347" s="380"/>
    </row>
    <row r="348" spans="3:232" ht="12.75" customHeight="1">
      <c r="D348" s="247"/>
      <c r="E348" s="247"/>
      <c r="F348" s="247"/>
      <c r="G348" s="247"/>
      <c r="H348" s="247"/>
      <c r="I348" s="247"/>
      <c r="J348" s="247"/>
      <c r="K348" s="247"/>
      <c r="L348" s="247"/>
      <c r="M348" s="247"/>
      <c r="N348" s="247"/>
      <c r="O348" s="247"/>
      <c r="P348" s="247"/>
      <c r="Q348" s="247"/>
      <c r="R348" s="247"/>
      <c r="S348" s="247"/>
      <c r="T348" s="247"/>
      <c r="U348" s="247"/>
      <c r="V348" s="247"/>
      <c r="W348" s="247"/>
      <c r="X348" s="247"/>
      <c r="Y348" s="247"/>
      <c r="Z348" s="247"/>
      <c r="AA348" s="247"/>
      <c r="AB348" s="251"/>
      <c r="AD348" s="247"/>
      <c r="AE348" s="247"/>
      <c r="AF348" s="247"/>
      <c r="AG348" s="247"/>
      <c r="AH348" s="247"/>
      <c r="AI348" s="247"/>
      <c r="AJ348" s="247"/>
      <c r="AK348" s="247"/>
      <c r="AL348" s="247"/>
      <c r="AM348" s="247"/>
      <c r="AN348" s="247"/>
      <c r="AO348" s="247"/>
      <c r="AX348" s="245"/>
      <c r="AY348" s="245"/>
      <c r="BD348" s="387">
        <f t="shared" si="39"/>
        <v>0</v>
      </c>
      <c r="BE348" s="382">
        <f>IF(BD338=0,IF(11&gt;$R$66-1,11,0),0)</f>
        <v>11</v>
      </c>
      <c r="BG348" s="383">
        <f>IF($BE348&gt;$R$66-1+($BR$335*12),11,0)</f>
        <v>11</v>
      </c>
      <c r="BH348" s="1747">
        <f t="shared" si="16"/>
        <v>0</v>
      </c>
      <c r="BI348" s="1748"/>
      <c r="BJ348" s="1748"/>
      <c r="BK348" s="1749"/>
      <c r="BL348" s="1747">
        <f t="shared" si="17"/>
        <v>0</v>
      </c>
      <c r="BM348" s="1748"/>
      <c r="BN348" s="1749"/>
      <c r="BO348" s="1747">
        <f t="shared" si="3"/>
        <v>0</v>
      </c>
      <c r="BP348" s="1748"/>
      <c r="BQ348" s="1749"/>
      <c r="BR348" s="1747">
        <f t="shared" si="42"/>
        <v>0</v>
      </c>
      <c r="BS348" s="1748"/>
      <c r="BT348" s="1748"/>
      <c r="BU348" s="1749"/>
      <c r="BW348" s="383">
        <f>IF($BE348&gt;$R$66-1+($CH$335*12),11,0)</f>
        <v>11</v>
      </c>
      <c r="BX348" s="1747">
        <f t="shared" si="35"/>
        <v>0</v>
      </c>
      <c r="BY348" s="1748"/>
      <c r="BZ348" s="1748"/>
      <c r="CA348" s="1749"/>
      <c r="CB348" s="1747">
        <f t="shared" si="18"/>
        <v>0</v>
      </c>
      <c r="CC348" s="1748"/>
      <c r="CD348" s="1749"/>
      <c r="CE348" s="1747">
        <f t="shared" si="5"/>
        <v>0</v>
      </c>
      <c r="CF348" s="1748"/>
      <c r="CG348" s="1749"/>
      <c r="CH348" s="1747">
        <f t="shared" si="6"/>
        <v>0</v>
      </c>
      <c r="CI348" s="1748"/>
      <c r="CJ348" s="1748"/>
      <c r="CK348" s="1749"/>
      <c r="CM348" s="383">
        <f>IF($BE348&gt;$R$66-1+($CX$335*12),11,0)</f>
        <v>11</v>
      </c>
      <c r="CN348" s="1747">
        <f t="shared" si="19"/>
        <v>0</v>
      </c>
      <c r="CO348" s="1748"/>
      <c r="CP348" s="1748"/>
      <c r="CQ348" s="1749"/>
      <c r="CR348" s="1747">
        <f t="shared" si="20"/>
        <v>0</v>
      </c>
      <c r="CS348" s="1748"/>
      <c r="CT348" s="1749"/>
      <c r="CU348" s="1747">
        <f t="shared" si="7"/>
        <v>0</v>
      </c>
      <c r="CV348" s="1748"/>
      <c r="CW348" s="1749"/>
      <c r="CX348" s="1747">
        <f t="shared" si="8"/>
        <v>0</v>
      </c>
      <c r="CY348" s="1748"/>
      <c r="CZ348" s="1748"/>
      <c r="DA348" s="1749"/>
      <c r="DC348" s="383">
        <f>IF($BE348&gt;$R$66-1,11,0)</f>
        <v>11</v>
      </c>
      <c r="DD348" s="1747">
        <f t="shared" si="41"/>
        <v>0</v>
      </c>
      <c r="DE348" s="1748"/>
      <c r="DF348" s="1748"/>
      <c r="DG348" s="1749"/>
      <c r="DH348" s="1747">
        <f t="shared" si="21"/>
        <v>0</v>
      </c>
      <c r="DI348" s="1748"/>
      <c r="DJ348" s="1749"/>
      <c r="DK348" s="1747">
        <f t="shared" si="9"/>
        <v>0</v>
      </c>
      <c r="DL348" s="1748"/>
      <c r="DM348" s="1748"/>
      <c r="DN348" s="1749"/>
      <c r="DP348" s="383">
        <f t="shared" si="22"/>
        <v>11</v>
      </c>
      <c r="DQ348" s="1747">
        <f t="shared" si="23"/>
        <v>0</v>
      </c>
      <c r="DR348" s="1748"/>
      <c r="DS348" s="1748"/>
      <c r="DT348" s="1749"/>
      <c r="DU348" s="1747">
        <f t="shared" si="44"/>
        <v>0</v>
      </c>
      <c r="DV348" s="1748"/>
      <c r="DW348" s="1749"/>
      <c r="DX348" s="1747">
        <f t="shared" si="24"/>
        <v>0</v>
      </c>
      <c r="DY348" s="1748"/>
      <c r="DZ348" s="1749"/>
      <c r="EA348" s="1747">
        <f t="shared" si="36"/>
        <v>0</v>
      </c>
      <c r="EB348" s="1748"/>
      <c r="EC348" s="1748"/>
      <c r="ED348" s="1749"/>
      <c r="EE348" s="384"/>
      <c r="EF348" s="1750">
        <f t="shared" si="11"/>
        <v>0</v>
      </c>
      <c r="EG348" s="1751"/>
      <c r="EH348" s="1751"/>
      <c r="EI348" s="1751"/>
      <c r="EJ348" s="1752"/>
      <c r="EL348" s="1750">
        <f t="shared" si="25"/>
        <v>0</v>
      </c>
      <c r="EM348" s="1751"/>
      <c r="EN348" s="1751"/>
      <c r="EO348" s="1751"/>
      <c r="EP348" s="1752"/>
      <c r="ER348" s="1750">
        <f t="shared" si="12"/>
        <v>0</v>
      </c>
      <c r="ES348" s="1751"/>
      <c r="ET348" s="1751"/>
      <c r="EU348" s="1751"/>
      <c r="EV348" s="1752"/>
      <c r="EX348" s="1750">
        <f>IF(BE348&gt;0,Einstrahlung!$K$30*Kalkulation!$P$62/100*$AY$29,0)</f>
        <v>0</v>
      </c>
      <c r="EY348" s="1751"/>
      <c r="EZ348" s="1751"/>
      <c r="FA348" s="1751"/>
      <c r="FB348" s="1752"/>
      <c r="FC348" s="454">
        <f t="shared" si="26"/>
        <v>0</v>
      </c>
      <c r="FD348" s="1750">
        <f t="shared" si="27"/>
        <v>0</v>
      </c>
      <c r="FE348" s="1751"/>
      <c r="FF348" s="1751"/>
      <c r="FG348" s="1751"/>
      <c r="FH348" s="1752"/>
      <c r="FI348" s="454"/>
      <c r="FJ348" s="380">
        <f t="shared" si="40"/>
        <v>0</v>
      </c>
      <c r="FK348" s="838">
        <f t="shared" si="28"/>
        <v>0</v>
      </c>
      <c r="FL348" s="380">
        <f>IF(FC337=0,0,IF(FK348=1,0,IF(BE348&gt;0,IF($FL$336&gt;SUM($EX$338:$FB$349),SUM($EX$338:$FB$349)/12,$FL$336/12),0)))</f>
        <v>0</v>
      </c>
      <c r="FM348" s="385"/>
      <c r="FN348" s="380">
        <f t="shared" si="29"/>
        <v>0</v>
      </c>
      <c r="FO348" s="962">
        <f t="shared" si="37"/>
        <v>140</v>
      </c>
      <c r="FP348" s="956">
        <f t="shared" si="13"/>
        <v>0.4</v>
      </c>
      <c r="FQ348" s="380">
        <f t="shared" si="45"/>
        <v>0</v>
      </c>
      <c r="FR348" s="626">
        <f t="shared" si="15"/>
        <v>1</v>
      </c>
      <c r="FS348" s="616"/>
      <c r="FT348" s="1819">
        <f t="shared" si="38"/>
        <v>0</v>
      </c>
      <c r="FU348" s="1820"/>
      <c r="FV348" s="1820"/>
      <c r="FW348" s="1820"/>
      <c r="FX348" s="1821"/>
      <c r="FY348" s="1819">
        <f t="shared" si="30"/>
        <v>0</v>
      </c>
      <c r="FZ348" s="1820"/>
      <c r="GA348" s="1820"/>
      <c r="GB348" s="1821"/>
      <c r="GC348" s="1825">
        <f t="shared" si="31"/>
        <v>0</v>
      </c>
      <c r="GD348" s="1826"/>
      <c r="GE348" s="1826"/>
      <c r="GF348" s="1827"/>
      <c r="GH348" s="1750">
        <f t="shared" si="32"/>
        <v>0</v>
      </c>
      <c r="GI348" s="1751"/>
      <c r="GJ348" s="1751"/>
      <c r="GK348" s="1752"/>
      <c r="GL348" s="1750">
        <f t="shared" si="33"/>
        <v>0</v>
      </c>
      <c r="GM348" s="1751"/>
      <c r="GN348" s="1751"/>
      <c r="GO348" s="1752"/>
      <c r="GP348" s="385"/>
      <c r="GQ348" s="1750">
        <f t="shared" si="34"/>
        <v>0</v>
      </c>
      <c r="GR348" s="1751"/>
      <c r="GS348" s="1751"/>
      <c r="GT348" s="1752"/>
      <c r="GU348" s="192">
        <f t="shared" si="43"/>
        <v>1</v>
      </c>
      <c r="GV348" s="192">
        <f>SUM($GU$337:GU348)</f>
        <v>4</v>
      </c>
      <c r="GW348" s="388"/>
      <c r="HX348" s="380"/>
    </row>
    <row r="349" spans="3:232" ht="12.75" customHeight="1" thickBot="1">
      <c r="D349" s="533"/>
      <c r="E349" s="761"/>
      <c r="F349" s="1623" t="str">
        <f>IF($AV$135&gt;0,"Abb. 3: Liquiditätsverlauf  - kumuliert über die Laufzeit (incl. Eigenstrom; Vergütung + Wert)","Abb. 3: Liquiditätsverlauf  - kumuliert über die Laufzeit")</f>
        <v>Abb. 3: Liquiditätsverlauf  - kumuliert über die Laufzeit</v>
      </c>
      <c r="G349" s="1624"/>
      <c r="H349" s="1624"/>
      <c r="I349" s="1624"/>
      <c r="J349" s="1624"/>
      <c r="K349" s="1624"/>
      <c r="L349" s="1624"/>
      <c r="M349" s="1624"/>
      <c r="N349" s="1624"/>
      <c r="O349" s="1624"/>
      <c r="P349" s="1624"/>
      <c r="Q349" s="1624"/>
      <c r="R349" s="1624"/>
      <c r="S349" s="1624"/>
      <c r="T349" s="1624"/>
      <c r="U349" s="1624"/>
      <c r="V349" s="1624"/>
      <c r="W349" s="1624"/>
      <c r="X349" s="1624"/>
      <c r="Y349" s="1624"/>
      <c r="Z349" s="1624"/>
      <c r="AA349" s="1624"/>
      <c r="AB349" s="1624"/>
      <c r="AC349" s="1624"/>
      <c r="AD349" s="1624"/>
      <c r="AE349" s="1624"/>
      <c r="AF349" s="1624"/>
      <c r="AG349" s="1624"/>
      <c r="AH349" s="1624"/>
      <c r="AI349" s="1624"/>
      <c r="AJ349" s="1624"/>
      <c r="AK349" s="1624"/>
      <c r="AL349" s="1624"/>
      <c r="AM349" s="1624"/>
      <c r="AN349" s="1624"/>
      <c r="AO349" s="534"/>
      <c r="AX349" s="245"/>
      <c r="AY349" s="245"/>
      <c r="BD349" s="389">
        <f t="shared" si="39"/>
        <v>0</v>
      </c>
      <c r="BE349" s="390">
        <f>IF(BD338=0,IF(12&gt;$R$66-1,12,0),0)</f>
        <v>12</v>
      </c>
      <c r="BG349" s="391">
        <f>IF($BE349&gt;$R$66-1+($BR$335*12),12,0)</f>
        <v>12</v>
      </c>
      <c r="BH349" s="1755">
        <f t="shared" si="16"/>
        <v>0</v>
      </c>
      <c r="BI349" s="1756"/>
      <c r="BJ349" s="1756"/>
      <c r="BK349" s="1757"/>
      <c r="BL349" s="1755">
        <f t="shared" si="17"/>
        <v>0</v>
      </c>
      <c r="BM349" s="1756"/>
      <c r="BN349" s="1757"/>
      <c r="BO349" s="1755">
        <f t="shared" si="3"/>
        <v>0</v>
      </c>
      <c r="BP349" s="1756"/>
      <c r="BQ349" s="1757"/>
      <c r="BR349" s="1755">
        <f t="shared" si="42"/>
        <v>0</v>
      </c>
      <c r="BS349" s="1756"/>
      <c r="BT349" s="1756"/>
      <c r="BU349" s="1757"/>
      <c r="BW349" s="391">
        <f>IF($BE349&gt;$R$66-1+($CH$335*12),12,0)</f>
        <v>12</v>
      </c>
      <c r="BX349" s="1755">
        <f t="shared" si="35"/>
        <v>0</v>
      </c>
      <c r="BY349" s="1756"/>
      <c r="BZ349" s="1756"/>
      <c r="CA349" s="1757"/>
      <c r="CB349" s="1755">
        <f t="shared" si="18"/>
        <v>0</v>
      </c>
      <c r="CC349" s="1756"/>
      <c r="CD349" s="1757"/>
      <c r="CE349" s="1755">
        <f t="shared" si="5"/>
        <v>0</v>
      </c>
      <c r="CF349" s="1756"/>
      <c r="CG349" s="1757"/>
      <c r="CH349" s="1755">
        <f t="shared" si="6"/>
        <v>0</v>
      </c>
      <c r="CI349" s="1756"/>
      <c r="CJ349" s="1756"/>
      <c r="CK349" s="1757"/>
      <c r="CM349" s="391">
        <f>IF($BE349&gt;$R$66-1+($CX$335*12),12,0)</f>
        <v>12</v>
      </c>
      <c r="CN349" s="1755">
        <f t="shared" si="19"/>
        <v>0</v>
      </c>
      <c r="CO349" s="1756"/>
      <c r="CP349" s="1756"/>
      <c r="CQ349" s="1757"/>
      <c r="CR349" s="1755">
        <f t="shared" si="20"/>
        <v>0</v>
      </c>
      <c r="CS349" s="1756"/>
      <c r="CT349" s="1757"/>
      <c r="CU349" s="1755">
        <f t="shared" si="7"/>
        <v>0</v>
      </c>
      <c r="CV349" s="1756"/>
      <c r="CW349" s="1757"/>
      <c r="CX349" s="1755">
        <f t="shared" si="8"/>
        <v>0</v>
      </c>
      <c r="CY349" s="1756"/>
      <c r="CZ349" s="1756"/>
      <c r="DA349" s="1757"/>
      <c r="DC349" s="391">
        <f>IF($BE349&gt;$R$66-1,12,0)</f>
        <v>12</v>
      </c>
      <c r="DD349" s="1755">
        <f t="shared" si="41"/>
        <v>0</v>
      </c>
      <c r="DE349" s="1756"/>
      <c r="DF349" s="1756"/>
      <c r="DG349" s="1757"/>
      <c r="DH349" s="1755">
        <f t="shared" si="21"/>
        <v>0</v>
      </c>
      <c r="DI349" s="1756"/>
      <c r="DJ349" s="1757"/>
      <c r="DK349" s="1755">
        <f t="shared" si="9"/>
        <v>0</v>
      </c>
      <c r="DL349" s="1756"/>
      <c r="DM349" s="1756"/>
      <c r="DN349" s="1757"/>
      <c r="DP349" s="391">
        <f t="shared" si="22"/>
        <v>12</v>
      </c>
      <c r="DQ349" s="1755">
        <f t="shared" si="23"/>
        <v>0</v>
      </c>
      <c r="DR349" s="1756"/>
      <c r="DS349" s="1756"/>
      <c r="DT349" s="1757"/>
      <c r="DU349" s="1755">
        <f t="shared" si="44"/>
        <v>0</v>
      </c>
      <c r="DV349" s="1756"/>
      <c r="DW349" s="1757"/>
      <c r="DX349" s="1755">
        <f t="shared" si="24"/>
        <v>0</v>
      </c>
      <c r="DY349" s="1756"/>
      <c r="DZ349" s="1757"/>
      <c r="EA349" s="1755">
        <f t="shared" si="36"/>
        <v>0</v>
      </c>
      <c r="EB349" s="1756"/>
      <c r="EC349" s="1756"/>
      <c r="ED349" s="1757"/>
      <c r="EE349" s="384"/>
      <c r="EF349" s="1744">
        <f t="shared" si="11"/>
        <v>0</v>
      </c>
      <c r="EG349" s="1745"/>
      <c r="EH349" s="1745"/>
      <c r="EI349" s="1745"/>
      <c r="EJ349" s="1746"/>
      <c r="EL349" s="1744">
        <f t="shared" si="25"/>
        <v>0</v>
      </c>
      <c r="EM349" s="1745"/>
      <c r="EN349" s="1745"/>
      <c r="EO349" s="1745"/>
      <c r="EP349" s="1746"/>
      <c r="ER349" s="1744">
        <f t="shared" si="12"/>
        <v>0</v>
      </c>
      <c r="ES349" s="1745"/>
      <c r="ET349" s="1745"/>
      <c r="EU349" s="1745"/>
      <c r="EV349" s="1746"/>
      <c r="EX349" s="1744">
        <f>IF(BE349&gt;0,Einstrahlung!$K$32*Kalkulation!$P$62/100*$AY$29,0)</f>
        <v>0</v>
      </c>
      <c r="EY349" s="1745"/>
      <c r="EZ349" s="1745"/>
      <c r="FA349" s="1745"/>
      <c r="FB349" s="1746"/>
      <c r="FC349" s="454">
        <f t="shared" si="26"/>
        <v>0</v>
      </c>
      <c r="FD349" s="1744">
        <f t="shared" si="27"/>
        <v>0</v>
      </c>
      <c r="FE349" s="1745"/>
      <c r="FF349" s="1745"/>
      <c r="FG349" s="1745"/>
      <c r="FH349" s="1746"/>
      <c r="FI349" s="454"/>
      <c r="FJ349" s="453">
        <f t="shared" si="40"/>
        <v>0</v>
      </c>
      <c r="FK349" s="838">
        <f t="shared" si="28"/>
        <v>0</v>
      </c>
      <c r="FL349" s="453">
        <f>IF(FC337=0,0,IF(FK349=1,0,IF(BE349&gt;0,IF($FL$336&gt;SUM($EX$338:$FB$349),SUM($EX$338:$FB$349)/12,$FL$336/12),0)))</f>
        <v>0</v>
      </c>
      <c r="FM349" s="385"/>
      <c r="FN349" s="453">
        <f t="shared" si="29"/>
        <v>0</v>
      </c>
      <c r="FO349" s="962">
        <f t="shared" si="37"/>
        <v>141</v>
      </c>
      <c r="FP349" s="956">
        <f t="shared" si="13"/>
        <v>0.4</v>
      </c>
      <c r="FQ349" s="453">
        <f t="shared" si="45"/>
        <v>0</v>
      </c>
      <c r="FR349" s="957">
        <f>POWER(1+$FQ$333,FS349)</f>
        <v>1</v>
      </c>
      <c r="FS349" s="617">
        <v>0</v>
      </c>
      <c r="FT349" s="1822">
        <f t="shared" si="38"/>
        <v>0</v>
      </c>
      <c r="FU349" s="1823"/>
      <c r="FV349" s="1823"/>
      <c r="FW349" s="1823"/>
      <c r="FX349" s="1824"/>
      <c r="FY349" s="1822">
        <f t="shared" si="30"/>
        <v>0</v>
      </c>
      <c r="FZ349" s="1823"/>
      <c r="GA349" s="1823"/>
      <c r="GB349" s="1824"/>
      <c r="GC349" s="1831">
        <f t="shared" si="31"/>
        <v>0</v>
      </c>
      <c r="GD349" s="1832"/>
      <c r="GE349" s="1832"/>
      <c r="GF349" s="1833"/>
      <c r="GH349" s="1744">
        <f t="shared" si="32"/>
        <v>0</v>
      </c>
      <c r="GI349" s="1745"/>
      <c r="GJ349" s="1745"/>
      <c r="GK349" s="1746"/>
      <c r="GL349" s="1744">
        <f t="shared" si="33"/>
        <v>0</v>
      </c>
      <c r="GM349" s="1745"/>
      <c r="GN349" s="1745"/>
      <c r="GO349" s="1746"/>
      <c r="GP349" s="385"/>
      <c r="GQ349" s="1744">
        <f t="shared" si="34"/>
        <v>0</v>
      </c>
      <c r="GR349" s="1745"/>
      <c r="GS349" s="1745"/>
      <c r="GT349" s="1746"/>
      <c r="GU349" s="192">
        <f t="shared" si="43"/>
        <v>1</v>
      </c>
      <c r="GV349" s="192">
        <f>SUM($GU$337:GU349)</f>
        <v>5</v>
      </c>
      <c r="GW349" s="380">
        <f t="shared" ref="GW349:GW360" si="46">IF(GV349=12,SUM(GQ338:GT349),0)</f>
        <v>0</v>
      </c>
      <c r="HX349" s="380"/>
    </row>
    <row r="350" spans="3:232" ht="12.75" customHeight="1">
      <c r="C350" s="1375" t="s">
        <v>501</v>
      </c>
      <c r="D350" s="535"/>
      <c r="E350" s="762"/>
      <c r="F350" s="1625"/>
      <c r="G350" s="1625"/>
      <c r="H350" s="1625"/>
      <c r="I350" s="1625"/>
      <c r="J350" s="1625"/>
      <c r="K350" s="1625"/>
      <c r="L350" s="1625"/>
      <c r="M350" s="1625"/>
      <c r="N350" s="1625"/>
      <c r="O350" s="1625"/>
      <c r="P350" s="1625"/>
      <c r="Q350" s="1625"/>
      <c r="R350" s="1625"/>
      <c r="S350" s="1625"/>
      <c r="T350" s="1625"/>
      <c r="U350" s="1625"/>
      <c r="V350" s="1625"/>
      <c r="W350" s="1625"/>
      <c r="X350" s="1625"/>
      <c r="Y350" s="1625"/>
      <c r="Z350" s="1625"/>
      <c r="AA350" s="1625"/>
      <c r="AB350" s="1625"/>
      <c r="AC350" s="1625"/>
      <c r="AD350" s="1625"/>
      <c r="AE350" s="1625"/>
      <c r="AF350" s="1625"/>
      <c r="AG350" s="1625"/>
      <c r="AH350" s="1625"/>
      <c r="AI350" s="1625"/>
      <c r="AJ350" s="1625"/>
      <c r="AK350" s="1625"/>
      <c r="AL350" s="1625"/>
      <c r="AM350" s="1625"/>
      <c r="AN350" s="1625"/>
      <c r="AO350" s="537"/>
      <c r="BD350" s="381">
        <f t="shared" ref="BD350:BD361" si="47">IF($V$21&gt;0,1,0)</f>
        <v>1</v>
      </c>
      <c r="BE350" s="382">
        <f>IF(BD350&gt;0,13,0)</f>
        <v>13</v>
      </c>
      <c r="BG350" s="392">
        <f>IF($BE350&gt;$R$66-1+($BR$335*12),13,0)</f>
        <v>13</v>
      </c>
      <c r="BH350" s="1761">
        <f t="shared" si="16"/>
        <v>0</v>
      </c>
      <c r="BI350" s="1762"/>
      <c r="BJ350" s="1762"/>
      <c r="BK350" s="1763"/>
      <c r="BL350" s="1761">
        <f t="shared" si="17"/>
        <v>0</v>
      </c>
      <c r="BM350" s="1762"/>
      <c r="BN350" s="1763"/>
      <c r="BO350" s="1761">
        <f t="shared" si="3"/>
        <v>0</v>
      </c>
      <c r="BP350" s="1762"/>
      <c r="BQ350" s="1763"/>
      <c r="BR350" s="1761">
        <f t="shared" ref="BR350:BR361" si="48">BH350-BL350</f>
        <v>0</v>
      </c>
      <c r="BS350" s="1762"/>
      <c r="BT350" s="1762"/>
      <c r="BU350" s="1763"/>
      <c r="BW350" s="392">
        <f>IF($BE350&gt;$R$66-1+($CH$335*12),13,0)</f>
        <v>13</v>
      </c>
      <c r="BX350" s="1747">
        <f t="shared" si="35"/>
        <v>0</v>
      </c>
      <c r="BY350" s="1748"/>
      <c r="BZ350" s="1748"/>
      <c r="CA350" s="1749"/>
      <c r="CB350" s="1761">
        <f t="shared" si="18"/>
        <v>0</v>
      </c>
      <c r="CC350" s="1762"/>
      <c r="CD350" s="1763"/>
      <c r="CE350" s="1761">
        <f t="shared" si="5"/>
        <v>0</v>
      </c>
      <c r="CF350" s="1762"/>
      <c r="CG350" s="1763"/>
      <c r="CH350" s="1747">
        <f t="shared" si="6"/>
        <v>0</v>
      </c>
      <c r="CI350" s="1748"/>
      <c r="CJ350" s="1748"/>
      <c r="CK350" s="1749"/>
      <c r="CM350" s="392">
        <f>IF($BE350&gt;$R$66-1+($CX$335*12),13,0)</f>
        <v>13</v>
      </c>
      <c r="CN350" s="1747">
        <f t="shared" si="19"/>
        <v>0</v>
      </c>
      <c r="CO350" s="1748"/>
      <c r="CP350" s="1748"/>
      <c r="CQ350" s="1749"/>
      <c r="CR350" s="1761">
        <f t="shared" si="20"/>
        <v>0</v>
      </c>
      <c r="CS350" s="1762"/>
      <c r="CT350" s="1763"/>
      <c r="CU350" s="1761">
        <f t="shared" si="7"/>
        <v>0</v>
      </c>
      <c r="CV350" s="1762"/>
      <c r="CW350" s="1763"/>
      <c r="CX350" s="1747">
        <f t="shared" si="8"/>
        <v>0</v>
      </c>
      <c r="CY350" s="1748"/>
      <c r="CZ350" s="1748"/>
      <c r="DA350" s="1749"/>
      <c r="DC350" s="392">
        <f>IF($BE350&gt;$R$66-1,13,0)</f>
        <v>13</v>
      </c>
      <c r="DD350" s="1747">
        <f t="shared" si="41"/>
        <v>0</v>
      </c>
      <c r="DE350" s="1748"/>
      <c r="DF350" s="1748"/>
      <c r="DG350" s="1749"/>
      <c r="DH350" s="1761">
        <f t="shared" si="21"/>
        <v>0</v>
      </c>
      <c r="DI350" s="1762"/>
      <c r="DJ350" s="1763"/>
      <c r="DK350" s="1747">
        <f t="shared" si="9"/>
        <v>0</v>
      </c>
      <c r="DL350" s="1748"/>
      <c r="DM350" s="1748"/>
      <c r="DN350" s="1749"/>
      <c r="DP350" s="392">
        <f t="shared" si="22"/>
        <v>13</v>
      </c>
      <c r="DQ350" s="1747">
        <f t="shared" si="23"/>
        <v>0</v>
      </c>
      <c r="DR350" s="1748"/>
      <c r="DS350" s="1748"/>
      <c r="DT350" s="1749"/>
      <c r="DU350" s="1761">
        <f t="shared" si="44"/>
        <v>0</v>
      </c>
      <c r="DV350" s="1762"/>
      <c r="DW350" s="1763"/>
      <c r="DX350" s="1761">
        <f t="shared" ref="DX350:DX413" si="49">(DQ350+DU350)*($DR$335/100)/12</f>
        <v>0</v>
      </c>
      <c r="DY350" s="1762"/>
      <c r="DZ350" s="1763"/>
      <c r="EA350" s="1747">
        <f t="shared" ref="EA350:EA413" si="50">DQ350+DU350+DX350</f>
        <v>0</v>
      </c>
      <c r="EB350" s="1748"/>
      <c r="EC350" s="1748"/>
      <c r="ED350" s="1749"/>
      <c r="EE350" s="384"/>
      <c r="EF350" s="1750">
        <f t="shared" si="11"/>
        <v>0</v>
      </c>
      <c r="EG350" s="1751"/>
      <c r="EH350" s="1751"/>
      <c r="EI350" s="1751"/>
      <c r="EJ350" s="1752"/>
      <c r="EL350" s="1750">
        <f>EL338</f>
        <v>0</v>
      </c>
      <c r="EM350" s="1751"/>
      <c r="EN350" s="1751"/>
      <c r="EO350" s="1751"/>
      <c r="EP350" s="1752"/>
      <c r="ER350" s="1750">
        <f t="shared" si="12"/>
        <v>0</v>
      </c>
      <c r="ES350" s="1751"/>
      <c r="ET350" s="1751"/>
      <c r="EU350" s="1751"/>
      <c r="EV350" s="1752"/>
      <c r="EX350" s="1750">
        <f>IF(BE350&gt;0,Einstrahlung!$K$10*Kalkulation!$P$62/100*$AY$29*POWER((100-$P$64)/100,BD350-1),0)</f>
        <v>0</v>
      </c>
      <c r="EY350" s="1751"/>
      <c r="EZ350" s="1751"/>
      <c r="FA350" s="1751"/>
      <c r="FB350" s="1752"/>
      <c r="FD350" s="1750">
        <f t="shared" si="27"/>
        <v>0</v>
      </c>
      <c r="FE350" s="1751"/>
      <c r="FF350" s="1751"/>
      <c r="FG350" s="1751"/>
      <c r="FH350" s="1752"/>
      <c r="FI350" s="385"/>
      <c r="FJ350" s="380">
        <f t="shared" si="40"/>
        <v>0</v>
      </c>
      <c r="FK350" s="838">
        <f>IF($FK$333&gt;1,1,0)</f>
        <v>0</v>
      </c>
      <c r="FL350" s="380">
        <f t="shared" ref="FL350:FL361" si="51">IF(FK350=1,0,IF(BE350&gt;0,IF($FL$336&gt;SUM($EX$350:$FB$361),SUM($EX$350:$FB$361)/12,$FL$336/12),0))</f>
        <v>0</v>
      </c>
      <c r="FM350" s="385"/>
      <c r="FN350" s="380">
        <f t="shared" si="29"/>
        <v>0</v>
      </c>
      <c r="FO350" s="962">
        <f t="shared" si="37"/>
        <v>142</v>
      </c>
      <c r="FP350" s="956">
        <f t="shared" si="13"/>
        <v>0.4</v>
      </c>
      <c r="FQ350" s="380">
        <f t="shared" si="45"/>
        <v>0</v>
      </c>
      <c r="FR350" s="626">
        <f>IF(AND(GV350&gt;0,GV350&lt;=12),$FR$349,IF(AND(GV350&gt;12,GV350&lt;=24),$FR$361,0))</f>
        <v>1</v>
      </c>
      <c r="FS350" s="616"/>
      <c r="FT350" s="1819">
        <f t="shared" si="38"/>
        <v>0</v>
      </c>
      <c r="FU350" s="1820"/>
      <c r="FV350" s="1820"/>
      <c r="FW350" s="1820"/>
      <c r="FX350" s="1821"/>
      <c r="FY350" s="1819">
        <f t="shared" si="30"/>
        <v>0</v>
      </c>
      <c r="FZ350" s="1820"/>
      <c r="GA350" s="1820"/>
      <c r="GB350" s="1821"/>
      <c r="GC350" s="1825">
        <f t="shared" si="31"/>
        <v>0</v>
      </c>
      <c r="GD350" s="1826"/>
      <c r="GE350" s="1826"/>
      <c r="GF350" s="1827"/>
      <c r="GH350" s="1750">
        <f t="shared" si="32"/>
        <v>0</v>
      </c>
      <c r="GI350" s="1751"/>
      <c r="GJ350" s="1751"/>
      <c r="GK350" s="1751"/>
      <c r="GL350" s="1750">
        <f t="shared" si="33"/>
        <v>0</v>
      </c>
      <c r="GM350" s="1751"/>
      <c r="GN350" s="1751"/>
      <c r="GO350" s="1752"/>
      <c r="GP350" s="385"/>
      <c r="GQ350" s="1865">
        <f t="shared" si="34"/>
        <v>0</v>
      </c>
      <c r="GR350" s="1866"/>
      <c r="GS350" s="1866"/>
      <c r="GT350" s="1867"/>
      <c r="GU350" s="192">
        <f t="shared" si="43"/>
        <v>1</v>
      </c>
      <c r="GV350" s="192">
        <f>SUM($GU$337:GU350)</f>
        <v>6</v>
      </c>
      <c r="GW350" s="380">
        <f t="shared" si="46"/>
        <v>0</v>
      </c>
      <c r="HX350" s="380"/>
    </row>
    <row r="351" spans="3:232" ht="12.75" customHeight="1">
      <c r="C351" s="1376"/>
      <c r="D351" s="313"/>
      <c r="E351" s="247"/>
      <c r="F351" s="247"/>
      <c r="G351" s="247"/>
      <c r="H351" s="247"/>
      <c r="I351" s="247"/>
      <c r="J351" s="247"/>
      <c r="K351" s="247"/>
      <c r="L351" s="247"/>
      <c r="M351" s="247"/>
      <c r="N351" s="247"/>
      <c r="O351" s="247"/>
      <c r="P351" s="247"/>
      <c r="Q351" s="247"/>
      <c r="R351" s="247"/>
      <c r="S351" s="247"/>
      <c r="T351" s="247"/>
      <c r="U351" s="247"/>
      <c r="V351" s="247"/>
      <c r="W351" s="247"/>
      <c r="X351" s="247"/>
      <c r="Y351" s="247"/>
      <c r="Z351" s="247"/>
      <c r="AA351" s="247"/>
      <c r="AB351" s="251"/>
      <c r="AD351" s="247"/>
      <c r="AE351" s="247"/>
      <c r="AF351" s="247"/>
      <c r="AG351" s="247"/>
      <c r="AH351" s="247"/>
      <c r="AI351" s="247"/>
      <c r="AJ351" s="247"/>
      <c r="AK351" s="247"/>
      <c r="AL351" s="247"/>
      <c r="AM351" s="247"/>
      <c r="AN351" s="247"/>
      <c r="AO351" s="314"/>
      <c r="BD351" s="387">
        <f t="shared" si="47"/>
        <v>1</v>
      </c>
      <c r="BE351" s="382">
        <f>IF(BD351&gt;0,14,0)</f>
        <v>14</v>
      </c>
      <c r="BG351" s="383">
        <f>IF($BE351&gt;$R$66-1+($BR$335*12),14,0)</f>
        <v>14</v>
      </c>
      <c r="BH351" s="1747">
        <f t="shared" si="16"/>
        <v>0</v>
      </c>
      <c r="BI351" s="1748"/>
      <c r="BJ351" s="1748"/>
      <c r="BK351" s="1749"/>
      <c r="BL351" s="1747">
        <f t="shared" si="17"/>
        <v>0</v>
      </c>
      <c r="BM351" s="1748"/>
      <c r="BN351" s="1749"/>
      <c r="BO351" s="1747">
        <f t="shared" si="3"/>
        <v>0</v>
      </c>
      <c r="BP351" s="1748"/>
      <c r="BQ351" s="1749"/>
      <c r="BR351" s="1747">
        <f t="shared" si="48"/>
        <v>0</v>
      </c>
      <c r="BS351" s="1748"/>
      <c r="BT351" s="1748"/>
      <c r="BU351" s="1749"/>
      <c r="BW351" s="393">
        <f>IF($BE351&gt;$R$66-1+($CH$335*12),14,0)</f>
        <v>14</v>
      </c>
      <c r="BX351" s="1747">
        <f t="shared" si="35"/>
        <v>0</v>
      </c>
      <c r="BY351" s="1748"/>
      <c r="BZ351" s="1748"/>
      <c r="CA351" s="1749"/>
      <c r="CB351" s="1747">
        <f t="shared" si="18"/>
        <v>0</v>
      </c>
      <c r="CC351" s="1748"/>
      <c r="CD351" s="1749"/>
      <c r="CE351" s="1747">
        <f t="shared" si="5"/>
        <v>0</v>
      </c>
      <c r="CF351" s="1748"/>
      <c r="CG351" s="1749"/>
      <c r="CH351" s="1747">
        <f t="shared" si="6"/>
        <v>0</v>
      </c>
      <c r="CI351" s="1748"/>
      <c r="CJ351" s="1748"/>
      <c r="CK351" s="1749"/>
      <c r="CM351" s="393">
        <f>IF($BE351&gt;$R$66-1+($CX$335*12),14,0)</f>
        <v>14</v>
      </c>
      <c r="CN351" s="1747">
        <f t="shared" si="19"/>
        <v>0</v>
      </c>
      <c r="CO351" s="1748"/>
      <c r="CP351" s="1748"/>
      <c r="CQ351" s="1749"/>
      <c r="CR351" s="1747">
        <f t="shared" si="20"/>
        <v>0</v>
      </c>
      <c r="CS351" s="1748"/>
      <c r="CT351" s="1749"/>
      <c r="CU351" s="1747">
        <f t="shared" si="7"/>
        <v>0</v>
      </c>
      <c r="CV351" s="1748"/>
      <c r="CW351" s="1749"/>
      <c r="CX351" s="1747">
        <f t="shared" si="8"/>
        <v>0</v>
      </c>
      <c r="CY351" s="1748"/>
      <c r="CZ351" s="1748"/>
      <c r="DA351" s="1749"/>
      <c r="DC351" s="393">
        <f>IF($BE351&gt;$R$66-1,14,0)</f>
        <v>14</v>
      </c>
      <c r="DD351" s="1747">
        <f t="shared" si="41"/>
        <v>0</v>
      </c>
      <c r="DE351" s="1748"/>
      <c r="DF351" s="1748"/>
      <c r="DG351" s="1749"/>
      <c r="DH351" s="1747">
        <f t="shared" si="21"/>
        <v>0</v>
      </c>
      <c r="DI351" s="1748"/>
      <c r="DJ351" s="1749"/>
      <c r="DK351" s="1747">
        <f t="shared" si="9"/>
        <v>0</v>
      </c>
      <c r="DL351" s="1748"/>
      <c r="DM351" s="1748"/>
      <c r="DN351" s="1749"/>
      <c r="DP351" s="393">
        <f t="shared" si="22"/>
        <v>14</v>
      </c>
      <c r="DQ351" s="1747">
        <f t="shared" si="23"/>
        <v>0</v>
      </c>
      <c r="DR351" s="1748"/>
      <c r="DS351" s="1748"/>
      <c r="DT351" s="1749"/>
      <c r="DU351" s="1747">
        <f t="shared" si="44"/>
        <v>0</v>
      </c>
      <c r="DV351" s="1748"/>
      <c r="DW351" s="1749"/>
      <c r="DX351" s="1747">
        <f t="shared" si="49"/>
        <v>0</v>
      </c>
      <c r="DY351" s="1748"/>
      <c r="DZ351" s="1749"/>
      <c r="EA351" s="1747">
        <f t="shared" si="50"/>
        <v>0</v>
      </c>
      <c r="EB351" s="1748"/>
      <c r="EC351" s="1748"/>
      <c r="ED351" s="1749"/>
      <c r="EE351" s="384"/>
      <c r="EF351" s="1750">
        <f t="shared" si="11"/>
        <v>0</v>
      </c>
      <c r="EG351" s="1751"/>
      <c r="EH351" s="1751"/>
      <c r="EI351" s="1751"/>
      <c r="EJ351" s="1752"/>
      <c r="EL351" s="1750">
        <f>EL339</f>
        <v>0</v>
      </c>
      <c r="EM351" s="1751"/>
      <c r="EN351" s="1751"/>
      <c r="EO351" s="1751"/>
      <c r="EP351" s="1752"/>
      <c r="ER351" s="1750">
        <f t="shared" si="12"/>
        <v>0</v>
      </c>
      <c r="ES351" s="1751"/>
      <c r="ET351" s="1751"/>
      <c r="EU351" s="1751"/>
      <c r="EV351" s="1752"/>
      <c r="EX351" s="1750">
        <f>IF(BE351&gt;0,Einstrahlung!$K$12*Kalkulation!$P$62/100*$AY$29*POWER((100-$P$64)/100,BD351-1),0)</f>
        <v>0</v>
      </c>
      <c r="EY351" s="1751"/>
      <c r="EZ351" s="1751"/>
      <c r="FA351" s="1751"/>
      <c r="FB351" s="1752"/>
      <c r="FD351" s="1750">
        <f t="shared" si="27"/>
        <v>0</v>
      </c>
      <c r="FE351" s="1751"/>
      <c r="FF351" s="1751"/>
      <c r="FG351" s="1751"/>
      <c r="FH351" s="1752"/>
      <c r="FI351" s="385"/>
      <c r="FJ351" s="380">
        <f t="shared" si="40"/>
        <v>0</v>
      </c>
      <c r="FK351" s="838">
        <f t="shared" ref="FK351:FK361" si="52">IF($FK$333&gt;1,1,0)</f>
        <v>0</v>
      </c>
      <c r="FL351" s="380">
        <f t="shared" si="51"/>
        <v>0</v>
      </c>
      <c r="FM351" s="385"/>
      <c r="FN351" s="380">
        <f t="shared" si="29"/>
        <v>0</v>
      </c>
      <c r="FO351" s="962">
        <f t="shared" si="37"/>
        <v>143</v>
      </c>
      <c r="FP351" s="956">
        <f t="shared" si="13"/>
        <v>0.4</v>
      </c>
      <c r="FQ351" s="380">
        <f t="shared" si="45"/>
        <v>0</v>
      </c>
      <c r="FR351" s="626">
        <f t="shared" ref="FR351:FR360" si="53">IF(AND(GV351&gt;0,GV351&lt;=12),$FR$349,IF(AND(GV351&gt;12,GV351&lt;=24),$FR$361,0))</f>
        <v>1</v>
      </c>
      <c r="FS351" s="616"/>
      <c r="FT351" s="1819">
        <f t="shared" si="38"/>
        <v>0</v>
      </c>
      <c r="FU351" s="1820"/>
      <c r="FV351" s="1820"/>
      <c r="FW351" s="1820"/>
      <c r="FX351" s="1821"/>
      <c r="FY351" s="1819">
        <f t="shared" si="30"/>
        <v>0</v>
      </c>
      <c r="FZ351" s="1820"/>
      <c r="GA351" s="1820"/>
      <c r="GB351" s="1821"/>
      <c r="GC351" s="1825">
        <f t="shared" ref="GC351:GC414" si="54">FT351+FY351</f>
        <v>0</v>
      </c>
      <c r="GD351" s="1826"/>
      <c r="GE351" s="1826"/>
      <c r="GF351" s="1827"/>
      <c r="GH351" s="1750">
        <f t="shared" si="32"/>
        <v>0</v>
      </c>
      <c r="GI351" s="1751"/>
      <c r="GJ351" s="1751"/>
      <c r="GK351" s="1752"/>
      <c r="GL351" s="1750">
        <f t="shared" si="33"/>
        <v>0</v>
      </c>
      <c r="GM351" s="1751"/>
      <c r="GN351" s="1751"/>
      <c r="GO351" s="1752"/>
      <c r="GP351" s="385"/>
      <c r="GQ351" s="1750">
        <f t="shared" si="34"/>
        <v>0</v>
      </c>
      <c r="GR351" s="1751"/>
      <c r="GS351" s="1751"/>
      <c r="GT351" s="1752"/>
      <c r="GU351" s="192">
        <f t="shared" si="43"/>
        <v>1</v>
      </c>
      <c r="GV351" s="192">
        <f>SUM($GU$337:GU351)</f>
        <v>7</v>
      </c>
      <c r="GW351" s="380">
        <f t="shared" si="46"/>
        <v>0</v>
      </c>
      <c r="HX351" s="380"/>
    </row>
    <row r="352" spans="3:232" ht="12.75" customHeight="1">
      <c r="C352" s="1377"/>
      <c r="D352" s="313"/>
      <c r="E352" s="247"/>
      <c r="F352" s="247"/>
      <c r="G352" s="247"/>
      <c r="H352" s="247"/>
      <c r="I352" s="247"/>
      <c r="J352" s="247"/>
      <c r="K352" s="247"/>
      <c r="L352" s="247"/>
      <c r="M352" s="247"/>
      <c r="N352" s="247"/>
      <c r="O352" s="247"/>
      <c r="P352" s="247"/>
      <c r="Q352" s="247"/>
      <c r="R352" s="247"/>
      <c r="S352" s="247"/>
      <c r="T352" s="247"/>
      <c r="U352" s="247"/>
      <c r="V352" s="247"/>
      <c r="W352" s="247"/>
      <c r="X352" s="247"/>
      <c r="Y352" s="247"/>
      <c r="Z352" s="247"/>
      <c r="AA352" s="247"/>
      <c r="AB352" s="251"/>
      <c r="AD352" s="247"/>
      <c r="AE352" s="247"/>
      <c r="AF352" s="247"/>
      <c r="AG352" s="247"/>
      <c r="AH352" s="247"/>
      <c r="AI352" s="247"/>
      <c r="AJ352" s="247"/>
      <c r="AK352" s="247"/>
      <c r="AL352" s="247"/>
      <c r="AM352" s="247"/>
      <c r="AN352" s="247"/>
      <c r="AO352" s="314"/>
      <c r="BD352" s="387">
        <f t="shared" si="47"/>
        <v>1</v>
      </c>
      <c r="BE352" s="382">
        <f>IF(BD352&gt;0,15,0)</f>
        <v>15</v>
      </c>
      <c r="BG352" s="383">
        <f>IF($BE352&gt;$R$66-1+($BR$335*12),15,0)</f>
        <v>15</v>
      </c>
      <c r="BH352" s="1747">
        <f t="shared" si="16"/>
        <v>0</v>
      </c>
      <c r="BI352" s="1748"/>
      <c r="BJ352" s="1748"/>
      <c r="BK352" s="1749"/>
      <c r="BL352" s="1747">
        <f t="shared" si="17"/>
        <v>0</v>
      </c>
      <c r="BM352" s="1748"/>
      <c r="BN352" s="1749"/>
      <c r="BO352" s="1747">
        <f t="shared" si="3"/>
        <v>0</v>
      </c>
      <c r="BP352" s="1748"/>
      <c r="BQ352" s="1749"/>
      <c r="BR352" s="1747">
        <f t="shared" si="48"/>
        <v>0</v>
      </c>
      <c r="BS352" s="1748"/>
      <c r="BT352" s="1748"/>
      <c r="BU352" s="1749"/>
      <c r="BW352" s="383">
        <f>IF($BE352&gt;$R$66-1+($CH$335*12),15,0)</f>
        <v>15</v>
      </c>
      <c r="BX352" s="1747">
        <f t="shared" si="35"/>
        <v>0</v>
      </c>
      <c r="BY352" s="1748"/>
      <c r="BZ352" s="1748"/>
      <c r="CA352" s="1749"/>
      <c r="CB352" s="1747">
        <f t="shared" si="18"/>
        <v>0</v>
      </c>
      <c r="CC352" s="1748"/>
      <c r="CD352" s="1749"/>
      <c r="CE352" s="1747">
        <f t="shared" si="5"/>
        <v>0</v>
      </c>
      <c r="CF352" s="1748"/>
      <c r="CG352" s="1749"/>
      <c r="CH352" s="1747">
        <f t="shared" si="6"/>
        <v>0</v>
      </c>
      <c r="CI352" s="1748"/>
      <c r="CJ352" s="1748"/>
      <c r="CK352" s="1749"/>
      <c r="CM352" s="383">
        <f>IF($BE352&gt;$R$66-1+($CX$335*12),15,0)</f>
        <v>15</v>
      </c>
      <c r="CN352" s="1747">
        <f t="shared" si="19"/>
        <v>0</v>
      </c>
      <c r="CO352" s="1748"/>
      <c r="CP352" s="1748"/>
      <c r="CQ352" s="1749"/>
      <c r="CR352" s="1747">
        <f t="shared" si="20"/>
        <v>0</v>
      </c>
      <c r="CS352" s="1748"/>
      <c r="CT352" s="1749"/>
      <c r="CU352" s="1747">
        <f t="shared" si="7"/>
        <v>0</v>
      </c>
      <c r="CV352" s="1748"/>
      <c r="CW352" s="1749"/>
      <c r="CX352" s="1747">
        <f t="shared" si="8"/>
        <v>0</v>
      </c>
      <c r="CY352" s="1748"/>
      <c r="CZ352" s="1748"/>
      <c r="DA352" s="1749"/>
      <c r="DC352" s="383">
        <f>IF($BE352&gt;$R$66-1,15,0)</f>
        <v>15</v>
      </c>
      <c r="DD352" s="1747">
        <f t="shared" si="41"/>
        <v>0</v>
      </c>
      <c r="DE352" s="1748"/>
      <c r="DF352" s="1748"/>
      <c r="DG352" s="1749"/>
      <c r="DH352" s="1747">
        <f t="shared" si="21"/>
        <v>0</v>
      </c>
      <c r="DI352" s="1748"/>
      <c r="DJ352" s="1749"/>
      <c r="DK352" s="1747">
        <f t="shared" si="9"/>
        <v>0</v>
      </c>
      <c r="DL352" s="1748"/>
      <c r="DM352" s="1748"/>
      <c r="DN352" s="1749"/>
      <c r="DP352" s="383">
        <f t="shared" si="22"/>
        <v>15</v>
      </c>
      <c r="DQ352" s="1747">
        <f t="shared" si="23"/>
        <v>0</v>
      </c>
      <c r="DR352" s="1748"/>
      <c r="DS352" s="1748"/>
      <c r="DT352" s="1749"/>
      <c r="DU352" s="1747">
        <f t="shared" si="44"/>
        <v>0</v>
      </c>
      <c r="DV352" s="1748"/>
      <c r="DW352" s="1749"/>
      <c r="DX352" s="1747">
        <f t="shared" si="49"/>
        <v>0</v>
      </c>
      <c r="DY352" s="1748"/>
      <c r="DZ352" s="1749"/>
      <c r="EA352" s="1747">
        <f t="shared" si="50"/>
        <v>0</v>
      </c>
      <c r="EB352" s="1748"/>
      <c r="EC352" s="1748"/>
      <c r="ED352" s="1749"/>
      <c r="EE352" s="384"/>
      <c r="EF352" s="1750">
        <f t="shared" si="11"/>
        <v>0</v>
      </c>
      <c r="EG352" s="1751"/>
      <c r="EH352" s="1751"/>
      <c r="EI352" s="1751"/>
      <c r="EJ352" s="1752"/>
      <c r="EL352" s="1750">
        <f>EL340</f>
        <v>0</v>
      </c>
      <c r="EM352" s="1751"/>
      <c r="EN352" s="1751"/>
      <c r="EO352" s="1751"/>
      <c r="EP352" s="1752"/>
      <c r="ER352" s="1750">
        <f t="shared" si="12"/>
        <v>0</v>
      </c>
      <c r="ES352" s="1751"/>
      <c r="ET352" s="1751"/>
      <c r="EU352" s="1751"/>
      <c r="EV352" s="1752"/>
      <c r="EX352" s="1750">
        <f>IF(BE352&gt;0,Einstrahlung!$K$14*Kalkulation!$P$62/100*$AY$29*POWER((100-$P$64)/100,BD352-1),0)</f>
        <v>0</v>
      </c>
      <c r="EY352" s="1751"/>
      <c r="EZ352" s="1751"/>
      <c r="FA352" s="1751"/>
      <c r="FB352" s="1752"/>
      <c r="FD352" s="1750">
        <f t="shared" si="27"/>
        <v>0</v>
      </c>
      <c r="FE352" s="1751"/>
      <c r="FF352" s="1751"/>
      <c r="FG352" s="1751"/>
      <c r="FH352" s="1752"/>
      <c r="FI352" s="385"/>
      <c r="FJ352" s="380">
        <f t="shared" si="40"/>
        <v>0</v>
      </c>
      <c r="FK352" s="838">
        <f t="shared" si="52"/>
        <v>0</v>
      </c>
      <c r="FL352" s="380">
        <f t="shared" si="51"/>
        <v>0</v>
      </c>
      <c r="FM352" s="385"/>
      <c r="FN352" s="380">
        <f t="shared" si="29"/>
        <v>0</v>
      </c>
      <c r="FO352" s="962">
        <f t="shared" si="37"/>
        <v>144</v>
      </c>
      <c r="FP352" s="956">
        <f t="shared" si="13"/>
        <v>0.4</v>
      </c>
      <c r="FQ352" s="380">
        <f t="shared" si="45"/>
        <v>0</v>
      </c>
      <c r="FR352" s="626">
        <f t="shared" si="53"/>
        <v>1</v>
      </c>
      <c r="FS352" s="616"/>
      <c r="FT352" s="1819">
        <f t="shared" si="38"/>
        <v>0</v>
      </c>
      <c r="FU352" s="1820"/>
      <c r="FV352" s="1820"/>
      <c r="FW352" s="1820"/>
      <c r="FX352" s="1821"/>
      <c r="FY352" s="1819">
        <f t="shared" si="30"/>
        <v>0</v>
      </c>
      <c r="FZ352" s="1820"/>
      <c r="GA352" s="1820"/>
      <c r="GB352" s="1821"/>
      <c r="GC352" s="1825">
        <f t="shared" si="54"/>
        <v>0</v>
      </c>
      <c r="GD352" s="1826"/>
      <c r="GE352" s="1826"/>
      <c r="GF352" s="1827"/>
      <c r="GH352" s="1750">
        <f t="shared" si="32"/>
        <v>0</v>
      </c>
      <c r="GI352" s="1751"/>
      <c r="GJ352" s="1751"/>
      <c r="GK352" s="1752"/>
      <c r="GL352" s="1750">
        <f t="shared" si="33"/>
        <v>0</v>
      </c>
      <c r="GM352" s="1751"/>
      <c r="GN352" s="1751"/>
      <c r="GO352" s="1752"/>
      <c r="GP352" s="385"/>
      <c r="GQ352" s="1750">
        <f t="shared" si="34"/>
        <v>0</v>
      </c>
      <c r="GR352" s="1751"/>
      <c r="GS352" s="1751"/>
      <c r="GT352" s="1752"/>
      <c r="GU352" s="192">
        <f t="shared" si="43"/>
        <v>1</v>
      </c>
      <c r="GV352" s="192">
        <f>SUM($GU$337:GU352)</f>
        <v>8</v>
      </c>
      <c r="GW352" s="380">
        <f t="shared" si="46"/>
        <v>0</v>
      </c>
      <c r="HX352" s="380"/>
    </row>
    <row r="353" spans="4:232" ht="12.75" customHeight="1">
      <c r="D353" s="313"/>
      <c r="E353" s="247"/>
      <c r="F353" s="247"/>
      <c r="G353" s="247"/>
      <c r="H353" s="247"/>
      <c r="I353" s="247"/>
      <c r="J353" s="247"/>
      <c r="K353" s="247"/>
      <c r="L353" s="247"/>
      <c r="M353" s="247"/>
      <c r="N353" s="247"/>
      <c r="O353" s="247"/>
      <c r="P353" s="247"/>
      <c r="Q353" s="247"/>
      <c r="R353" s="247"/>
      <c r="S353" s="247"/>
      <c r="T353" s="247"/>
      <c r="U353" s="247"/>
      <c r="V353" s="247"/>
      <c r="W353" s="247"/>
      <c r="X353" s="247"/>
      <c r="Y353" s="247"/>
      <c r="Z353" s="247"/>
      <c r="AA353" s="247"/>
      <c r="AB353" s="251"/>
      <c r="AD353" s="247"/>
      <c r="AE353" s="247"/>
      <c r="AF353" s="247"/>
      <c r="AG353" s="247"/>
      <c r="AH353" s="247"/>
      <c r="AI353" s="247"/>
      <c r="AJ353" s="247"/>
      <c r="AK353" s="247"/>
      <c r="AL353" s="247"/>
      <c r="AM353" s="247"/>
      <c r="AN353" s="247"/>
      <c r="AO353" s="314"/>
      <c r="BD353" s="387">
        <f t="shared" si="47"/>
        <v>1</v>
      </c>
      <c r="BE353" s="382">
        <f>IF(BD353&gt;0,16,0)</f>
        <v>16</v>
      </c>
      <c r="BG353" s="383">
        <f>IF($BE353&gt;$R$66-1+($BR$335*12),16,0)</f>
        <v>16</v>
      </c>
      <c r="BH353" s="1747">
        <f t="shared" si="16"/>
        <v>0</v>
      </c>
      <c r="BI353" s="1748"/>
      <c r="BJ353" s="1748"/>
      <c r="BK353" s="1749"/>
      <c r="BL353" s="1747">
        <f t="shared" si="17"/>
        <v>0</v>
      </c>
      <c r="BM353" s="1748"/>
      <c r="BN353" s="1749"/>
      <c r="BO353" s="1747">
        <f t="shared" si="3"/>
        <v>0</v>
      </c>
      <c r="BP353" s="1748"/>
      <c r="BQ353" s="1749"/>
      <c r="BR353" s="1747">
        <f t="shared" si="48"/>
        <v>0</v>
      </c>
      <c r="BS353" s="1748"/>
      <c r="BT353" s="1748"/>
      <c r="BU353" s="1749"/>
      <c r="BW353" s="383">
        <f>IF($BE353&gt;$R$66-1+($CH$335*12),16,0)</f>
        <v>16</v>
      </c>
      <c r="BX353" s="1747">
        <f t="shared" si="35"/>
        <v>0</v>
      </c>
      <c r="BY353" s="1748"/>
      <c r="BZ353" s="1748"/>
      <c r="CA353" s="1749"/>
      <c r="CB353" s="1747">
        <f t="shared" si="18"/>
        <v>0</v>
      </c>
      <c r="CC353" s="1748"/>
      <c r="CD353" s="1749"/>
      <c r="CE353" s="1747">
        <f t="shared" si="5"/>
        <v>0</v>
      </c>
      <c r="CF353" s="1748"/>
      <c r="CG353" s="1749"/>
      <c r="CH353" s="1747">
        <f t="shared" si="6"/>
        <v>0</v>
      </c>
      <c r="CI353" s="1748"/>
      <c r="CJ353" s="1748"/>
      <c r="CK353" s="1749"/>
      <c r="CM353" s="383">
        <f>IF($BE353&gt;$R$66-1+($CX$335*12),16,0)</f>
        <v>16</v>
      </c>
      <c r="CN353" s="1747">
        <f t="shared" si="19"/>
        <v>0</v>
      </c>
      <c r="CO353" s="1748"/>
      <c r="CP353" s="1748"/>
      <c r="CQ353" s="1749"/>
      <c r="CR353" s="1747">
        <f t="shared" si="20"/>
        <v>0</v>
      </c>
      <c r="CS353" s="1748"/>
      <c r="CT353" s="1749"/>
      <c r="CU353" s="1747">
        <f t="shared" si="7"/>
        <v>0</v>
      </c>
      <c r="CV353" s="1748"/>
      <c r="CW353" s="1749"/>
      <c r="CX353" s="1747">
        <f t="shared" si="8"/>
        <v>0</v>
      </c>
      <c r="CY353" s="1748"/>
      <c r="CZ353" s="1748"/>
      <c r="DA353" s="1749"/>
      <c r="DC353" s="383">
        <f>IF($BE353&gt;$R$66-1,16,0)</f>
        <v>16</v>
      </c>
      <c r="DD353" s="1747">
        <f t="shared" si="41"/>
        <v>0</v>
      </c>
      <c r="DE353" s="1748"/>
      <c r="DF353" s="1748"/>
      <c r="DG353" s="1749"/>
      <c r="DH353" s="1747">
        <f t="shared" si="21"/>
        <v>0</v>
      </c>
      <c r="DI353" s="1748"/>
      <c r="DJ353" s="1749"/>
      <c r="DK353" s="1747">
        <f t="shared" si="9"/>
        <v>0</v>
      </c>
      <c r="DL353" s="1748"/>
      <c r="DM353" s="1748"/>
      <c r="DN353" s="1749"/>
      <c r="DP353" s="383">
        <f t="shared" si="22"/>
        <v>16</v>
      </c>
      <c r="DQ353" s="1747">
        <f t="shared" si="23"/>
        <v>0</v>
      </c>
      <c r="DR353" s="1748"/>
      <c r="DS353" s="1748"/>
      <c r="DT353" s="1749"/>
      <c r="DU353" s="1747">
        <f t="shared" si="44"/>
        <v>0</v>
      </c>
      <c r="DV353" s="1748"/>
      <c r="DW353" s="1749"/>
      <c r="DX353" s="1747">
        <f t="shared" si="49"/>
        <v>0</v>
      </c>
      <c r="DY353" s="1748"/>
      <c r="DZ353" s="1749"/>
      <c r="EA353" s="1747">
        <f t="shared" si="50"/>
        <v>0</v>
      </c>
      <c r="EB353" s="1748"/>
      <c r="EC353" s="1748"/>
      <c r="ED353" s="1749"/>
      <c r="EE353" s="384"/>
      <c r="EF353" s="1750">
        <f t="shared" si="11"/>
        <v>0</v>
      </c>
      <c r="EG353" s="1751"/>
      <c r="EH353" s="1751"/>
      <c r="EI353" s="1751"/>
      <c r="EJ353" s="1752"/>
      <c r="EL353" s="1750">
        <f>EL341</f>
        <v>0</v>
      </c>
      <c r="EM353" s="1751"/>
      <c r="EN353" s="1751"/>
      <c r="EO353" s="1751"/>
      <c r="EP353" s="1752"/>
      <c r="ER353" s="1750">
        <f t="shared" si="12"/>
        <v>0</v>
      </c>
      <c r="ES353" s="1751"/>
      <c r="ET353" s="1751"/>
      <c r="EU353" s="1751"/>
      <c r="EV353" s="1752"/>
      <c r="EX353" s="1750">
        <f>IF(BE353&gt;0,Einstrahlung!$K$16*Kalkulation!$P$62/100*$AY$29*POWER((100-$P$64)/100,BD353-1),0)</f>
        <v>0</v>
      </c>
      <c r="EY353" s="1751"/>
      <c r="EZ353" s="1751"/>
      <c r="FA353" s="1751"/>
      <c r="FB353" s="1752"/>
      <c r="FD353" s="1750">
        <f t="shared" si="27"/>
        <v>0</v>
      </c>
      <c r="FE353" s="1751"/>
      <c r="FF353" s="1751"/>
      <c r="FG353" s="1751"/>
      <c r="FH353" s="1752"/>
      <c r="FI353" s="385"/>
      <c r="FJ353" s="380">
        <f t="shared" si="40"/>
        <v>0</v>
      </c>
      <c r="FK353" s="838">
        <f t="shared" si="52"/>
        <v>0</v>
      </c>
      <c r="FL353" s="380">
        <f t="shared" si="51"/>
        <v>0</v>
      </c>
      <c r="FM353" s="385"/>
      <c r="FN353" s="380">
        <f>FL353*$FN$336</f>
        <v>0</v>
      </c>
      <c r="FO353" s="962">
        <f t="shared" si="37"/>
        <v>145</v>
      </c>
      <c r="FP353" s="956">
        <f t="shared" si="13"/>
        <v>0.4</v>
      </c>
      <c r="FQ353" s="380">
        <f t="shared" si="45"/>
        <v>0</v>
      </c>
      <c r="FR353" s="626">
        <f t="shared" si="53"/>
        <v>1</v>
      </c>
      <c r="FS353" s="616"/>
      <c r="FT353" s="1819">
        <f t="shared" si="38"/>
        <v>0</v>
      </c>
      <c r="FU353" s="1820"/>
      <c r="FV353" s="1820"/>
      <c r="FW353" s="1820"/>
      <c r="FX353" s="1821"/>
      <c r="FY353" s="1819">
        <f t="shared" si="30"/>
        <v>0</v>
      </c>
      <c r="FZ353" s="1820"/>
      <c r="GA353" s="1820"/>
      <c r="GB353" s="1821"/>
      <c r="GC353" s="1825">
        <f t="shared" si="54"/>
        <v>0</v>
      </c>
      <c r="GD353" s="1826"/>
      <c r="GE353" s="1826"/>
      <c r="GF353" s="1827"/>
      <c r="GH353" s="1750">
        <f t="shared" si="32"/>
        <v>0</v>
      </c>
      <c r="GI353" s="1751"/>
      <c r="GJ353" s="1751"/>
      <c r="GK353" s="1752"/>
      <c r="GL353" s="1750">
        <f t="shared" si="33"/>
        <v>0</v>
      </c>
      <c r="GM353" s="1751"/>
      <c r="GN353" s="1751"/>
      <c r="GO353" s="1752"/>
      <c r="GP353" s="385"/>
      <c r="GQ353" s="1750">
        <f t="shared" si="34"/>
        <v>0</v>
      </c>
      <c r="GR353" s="1751"/>
      <c r="GS353" s="1751"/>
      <c r="GT353" s="1752"/>
      <c r="GU353" s="192">
        <f t="shared" si="43"/>
        <v>1</v>
      </c>
      <c r="GV353" s="192">
        <f>SUM($GU$337:GU353)</f>
        <v>9</v>
      </c>
      <c r="GW353" s="380">
        <f t="shared" si="46"/>
        <v>0</v>
      </c>
      <c r="HX353" s="380"/>
    </row>
    <row r="354" spans="4:232" ht="12.75" customHeight="1">
      <c r="D354" s="313"/>
      <c r="E354" s="247"/>
      <c r="F354" s="247"/>
      <c r="G354" s="247"/>
      <c r="H354" s="247"/>
      <c r="I354" s="247"/>
      <c r="J354" s="247"/>
      <c r="K354" s="247"/>
      <c r="L354" s="247"/>
      <c r="M354" s="247"/>
      <c r="N354" s="247"/>
      <c r="O354" s="247"/>
      <c r="P354" s="247"/>
      <c r="Q354" s="247"/>
      <c r="R354" s="247"/>
      <c r="S354" s="247"/>
      <c r="T354" s="247"/>
      <c r="U354" s="247"/>
      <c r="V354" s="247"/>
      <c r="W354" s="247"/>
      <c r="X354" s="247"/>
      <c r="Y354" s="247"/>
      <c r="Z354" s="247"/>
      <c r="AA354" s="247"/>
      <c r="AB354" s="251"/>
      <c r="AD354" s="247"/>
      <c r="AE354" s="247"/>
      <c r="AF354" s="247"/>
      <c r="AG354" s="247"/>
      <c r="AH354" s="247"/>
      <c r="AI354" s="247"/>
      <c r="AJ354" s="247"/>
      <c r="AK354" s="247"/>
      <c r="AL354" s="247"/>
      <c r="AM354" s="247"/>
      <c r="AN354" s="247"/>
      <c r="AO354" s="314"/>
      <c r="BD354" s="387">
        <f t="shared" si="47"/>
        <v>1</v>
      </c>
      <c r="BE354" s="382">
        <f>IF(BD354&gt;0,17,0)</f>
        <v>17</v>
      </c>
      <c r="BG354" s="383">
        <f>IF($BE354&gt;$R$66-1+($BR$335*12),17,0)</f>
        <v>17</v>
      </c>
      <c r="BH354" s="1747">
        <f t="shared" si="16"/>
        <v>0</v>
      </c>
      <c r="BI354" s="1748"/>
      <c r="BJ354" s="1748"/>
      <c r="BK354" s="1749"/>
      <c r="BL354" s="1747">
        <f t="shared" si="17"/>
        <v>0</v>
      </c>
      <c r="BM354" s="1748"/>
      <c r="BN354" s="1749"/>
      <c r="BO354" s="1747">
        <f t="shared" si="3"/>
        <v>0</v>
      </c>
      <c r="BP354" s="1748"/>
      <c r="BQ354" s="1749"/>
      <c r="BR354" s="1747">
        <f t="shared" si="48"/>
        <v>0</v>
      </c>
      <c r="BS354" s="1748"/>
      <c r="BT354" s="1748"/>
      <c r="BU354" s="1749"/>
      <c r="BW354" s="383">
        <f>IF($BE354&gt;$R$66-1+($CH$335*12),17,0)</f>
        <v>17</v>
      </c>
      <c r="BX354" s="1747">
        <f t="shared" si="35"/>
        <v>0</v>
      </c>
      <c r="BY354" s="1748"/>
      <c r="BZ354" s="1748"/>
      <c r="CA354" s="1749"/>
      <c r="CB354" s="1747">
        <f t="shared" si="18"/>
        <v>0</v>
      </c>
      <c r="CC354" s="1748"/>
      <c r="CD354" s="1749"/>
      <c r="CE354" s="1747">
        <f t="shared" si="5"/>
        <v>0</v>
      </c>
      <c r="CF354" s="1748"/>
      <c r="CG354" s="1749"/>
      <c r="CH354" s="1747">
        <f t="shared" si="6"/>
        <v>0</v>
      </c>
      <c r="CI354" s="1748"/>
      <c r="CJ354" s="1748"/>
      <c r="CK354" s="1749"/>
      <c r="CM354" s="383">
        <f>IF($BE354&gt;$R$66-1+($CX$335*12),17,0)</f>
        <v>17</v>
      </c>
      <c r="CN354" s="1747">
        <f t="shared" si="19"/>
        <v>0</v>
      </c>
      <c r="CO354" s="1748"/>
      <c r="CP354" s="1748"/>
      <c r="CQ354" s="1749"/>
      <c r="CR354" s="1747">
        <f t="shared" si="20"/>
        <v>0</v>
      </c>
      <c r="CS354" s="1748"/>
      <c r="CT354" s="1749"/>
      <c r="CU354" s="1747">
        <f t="shared" si="7"/>
        <v>0</v>
      </c>
      <c r="CV354" s="1748"/>
      <c r="CW354" s="1749"/>
      <c r="CX354" s="1747">
        <f t="shared" si="8"/>
        <v>0</v>
      </c>
      <c r="CY354" s="1748"/>
      <c r="CZ354" s="1748"/>
      <c r="DA354" s="1749"/>
      <c r="DC354" s="383">
        <f>IF($BE354&gt;$R$66-1,17,0)</f>
        <v>17</v>
      </c>
      <c r="DD354" s="1747">
        <f t="shared" si="41"/>
        <v>0</v>
      </c>
      <c r="DE354" s="1748"/>
      <c r="DF354" s="1748"/>
      <c r="DG354" s="1749"/>
      <c r="DH354" s="1747">
        <f t="shared" si="21"/>
        <v>0</v>
      </c>
      <c r="DI354" s="1748"/>
      <c r="DJ354" s="1749"/>
      <c r="DK354" s="1747">
        <f t="shared" si="9"/>
        <v>0</v>
      </c>
      <c r="DL354" s="1748"/>
      <c r="DM354" s="1748"/>
      <c r="DN354" s="1749"/>
      <c r="DP354" s="383">
        <f t="shared" si="22"/>
        <v>17</v>
      </c>
      <c r="DQ354" s="1747">
        <f t="shared" si="23"/>
        <v>0</v>
      </c>
      <c r="DR354" s="1748"/>
      <c r="DS354" s="1748"/>
      <c r="DT354" s="1749"/>
      <c r="DU354" s="1747">
        <f t="shared" si="44"/>
        <v>0</v>
      </c>
      <c r="DV354" s="1748"/>
      <c r="DW354" s="1749"/>
      <c r="DX354" s="1747">
        <f t="shared" si="49"/>
        <v>0</v>
      </c>
      <c r="DY354" s="1748"/>
      <c r="DZ354" s="1749"/>
      <c r="EA354" s="1747">
        <f t="shared" si="50"/>
        <v>0</v>
      </c>
      <c r="EB354" s="1748"/>
      <c r="EC354" s="1748"/>
      <c r="ED354" s="1749"/>
      <c r="EE354" s="384"/>
      <c r="EF354" s="1750">
        <f t="shared" si="11"/>
        <v>0</v>
      </c>
      <c r="EG354" s="1751"/>
      <c r="EH354" s="1751"/>
      <c r="EI354" s="1751"/>
      <c r="EJ354" s="1752"/>
      <c r="EL354" s="1750">
        <f t="shared" ref="EL354:EL414" si="55">EL342</f>
        <v>0</v>
      </c>
      <c r="EM354" s="1751"/>
      <c r="EN354" s="1751"/>
      <c r="EO354" s="1751"/>
      <c r="EP354" s="1752"/>
      <c r="ER354" s="1750">
        <f t="shared" si="12"/>
        <v>0</v>
      </c>
      <c r="ES354" s="1751"/>
      <c r="ET354" s="1751"/>
      <c r="EU354" s="1751"/>
      <c r="EV354" s="1752"/>
      <c r="EX354" s="1750">
        <f>IF(BE354&gt;0,Einstrahlung!$K$18*Kalkulation!$P$62/100*$AY$29*POWER((100-$P$64)/100,BD354-1),0)</f>
        <v>0</v>
      </c>
      <c r="EY354" s="1751"/>
      <c r="EZ354" s="1751"/>
      <c r="FA354" s="1751"/>
      <c r="FB354" s="1752"/>
      <c r="FD354" s="1750">
        <f t="shared" si="27"/>
        <v>0</v>
      </c>
      <c r="FE354" s="1751"/>
      <c r="FF354" s="1751"/>
      <c r="FG354" s="1751"/>
      <c r="FH354" s="1752"/>
      <c r="FI354" s="385"/>
      <c r="FJ354" s="380">
        <f t="shared" si="40"/>
        <v>0</v>
      </c>
      <c r="FK354" s="838">
        <f t="shared" si="52"/>
        <v>0</v>
      </c>
      <c r="FL354" s="380">
        <f t="shared" si="51"/>
        <v>0</v>
      </c>
      <c r="FM354" s="385"/>
      <c r="FN354" s="380">
        <f t="shared" si="29"/>
        <v>0</v>
      </c>
      <c r="FO354" s="962">
        <f t="shared" si="37"/>
        <v>146</v>
      </c>
      <c r="FP354" s="956">
        <f t="shared" si="13"/>
        <v>0.4</v>
      </c>
      <c r="FQ354" s="380">
        <f t="shared" si="45"/>
        <v>0</v>
      </c>
      <c r="FR354" s="626">
        <f t="shared" si="53"/>
        <v>1</v>
      </c>
      <c r="FS354" s="616"/>
      <c r="FT354" s="1819">
        <f t="shared" si="38"/>
        <v>0</v>
      </c>
      <c r="FU354" s="1820"/>
      <c r="FV354" s="1820"/>
      <c r="FW354" s="1820"/>
      <c r="FX354" s="1821"/>
      <c r="FY354" s="1819">
        <f t="shared" si="30"/>
        <v>0</v>
      </c>
      <c r="FZ354" s="1820"/>
      <c r="GA354" s="1820"/>
      <c r="GB354" s="1821"/>
      <c r="GC354" s="1825">
        <f t="shared" si="54"/>
        <v>0</v>
      </c>
      <c r="GD354" s="1826"/>
      <c r="GE354" s="1826"/>
      <c r="GF354" s="1827"/>
      <c r="GH354" s="1750">
        <f t="shared" si="32"/>
        <v>0</v>
      </c>
      <c r="GI354" s="1751"/>
      <c r="GJ354" s="1751"/>
      <c r="GK354" s="1752"/>
      <c r="GL354" s="1750">
        <f t="shared" si="33"/>
        <v>0</v>
      </c>
      <c r="GM354" s="1751"/>
      <c r="GN354" s="1751"/>
      <c r="GO354" s="1752"/>
      <c r="GP354" s="385"/>
      <c r="GQ354" s="1750">
        <f t="shared" si="34"/>
        <v>0</v>
      </c>
      <c r="GR354" s="1751"/>
      <c r="GS354" s="1751"/>
      <c r="GT354" s="1752"/>
      <c r="GU354" s="192">
        <f t="shared" si="43"/>
        <v>1</v>
      </c>
      <c r="GV354" s="192">
        <f>SUM($GU$337:GU354)</f>
        <v>10</v>
      </c>
      <c r="GW354" s="380">
        <f t="shared" si="46"/>
        <v>0</v>
      </c>
      <c r="HX354" s="380"/>
    </row>
    <row r="355" spans="4:232" ht="12.75" customHeight="1">
      <c r="D355" s="313"/>
      <c r="E355" s="247"/>
      <c r="F355" s="247"/>
      <c r="G355" s="247"/>
      <c r="H355" s="247"/>
      <c r="I355" s="247"/>
      <c r="J355" s="247"/>
      <c r="K355" s="247"/>
      <c r="L355" s="247"/>
      <c r="M355" s="247"/>
      <c r="N355" s="247"/>
      <c r="O355" s="247"/>
      <c r="P355" s="247"/>
      <c r="Q355" s="247"/>
      <c r="R355" s="247"/>
      <c r="S355" s="247"/>
      <c r="T355" s="247"/>
      <c r="U355" s="247"/>
      <c r="V355" s="247"/>
      <c r="W355" s="247"/>
      <c r="X355" s="247"/>
      <c r="Y355" s="247"/>
      <c r="Z355" s="247"/>
      <c r="AA355" s="247"/>
      <c r="AB355" s="251"/>
      <c r="AD355" s="247"/>
      <c r="AE355" s="247"/>
      <c r="AF355" s="247"/>
      <c r="AG355" s="247"/>
      <c r="AH355" s="247"/>
      <c r="AI355" s="247"/>
      <c r="AJ355" s="247"/>
      <c r="AK355" s="247"/>
      <c r="AL355" s="247"/>
      <c r="AM355" s="247"/>
      <c r="AN355" s="247"/>
      <c r="AO355" s="314"/>
      <c r="BD355" s="387">
        <f t="shared" si="47"/>
        <v>1</v>
      </c>
      <c r="BE355" s="382">
        <f>IF(BD355&gt;0,18,0)</f>
        <v>18</v>
      </c>
      <c r="BG355" s="383">
        <f>IF($BE355&gt;$R$66-1+($BR$335*12),18,0)</f>
        <v>18</v>
      </c>
      <c r="BH355" s="1747">
        <f t="shared" si="16"/>
        <v>0</v>
      </c>
      <c r="BI355" s="1748"/>
      <c r="BJ355" s="1748"/>
      <c r="BK355" s="1749"/>
      <c r="BL355" s="1747">
        <f t="shared" si="17"/>
        <v>0</v>
      </c>
      <c r="BM355" s="1748"/>
      <c r="BN355" s="1749"/>
      <c r="BO355" s="1747">
        <f t="shared" si="3"/>
        <v>0</v>
      </c>
      <c r="BP355" s="1748"/>
      <c r="BQ355" s="1749"/>
      <c r="BR355" s="1747">
        <f t="shared" si="48"/>
        <v>0</v>
      </c>
      <c r="BS355" s="1748"/>
      <c r="BT355" s="1748"/>
      <c r="BU355" s="1749"/>
      <c r="BW355" s="383">
        <f>IF($BE355&gt;$R$66-1+($CH$335*12),18,0)</f>
        <v>18</v>
      </c>
      <c r="BX355" s="1747">
        <f t="shared" si="35"/>
        <v>0</v>
      </c>
      <c r="BY355" s="1748"/>
      <c r="BZ355" s="1748"/>
      <c r="CA355" s="1749"/>
      <c r="CB355" s="1747">
        <f t="shared" si="18"/>
        <v>0</v>
      </c>
      <c r="CC355" s="1748"/>
      <c r="CD355" s="1749"/>
      <c r="CE355" s="1747">
        <f t="shared" si="5"/>
        <v>0</v>
      </c>
      <c r="CF355" s="1748"/>
      <c r="CG355" s="1749"/>
      <c r="CH355" s="1747">
        <f t="shared" si="6"/>
        <v>0</v>
      </c>
      <c r="CI355" s="1748"/>
      <c r="CJ355" s="1748"/>
      <c r="CK355" s="1749"/>
      <c r="CM355" s="383">
        <f>IF($BE355&gt;$R$66-1+($CX$335*12),18,0)</f>
        <v>18</v>
      </c>
      <c r="CN355" s="1747">
        <f t="shared" si="19"/>
        <v>0</v>
      </c>
      <c r="CO355" s="1748"/>
      <c r="CP355" s="1748"/>
      <c r="CQ355" s="1749"/>
      <c r="CR355" s="1747">
        <f t="shared" si="20"/>
        <v>0</v>
      </c>
      <c r="CS355" s="1748"/>
      <c r="CT355" s="1749"/>
      <c r="CU355" s="1747">
        <f t="shared" si="7"/>
        <v>0</v>
      </c>
      <c r="CV355" s="1748"/>
      <c r="CW355" s="1749"/>
      <c r="CX355" s="1747">
        <f t="shared" si="8"/>
        <v>0</v>
      </c>
      <c r="CY355" s="1748"/>
      <c r="CZ355" s="1748"/>
      <c r="DA355" s="1749"/>
      <c r="DC355" s="383">
        <f>IF($BE355&gt;$R$66-1,18,0)</f>
        <v>18</v>
      </c>
      <c r="DD355" s="1747">
        <f t="shared" si="41"/>
        <v>0</v>
      </c>
      <c r="DE355" s="1748"/>
      <c r="DF355" s="1748"/>
      <c r="DG355" s="1749"/>
      <c r="DH355" s="1747">
        <f t="shared" si="21"/>
        <v>0</v>
      </c>
      <c r="DI355" s="1748"/>
      <c r="DJ355" s="1749"/>
      <c r="DK355" s="1747">
        <f t="shared" si="9"/>
        <v>0</v>
      </c>
      <c r="DL355" s="1748"/>
      <c r="DM355" s="1748"/>
      <c r="DN355" s="1749"/>
      <c r="DP355" s="383">
        <f t="shared" si="22"/>
        <v>18</v>
      </c>
      <c r="DQ355" s="1747">
        <f t="shared" si="23"/>
        <v>0</v>
      </c>
      <c r="DR355" s="1748"/>
      <c r="DS355" s="1748"/>
      <c r="DT355" s="1749"/>
      <c r="DU355" s="1747">
        <f t="shared" si="44"/>
        <v>0</v>
      </c>
      <c r="DV355" s="1748"/>
      <c r="DW355" s="1749"/>
      <c r="DX355" s="1747">
        <f t="shared" si="49"/>
        <v>0</v>
      </c>
      <c r="DY355" s="1748"/>
      <c r="DZ355" s="1749"/>
      <c r="EA355" s="1747">
        <f t="shared" si="50"/>
        <v>0</v>
      </c>
      <c r="EB355" s="1748"/>
      <c r="EC355" s="1748"/>
      <c r="ED355" s="1749"/>
      <c r="EE355" s="384"/>
      <c r="EF355" s="1750">
        <f t="shared" si="11"/>
        <v>0</v>
      </c>
      <c r="EG355" s="1751"/>
      <c r="EH355" s="1751"/>
      <c r="EI355" s="1751"/>
      <c r="EJ355" s="1752"/>
      <c r="EL355" s="1750">
        <f t="shared" si="55"/>
        <v>0</v>
      </c>
      <c r="EM355" s="1751"/>
      <c r="EN355" s="1751"/>
      <c r="EO355" s="1751"/>
      <c r="EP355" s="1752"/>
      <c r="ER355" s="1750">
        <f t="shared" si="12"/>
        <v>0</v>
      </c>
      <c r="ES355" s="1751"/>
      <c r="ET355" s="1751"/>
      <c r="EU355" s="1751"/>
      <c r="EV355" s="1752"/>
      <c r="EX355" s="1750">
        <f>IF(BE355&gt;0,Einstrahlung!$K$20*Kalkulation!$P$62/100*$AY$29*POWER((100-$P$64)/100,BD355-1),0)</f>
        <v>0</v>
      </c>
      <c r="EY355" s="1751"/>
      <c r="EZ355" s="1751"/>
      <c r="FA355" s="1751"/>
      <c r="FB355" s="1752"/>
      <c r="FD355" s="1750">
        <f t="shared" si="27"/>
        <v>0</v>
      </c>
      <c r="FE355" s="1751"/>
      <c r="FF355" s="1751"/>
      <c r="FG355" s="1751"/>
      <c r="FH355" s="1752"/>
      <c r="FI355" s="385"/>
      <c r="FJ355" s="380">
        <f t="shared" si="40"/>
        <v>0</v>
      </c>
      <c r="FK355" s="838">
        <f t="shared" si="52"/>
        <v>0</v>
      </c>
      <c r="FL355" s="380">
        <f t="shared" si="51"/>
        <v>0</v>
      </c>
      <c r="FM355" s="385"/>
      <c r="FN355" s="380">
        <f t="shared" si="29"/>
        <v>0</v>
      </c>
      <c r="FO355" s="962">
        <f t="shared" si="37"/>
        <v>147</v>
      </c>
      <c r="FP355" s="956">
        <f t="shared" si="13"/>
        <v>0.4</v>
      </c>
      <c r="FQ355" s="380">
        <f t="shared" si="45"/>
        <v>0</v>
      </c>
      <c r="FR355" s="626">
        <f t="shared" si="53"/>
        <v>1</v>
      </c>
      <c r="FS355" s="616"/>
      <c r="FT355" s="1819">
        <f t="shared" si="38"/>
        <v>0</v>
      </c>
      <c r="FU355" s="1820"/>
      <c r="FV355" s="1820"/>
      <c r="FW355" s="1820"/>
      <c r="FX355" s="1821"/>
      <c r="FY355" s="1819">
        <f t="shared" si="30"/>
        <v>0</v>
      </c>
      <c r="FZ355" s="1820"/>
      <c r="GA355" s="1820"/>
      <c r="GB355" s="1821"/>
      <c r="GC355" s="1825">
        <f t="shared" si="54"/>
        <v>0</v>
      </c>
      <c r="GD355" s="1826"/>
      <c r="GE355" s="1826"/>
      <c r="GF355" s="1827"/>
      <c r="GH355" s="1750">
        <f t="shared" si="32"/>
        <v>0</v>
      </c>
      <c r="GI355" s="1751"/>
      <c r="GJ355" s="1751"/>
      <c r="GK355" s="1752"/>
      <c r="GL355" s="1750">
        <f t="shared" si="33"/>
        <v>0</v>
      </c>
      <c r="GM355" s="1751"/>
      <c r="GN355" s="1751"/>
      <c r="GO355" s="1752"/>
      <c r="GP355" s="385"/>
      <c r="GQ355" s="1750">
        <f t="shared" si="34"/>
        <v>0</v>
      </c>
      <c r="GR355" s="1751"/>
      <c r="GS355" s="1751"/>
      <c r="GT355" s="1752"/>
      <c r="GU355" s="192">
        <f t="shared" si="43"/>
        <v>1</v>
      </c>
      <c r="GV355" s="192">
        <f>SUM($GU$337:GU355)</f>
        <v>11</v>
      </c>
      <c r="GW355" s="380">
        <f t="shared" si="46"/>
        <v>0</v>
      </c>
      <c r="HX355" s="380"/>
    </row>
    <row r="356" spans="4:232" ht="12.75" customHeight="1">
      <c r="D356" s="313"/>
      <c r="E356" s="247"/>
      <c r="F356" s="247"/>
      <c r="G356" s="247"/>
      <c r="H356" s="247"/>
      <c r="I356" s="247"/>
      <c r="J356" s="247"/>
      <c r="K356" s="247"/>
      <c r="L356" s="247"/>
      <c r="M356" s="247"/>
      <c r="N356" s="247"/>
      <c r="O356" s="247"/>
      <c r="P356" s="247"/>
      <c r="Q356" s="247"/>
      <c r="R356" s="247"/>
      <c r="S356" s="247"/>
      <c r="T356" s="247"/>
      <c r="U356" s="247"/>
      <c r="V356" s="247"/>
      <c r="W356" s="247"/>
      <c r="X356" s="247"/>
      <c r="Y356" s="247"/>
      <c r="Z356" s="247"/>
      <c r="AA356" s="247"/>
      <c r="AB356" s="251"/>
      <c r="AD356" s="247"/>
      <c r="AE356" s="247"/>
      <c r="AF356" s="247"/>
      <c r="AG356" s="247"/>
      <c r="AH356" s="247"/>
      <c r="AI356" s="247"/>
      <c r="AJ356" s="247"/>
      <c r="AK356" s="247"/>
      <c r="AL356" s="247"/>
      <c r="AM356" s="247"/>
      <c r="AN356" s="247"/>
      <c r="AO356" s="314"/>
      <c r="BD356" s="387">
        <f t="shared" si="47"/>
        <v>1</v>
      </c>
      <c r="BE356" s="382">
        <f>IF(BD356&gt;0,19,0)</f>
        <v>19</v>
      </c>
      <c r="BG356" s="383">
        <f>IF($BE356&gt;$R$66-1+($BR$335*12),19,0)</f>
        <v>19</v>
      </c>
      <c r="BH356" s="1747">
        <f t="shared" si="16"/>
        <v>0</v>
      </c>
      <c r="BI356" s="1748"/>
      <c r="BJ356" s="1748"/>
      <c r="BK356" s="1749"/>
      <c r="BL356" s="1747">
        <f t="shared" si="17"/>
        <v>0</v>
      </c>
      <c r="BM356" s="1748"/>
      <c r="BN356" s="1749"/>
      <c r="BO356" s="1747">
        <f t="shared" si="3"/>
        <v>0</v>
      </c>
      <c r="BP356" s="1748"/>
      <c r="BQ356" s="1749"/>
      <c r="BR356" s="1747">
        <f t="shared" si="48"/>
        <v>0</v>
      </c>
      <c r="BS356" s="1748"/>
      <c r="BT356" s="1748"/>
      <c r="BU356" s="1749"/>
      <c r="BW356" s="383">
        <f>IF($BE356&gt;$R$66-1+($CH$335*12),19,0)</f>
        <v>19</v>
      </c>
      <c r="BX356" s="1747">
        <f t="shared" si="35"/>
        <v>0</v>
      </c>
      <c r="BY356" s="1748"/>
      <c r="BZ356" s="1748"/>
      <c r="CA356" s="1749"/>
      <c r="CB356" s="1747">
        <f t="shared" si="18"/>
        <v>0</v>
      </c>
      <c r="CC356" s="1748"/>
      <c r="CD356" s="1749"/>
      <c r="CE356" s="1747">
        <f t="shared" si="5"/>
        <v>0</v>
      </c>
      <c r="CF356" s="1748"/>
      <c r="CG356" s="1749"/>
      <c r="CH356" s="1747">
        <f t="shared" si="6"/>
        <v>0</v>
      </c>
      <c r="CI356" s="1748"/>
      <c r="CJ356" s="1748"/>
      <c r="CK356" s="1749"/>
      <c r="CM356" s="383">
        <f>IF($BE356&gt;$R$66-1+($CX$335*12),19,0)</f>
        <v>19</v>
      </c>
      <c r="CN356" s="1747">
        <f t="shared" si="19"/>
        <v>0</v>
      </c>
      <c r="CO356" s="1748"/>
      <c r="CP356" s="1748"/>
      <c r="CQ356" s="1749"/>
      <c r="CR356" s="1747">
        <f t="shared" si="20"/>
        <v>0</v>
      </c>
      <c r="CS356" s="1748"/>
      <c r="CT356" s="1749"/>
      <c r="CU356" s="1747">
        <f t="shared" si="7"/>
        <v>0</v>
      </c>
      <c r="CV356" s="1748"/>
      <c r="CW356" s="1749"/>
      <c r="CX356" s="1747">
        <f t="shared" si="8"/>
        <v>0</v>
      </c>
      <c r="CY356" s="1748"/>
      <c r="CZ356" s="1748"/>
      <c r="DA356" s="1749"/>
      <c r="DC356" s="383">
        <f>IF($BE356&gt;$R$66-1,19,0)</f>
        <v>19</v>
      </c>
      <c r="DD356" s="1747">
        <f t="shared" si="41"/>
        <v>0</v>
      </c>
      <c r="DE356" s="1748"/>
      <c r="DF356" s="1748"/>
      <c r="DG356" s="1749"/>
      <c r="DH356" s="1747">
        <f t="shared" si="21"/>
        <v>0</v>
      </c>
      <c r="DI356" s="1748"/>
      <c r="DJ356" s="1749"/>
      <c r="DK356" s="1747">
        <f t="shared" si="9"/>
        <v>0</v>
      </c>
      <c r="DL356" s="1748"/>
      <c r="DM356" s="1748"/>
      <c r="DN356" s="1749"/>
      <c r="DP356" s="383">
        <f t="shared" si="22"/>
        <v>19</v>
      </c>
      <c r="DQ356" s="1747">
        <f t="shared" si="23"/>
        <v>0</v>
      </c>
      <c r="DR356" s="1748"/>
      <c r="DS356" s="1748"/>
      <c r="DT356" s="1749"/>
      <c r="DU356" s="1747">
        <f t="shared" si="44"/>
        <v>0</v>
      </c>
      <c r="DV356" s="1748"/>
      <c r="DW356" s="1749"/>
      <c r="DX356" s="1747">
        <f t="shared" si="49"/>
        <v>0</v>
      </c>
      <c r="DY356" s="1748"/>
      <c r="DZ356" s="1749"/>
      <c r="EA356" s="1747">
        <f t="shared" si="50"/>
        <v>0</v>
      </c>
      <c r="EB356" s="1748"/>
      <c r="EC356" s="1748"/>
      <c r="ED356" s="1749"/>
      <c r="EE356" s="384"/>
      <c r="EF356" s="1750">
        <f t="shared" si="11"/>
        <v>0</v>
      </c>
      <c r="EG356" s="1751"/>
      <c r="EH356" s="1751"/>
      <c r="EI356" s="1751"/>
      <c r="EJ356" s="1752"/>
      <c r="EL356" s="1750">
        <f t="shared" si="55"/>
        <v>0</v>
      </c>
      <c r="EM356" s="1751"/>
      <c r="EN356" s="1751"/>
      <c r="EO356" s="1751"/>
      <c r="EP356" s="1752"/>
      <c r="ER356" s="1750">
        <f t="shared" si="12"/>
        <v>0</v>
      </c>
      <c r="ES356" s="1751"/>
      <c r="ET356" s="1751"/>
      <c r="EU356" s="1751"/>
      <c r="EV356" s="1752"/>
      <c r="EX356" s="1750">
        <f>IF(BE356&gt;0,Einstrahlung!$K$22*Kalkulation!$P$62/100*$AY$29*POWER((100-$P$64)/100,BD356-1),0)</f>
        <v>0</v>
      </c>
      <c r="EY356" s="1751"/>
      <c r="EZ356" s="1751"/>
      <c r="FA356" s="1751"/>
      <c r="FB356" s="1752"/>
      <c r="FD356" s="1750">
        <f t="shared" si="27"/>
        <v>0</v>
      </c>
      <c r="FE356" s="1751"/>
      <c r="FF356" s="1751"/>
      <c r="FG356" s="1751"/>
      <c r="FH356" s="1752"/>
      <c r="FI356" s="385"/>
      <c r="FJ356" s="380">
        <f t="shared" si="40"/>
        <v>0</v>
      </c>
      <c r="FK356" s="838">
        <f t="shared" si="52"/>
        <v>0</v>
      </c>
      <c r="FL356" s="380">
        <f t="shared" si="51"/>
        <v>0</v>
      </c>
      <c r="FM356" s="385"/>
      <c r="FN356" s="380">
        <f t="shared" si="29"/>
        <v>0</v>
      </c>
      <c r="FO356" s="962">
        <f t="shared" si="37"/>
        <v>148</v>
      </c>
      <c r="FP356" s="956">
        <f t="shared" si="13"/>
        <v>0.4</v>
      </c>
      <c r="FQ356" s="380">
        <f t="shared" si="45"/>
        <v>0</v>
      </c>
      <c r="FR356" s="626">
        <f t="shared" si="53"/>
        <v>1</v>
      </c>
      <c r="FS356" s="616"/>
      <c r="FT356" s="1819">
        <f t="shared" si="38"/>
        <v>0</v>
      </c>
      <c r="FU356" s="1820"/>
      <c r="FV356" s="1820"/>
      <c r="FW356" s="1820"/>
      <c r="FX356" s="1821"/>
      <c r="FY356" s="1819">
        <f t="shared" si="30"/>
        <v>0</v>
      </c>
      <c r="FZ356" s="1820"/>
      <c r="GA356" s="1820"/>
      <c r="GB356" s="1821"/>
      <c r="GC356" s="1825">
        <f t="shared" si="54"/>
        <v>0</v>
      </c>
      <c r="GD356" s="1826"/>
      <c r="GE356" s="1826"/>
      <c r="GF356" s="1827"/>
      <c r="GH356" s="1750">
        <f t="shared" si="32"/>
        <v>0</v>
      </c>
      <c r="GI356" s="1751"/>
      <c r="GJ356" s="1751"/>
      <c r="GK356" s="1752"/>
      <c r="GL356" s="1750">
        <f t="shared" si="33"/>
        <v>0</v>
      </c>
      <c r="GM356" s="1751"/>
      <c r="GN356" s="1751"/>
      <c r="GO356" s="1752"/>
      <c r="GP356" s="385"/>
      <c r="GQ356" s="1750">
        <f t="shared" si="34"/>
        <v>0</v>
      </c>
      <c r="GR356" s="1751"/>
      <c r="GS356" s="1751"/>
      <c r="GT356" s="1752"/>
      <c r="GU356" s="192">
        <f t="shared" si="43"/>
        <v>1</v>
      </c>
      <c r="GV356" s="192">
        <f>SUM($GU$337:GU356)</f>
        <v>12</v>
      </c>
      <c r="GW356" s="380">
        <f t="shared" si="46"/>
        <v>0</v>
      </c>
      <c r="HX356" s="380"/>
    </row>
    <row r="357" spans="4:232" ht="12.75" customHeight="1">
      <c r="D357" s="529"/>
      <c r="E357" s="530"/>
      <c r="F357" s="530"/>
      <c r="G357" s="530"/>
      <c r="H357" s="530"/>
      <c r="I357" s="530"/>
      <c r="J357" s="530"/>
      <c r="K357" s="530"/>
      <c r="L357" s="530"/>
      <c r="M357" s="530"/>
      <c r="N357" s="530"/>
      <c r="O357" s="247"/>
      <c r="P357" s="247"/>
      <c r="Q357" s="247"/>
      <c r="R357" s="247"/>
      <c r="S357" s="247"/>
      <c r="T357" s="247"/>
      <c r="U357" s="247"/>
      <c r="V357" s="247"/>
      <c r="W357" s="247"/>
      <c r="X357" s="247"/>
      <c r="Y357" s="247"/>
      <c r="Z357" s="247"/>
      <c r="AA357" s="247"/>
      <c r="AB357" s="251"/>
      <c r="AD357" s="247"/>
      <c r="AE357" s="247"/>
      <c r="AF357" s="247"/>
      <c r="AG357" s="247"/>
      <c r="AH357" s="247"/>
      <c r="AI357" s="247"/>
      <c r="AJ357" s="247"/>
      <c r="AK357" s="247"/>
      <c r="AL357" s="247"/>
      <c r="AM357" s="247"/>
      <c r="AN357" s="247"/>
      <c r="AO357" s="314"/>
      <c r="BD357" s="387">
        <f t="shared" si="47"/>
        <v>1</v>
      </c>
      <c r="BE357" s="382">
        <f>IF(BD357&gt;0,20,0)</f>
        <v>20</v>
      </c>
      <c r="BG357" s="383">
        <f>IF($BE357&gt;$R$66-1+($BR$335*12),20,0)</f>
        <v>20</v>
      </c>
      <c r="BH357" s="1747">
        <f t="shared" si="16"/>
        <v>0</v>
      </c>
      <c r="BI357" s="1748"/>
      <c r="BJ357" s="1748"/>
      <c r="BK357" s="1749"/>
      <c r="BL357" s="1747">
        <f t="shared" si="17"/>
        <v>0</v>
      </c>
      <c r="BM357" s="1748"/>
      <c r="BN357" s="1749"/>
      <c r="BO357" s="1747">
        <f t="shared" si="3"/>
        <v>0</v>
      </c>
      <c r="BP357" s="1748"/>
      <c r="BQ357" s="1749"/>
      <c r="BR357" s="1747">
        <f t="shared" si="48"/>
        <v>0</v>
      </c>
      <c r="BS357" s="1748"/>
      <c r="BT357" s="1748"/>
      <c r="BU357" s="1749"/>
      <c r="BW357" s="383">
        <f>IF($BE357&gt;$R$66-1+($CH$335*12),20,0)</f>
        <v>20</v>
      </c>
      <c r="BX357" s="1747">
        <f t="shared" si="35"/>
        <v>0</v>
      </c>
      <c r="BY357" s="1748"/>
      <c r="BZ357" s="1748"/>
      <c r="CA357" s="1749"/>
      <c r="CB357" s="1747">
        <f t="shared" si="18"/>
        <v>0</v>
      </c>
      <c r="CC357" s="1748"/>
      <c r="CD357" s="1749"/>
      <c r="CE357" s="1747">
        <f t="shared" si="5"/>
        <v>0</v>
      </c>
      <c r="CF357" s="1748"/>
      <c r="CG357" s="1749"/>
      <c r="CH357" s="1747">
        <f t="shared" si="6"/>
        <v>0</v>
      </c>
      <c r="CI357" s="1748"/>
      <c r="CJ357" s="1748"/>
      <c r="CK357" s="1749"/>
      <c r="CM357" s="383">
        <f>IF($BE357&gt;$R$66-1+($CX$335*12),20,0)</f>
        <v>20</v>
      </c>
      <c r="CN357" s="1747">
        <f t="shared" si="19"/>
        <v>0</v>
      </c>
      <c r="CO357" s="1748"/>
      <c r="CP357" s="1748"/>
      <c r="CQ357" s="1749"/>
      <c r="CR357" s="1747">
        <f t="shared" si="20"/>
        <v>0</v>
      </c>
      <c r="CS357" s="1748"/>
      <c r="CT357" s="1749"/>
      <c r="CU357" s="1747">
        <f t="shared" si="7"/>
        <v>0</v>
      </c>
      <c r="CV357" s="1748"/>
      <c r="CW357" s="1749"/>
      <c r="CX357" s="1747">
        <f t="shared" si="8"/>
        <v>0</v>
      </c>
      <c r="CY357" s="1748"/>
      <c r="CZ357" s="1748"/>
      <c r="DA357" s="1749"/>
      <c r="DC357" s="383">
        <f>IF($BE357&gt;$R$66-1,20,0)</f>
        <v>20</v>
      </c>
      <c r="DD357" s="1747">
        <f t="shared" si="41"/>
        <v>0</v>
      </c>
      <c r="DE357" s="1748"/>
      <c r="DF357" s="1748"/>
      <c r="DG357" s="1749"/>
      <c r="DH357" s="1747">
        <f t="shared" si="21"/>
        <v>0</v>
      </c>
      <c r="DI357" s="1748"/>
      <c r="DJ357" s="1749"/>
      <c r="DK357" s="1747">
        <f t="shared" si="9"/>
        <v>0</v>
      </c>
      <c r="DL357" s="1748"/>
      <c r="DM357" s="1748"/>
      <c r="DN357" s="1749"/>
      <c r="DP357" s="383">
        <f t="shared" si="22"/>
        <v>20</v>
      </c>
      <c r="DQ357" s="1747">
        <f t="shared" si="23"/>
        <v>0</v>
      </c>
      <c r="DR357" s="1748"/>
      <c r="DS357" s="1748"/>
      <c r="DT357" s="1749"/>
      <c r="DU357" s="1747">
        <f t="shared" si="44"/>
        <v>0</v>
      </c>
      <c r="DV357" s="1748"/>
      <c r="DW357" s="1749"/>
      <c r="DX357" s="1747">
        <f t="shared" si="49"/>
        <v>0</v>
      </c>
      <c r="DY357" s="1748"/>
      <c r="DZ357" s="1749"/>
      <c r="EA357" s="1747">
        <f t="shared" si="50"/>
        <v>0</v>
      </c>
      <c r="EB357" s="1748"/>
      <c r="EC357" s="1748"/>
      <c r="ED357" s="1749"/>
      <c r="EE357" s="384"/>
      <c r="EF357" s="1750">
        <f t="shared" si="11"/>
        <v>0</v>
      </c>
      <c r="EG357" s="1751"/>
      <c r="EH357" s="1751"/>
      <c r="EI357" s="1751"/>
      <c r="EJ357" s="1752"/>
      <c r="EL357" s="1750">
        <f t="shared" si="55"/>
        <v>0</v>
      </c>
      <c r="EM357" s="1751"/>
      <c r="EN357" s="1751"/>
      <c r="EO357" s="1751"/>
      <c r="EP357" s="1752"/>
      <c r="ER357" s="1750">
        <f t="shared" si="12"/>
        <v>0</v>
      </c>
      <c r="ES357" s="1751"/>
      <c r="ET357" s="1751"/>
      <c r="EU357" s="1751"/>
      <c r="EV357" s="1752"/>
      <c r="EX357" s="1750">
        <f>IF(BE357&gt;0,Einstrahlung!$K$24*Kalkulation!$P$62/100*$AY$29*POWER((100-$P$64)/100,BD357-1),0)</f>
        <v>0</v>
      </c>
      <c r="EY357" s="1751"/>
      <c r="EZ357" s="1751"/>
      <c r="FA357" s="1751"/>
      <c r="FB357" s="1752"/>
      <c r="FD357" s="1750">
        <f t="shared" si="27"/>
        <v>0</v>
      </c>
      <c r="FE357" s="1751"/>
      <c r="FF357" s="1751"/>
      <c r="FG357" s="1751"/>
      <c r="FH357" s="1752"/>
      <c r="FI357" s="385"/>
      <c r="FJ357" s="380">
        <f t="shared" si="40"/>
        <v>0</v>
      </c>
      <c r="FK357" s="838">
        <f t="shared" si="52"/>
        <v>0</v>
      </c>
      <c r="FL357" s="380">
        <f t="shared" si="51"/>
        <v>0</v>
      </c>
      <c r="FM357" s="385"/>
      <c r="FN357" s="380">
        <f t="shared" si="29"/>
        <v>0</v>
      </c>
      <c r="FO357" s="962">
        <f t="shared" si="37"/>
        <v>149</v>
      </c>
      <c r="FP357" s="956">
        <f t="shared" si="13"/>
        <v>0.4</v>
      </c>
      <c r="FQ357" s="380">
        <f t="shared" si="45"/>
        <v>0</v>
      </c>
      <c r="FR357" s="626">
        <f t="shared" si="53"/>
        <v>1</v>
      </c>
      <c r="FS357" s="616"/>
      <c r="FT357" s="1819">
        <f t="shared" si="38"/>
        <v>0</v>
      </c>
      <c r="FU357" s="1820"/>
      <c r="FV357" s="1820"/>
      <c r="FW357" s="1820"/>
      <c r="FX357" s="1821"/>
      <c r="FY357" s="1819">
        <f t="shared" si="30"/>
        <v>0</v>
      </c>
      <c r="FZ357" s="1820"/>
      <c r="GA357" s="1820"/>
      <c r="GB357" s="1821"/>
      <c r="GC357" s="1825">
        <f t="shared" si="54"/>
        <v>0</v>
      </c>
      <c r="GD357" s="1826"/>
      <c r="GE357" s="1826"/>
      <c r="GF357" s="1827"/>
      <c r="GH357" s="1750">
        <f t="shared" si="32"/>
        <v>0</v>
      </c>
      <c r="GI357" s="1751"/>
      <c r="GJ357" s="1751"/>
      <c r="GK357" s="1752"/>
      <c r="GL357" s="1750">
        <f t="shared" si="33"/>
        <v>0</v>
      </c>
      <c r="GM357" s="1751"/>
      <c r="GN357" s="1751"/>
      <c r="GO357" s="1752"/>
      <c r="GP357" s="385"/>
      <c r="GQ357" s="1750">
        <f t="shared" si="34"/>
        <v>0</v>
      </c>
      <c r="GR357" s="1751"/>
      <c r="GS357" s="1751"/>
      <c r="GT357" s="1752"/>
      <c r="GU357" s="192">
        <f t="shared" si="43"/>
        <v>1</v>
      </c>
      <c r="GV357" s="192">
        <f>SUM($GU$337:GU357)</f>
        <v>13</v>
      </c>
      <c r="GW357" s="380">
        <f t="shared" si="46"/>
        <v>0</v>
      </c>
      <c r="HX357" s="380"/>
    </row>
    <row r="358" spans="4:232" ht="12.75" customHeight="1">
      <c r="D358" s="529"/>
      <c r="E358" s="530"/>
      <c r="F358" s="530"/>
      <c r="G358" s="530"/>
      <c r="H358" s="530"/>
      <c r="I358" s="530"/>
      <c r="J358" s="530"/>
      <c r="K358" s="530"/>
      <c r="L358" s="530"/>
      <c r="M358" s="530"/>
      <c r="N358" s="530"/>
      <c r="O358" s="247"/>
      <c r="P358" s="247"/>
      <c r="Q358" s="247"/>
      <c r="R358" s="247"/>
      <c r="S358" s="247"/>
      <c r="T358" s="247"/>
      <c r="U358" s="247"/>
      <c r="V358" s="247"/>
      <c r="W358" s="247"/>
      <c r="X358" s="247"/>
      <c r="Y358" s="247"/>
      <c r="Z358" s="247"/>
      <c r="AA358" s="247"/>
      <c r="AB358" s="251"/>
      <c r="AD358" s="247"/>
      <c r="AE358" s="247"/>
      <c r="AF358" s="247"/>
      <c r="AG358" s="247"/>
      <c r="AH358" s="247"/>
      <c r="AI358" s="247"/>
      <c r="AJ358" s="247"/>
      <c r="AK358" s="247"/>
      <c r="AL358" s="247"/>
      <c r="AM358" s="247"/>
      <c r="AN358" s="247"/>
      <c r="AO358" s="314"/>
      <c r="BD358" s="387">
        <f t="shared" si="47"/>
        <v>1</v>
      </c>
      <c r="BE358" s="382">
        <f>IF(BD358&gt;0,21,0)</f>
        <v>21</v>
      </c>
      <c r="BG358" s="383">
        <f>IF($BE358&gt;$R$66-1+($BR$335*12),21,0)</f>
        <v>21</v>
      </c>
      <c r="BH358" s="1747">
        <f t="shared" si="16"/>
        <v>0</v>
      </c>
      <c r="BI358" s="1748"/>
      <c r="BJ358" s="1748"/>
      <c r="BK358" s="1749"/>
      <c r="BL358" s="1747">
        <f t="shared" si="17"/>
        <v>0</v>
      </c>
      <c r="BM358" s="1748"/>
      <c r="BN358" s="1749"/>
      <c r="BO358" s="1747">
        <f t="shared" si="3"/>
        <v>0</v>
      </c>
      <c r="BP358" s="1748"/>
      <c r="BQ358" s="1749"/>
      <c r="BR358" s="1747">
        <f t="shared" si="48"/>
        <v>0</v>
      </c>
      <c r="BS358" s="1748"/>
      <c r="BT358" s="1748"/>
      <c r="BU358" s="1749"/>
      <c r="BW358" s="383">
        <f>IF($BE358&gt;$R$66-1+($CH$335*12),21,0)</f>
        <v>21</v>
      </c>
      <c r="BX358" s="1747">
        <f t="shared" si="35"/>
        <v>0</v>
      </c>
      <c r="BY358" s="1748"/>
      <c r="BZ358" s="1748"/>
      <c r="CA358" s="1749"/>
      <c r="CB358" s="1747">
        <f t="shared" si="18"/>
        <v>0</v>
      </c>
      <c r="CC358" s="1748"/>
      <c r="CD358" s="1749"/>
      <c r="CE358" s="1747">
        <f t="shared" si="5"/>
        <v>0</v>
      </c>
      <c r="CF358" s="1748"/>
      <c r="CG358" s="1749"/>
      <c r="CH358" s="1747">
        <f t="shared" si="6"/>
        <v>0</v>
      </c>
      <c r="CI358" s="1748"/>
      <c r="CJ358" s="1748"/>
      <c r="CK358" s="1749"/>
      <c r="CM358" s="383">
        <f>IF($BE358&gt;$R$66-1+($CX$335*12),21,0)</f>
        <v>21</v>
      </c>
      <c r="CN358" s="1747">
        <f t="shared" si="19"/>
        <v>0</v>
      </c>
      <c r="CO358" s="1748"/>
      <c r="CP358" s="1748"/>
      <c r="CQ358" s="1749"/>
      <c r="CR358" s="1747">
        <f t="shared" si="20"/>
        <v>0</v>
      </c>
      <c r="CS358" s="1748"/>
      <c r="CT358" s="1749"/>
      <c r="CU358" s="1747">
        <f t="shared" si="7"/>
        <v>0</v>
      </c>
      <c r="CV358" s="1748"/>
      <c r="CW358" s="1749"/>
      <c r="CX358" s="1747">
        <f t="shared" si="8"/>
        <v>0</v>
      </c>
      <c r="CY358" s="1748"/>
      <c r="CZ358" s="1748"/>
      <c r="DA358" s="1749"/>
      <c r="DC358" s="383">
        <f>IF($BE358&gt;$R$66-1,21,0)</f>
        <v>21</v>
      </c>
      <c r="DD358" s="1747">
        <f t="shared" si="41"/>
        <v>0</v>
      </c>
      <c r="DE358" s="1748"/>
      <c r="DF358" s="1748"/>
      <c r="DG358" s="1749"/>
      <c r="DH358" s="1747">
        <f t="shared" si="21"/>
        <v>0</v>
      </c>
      <c r="DI358" s="1748"/>
      <c r="DJ358" s="1749"/>
      <c r="DK358" s="1747">
        <f t="shared" si="9"/>
        <v>0</v>
      </c>
      <c r="DL358" s="1748"/>
      <c r="DM358" s="1748"/>
      <c r="DN358" s="1749"/>
      <c r="DP358" s="383">
        <f t="shared" si="22"/>
        <v>21</v>
      </c>
      <c r="DQ358" s="1747">
        <f t="shared" si="23"/>
        <v>0</v>
      </c>
      <c r="DR358" s="1748"/>
      <c r="DS358" s="1748"/>
      <c r="DT358" s="1749"/>
      <c r="DU358" s="1747">
        <f t="shared" si="44"/>
        <v>0</v>
      </c>
      <c r="DV358" s="1748"/>
      <c r="DW358" s="1749"/>
      <c r="DX358" s="1747">
        <f t="shared" si="49"/>
        <v>0</v>
      </c>
      <c r="DY358" s="1748"/>
      <c r="DZ358" s="1749"/>
      <c r="EA358" s="1747">
        <f t="shared" si="50"/>
        <v>0</v>
      </c>
      <c r="EB358" s="1748"/>
      <c r="EC358" s="1748"/>
      <c r="ED358" s="1749"/>
      <c r="EE358" s="384"/>
      <c r="EF358" s="1750">
        <f t="shared" si="11"/>
        <v>0</v>
      </c>
      <c r="EG358" s="1751"/>
      <c r="EH358" s="1751"/>
      <c r="EI358" s="1751"/>
      <c r="EJ358" s="1752"/>
      <c r="EL358" s="1750">
        <f t="shared" si="55"/>
        <v>0</v>
      </c>
      <c r="EM358" s="1751"/>
      <c r="EN358" s="1751"/>
      <c r="EO358" s="1751"/>
      <c r="EP358" s="1752"/>
      <c r="ER358" s="1750">
        <f t="shared" si="12"/>
        <v>0</v>
      </c>
      <c r="ES358" s="1751"/>
      <c r="ET358" s="1751"/>
      <c r="EU358" s="1751"/>
      <c r="EV358" s="1752"/>
      <c r="EX358" s="1750">
        <f>IF(BE358&gt;0,Einstrahlung!$K$26*Kalkulation!$P$62/100*$AY$29*POWER((100-$P$64)/100,BD358-1),0)</f>
        <v>0</v>
      </c>
      <c r="EY358" s="1751"/>
      <c r="EZ358" s="1751"/>
      <c r="FA358" s="1751"/>
      <c r="FB358" s="1752"/>
      <c r="FD358" s="1750">
        <f t="shared" si="27"/>
        <v>0</v>
      </c>
      <c r="FE358" s="1751"/>
      <c r="FF358" s="1751"/>
      <c r="FG358" s="1751"/>
      <c r="FH358" s="1752"/>
      <c r="FI358" s="385"/>
      <c r="FJ358" s="380">
        <f t="shared" si="40"/>
        <v>0</v>
      </c>
      <c r="FK358" s="838">
        <f t="shared" si="52"/>
        <v>0</v>
      </c>
      <c r="FL358" s="380">
        <f t="shared" si="51"/>
        <v>0</v>
      </c>
      <c r="FM358" s="385"/>
      <c r="FN358" s="380">
        <f t="shared" si="29"/>
        <v>0</v>
      </c>
      <c r="FO358" s="962">
        <f t="shared" si="37"/>
        <v>150</v>
      </c>
      <c r="FP358" s="956">
        <f t="shared" si="13"/>
        <v>0.4</v>
      </c>
      <c r="FQ358" s="380">
        <f t="shared" si="45"/>
        <v>0</v>
      </c>
      <c r="FR358" s="626">
        <f t="shared" si="53"/>
        <v>1</v>
      </c>
      <c r="FS358" s="616"/>
      <c r="FT358" s="1819">
        <f t="shared" si="38"/>
        <v>0</v>
      </c>
      <c r="FU358" s="1820"/>
      <c r="FV358" s="1820"/>
      <c r="FW358" s="1820"/>
      <c r="FX358" s="1821"/>
      <c r="FY358" s="1819">
        <f t="shared" si="30"/>
        <v>0</v>
      </c>
      <c r="FZ358" s="1820"/>
      <c r="GA358" s="1820"/>
      <c r="GB358" s="1821"/>
      <c r="GC358" s="1825">
        <f t="shared" si="54"/>
        <v>0</v>
      </c>
      <c r="GD358" s="1826"/>
      <c r="GE358" s="1826"/>
      <c r="GF358" s="1827"/>
      <c r="GH358" s="1750">
        <f t="shared" si="32"/>
        <v>0</v>
      </c>
      <c r="GI358" s="1751"/>
      <c r="GJ358" s="1751"/>
      <c r="GK358" s="1752"/>
      <c r="GL358" s="1750">
        <f t="shared" si="33"/>
        <v>0</v>
      </c>
      <c r="GM358" s="1751"/>
      <c r="GN358" s="1751"/>
      <c r="GO358" s="1752"/>
      <c r="GP358" s="385"/>
      <c r="GQ358" s="1750">
        <f t="shared" si="34"/>
        <v>0</v>
      </c>
      <c r="GR358" s="1751"/>
      <c r="GS358" s="1751"/>
      <c r="GT358" s="1752"/>
      <c r="GU358" s="192">
        <f t="shared" si="43"/>
        <v>1</v>
      </c>
      <c r="GV358" s="192">
        <f>SUM($GU$337:GU358)</f>
        <v>14</v>
      </c>
      <c r="GW358" s="380">
        <f t="shared" si="46"/>
        <v>0</v>
      </c>
      <c r="HX358" s="380"/>
    </row>
    <row r="359" spans="4:232" ht="12.75" customHeight="1">
      <c r="D359" s="313"/>
      <c r="E359" s="247"/>
      <c r="F359" s="247"/>
      <c r="G359" s="247"/>
      <c r="H359" s="247"/>
      <c r="I359" s="247"/>
      <c r="J359" s="247"/>
      <c r="K359" s="247"/>
      <c r="L359" s="247"/>
      <c r="M359" s="247"/>
      <c r="N359" s="247"/>
      <c r="O359" s="247"/>
      <c r="P359" s="247"/>
      <c r="Q359" s="247"/>
      <c r="R359" s="247"/>
      <c r="S359" s="247"/>
      <c r="T359" s="247"/>
      <c r="U359" s="247"/>
      <c r="V359" s="247"/>
      <c r="W359" s="247"/>
      <c r="X359" s="247"/>
      <c r="Y359" s="247"/>
      <c r="Z359" s="247"/>
      <c r="AA359" s="247"/>
      <c r="AB359" s="251"/>
      <c r="AD359" s="247"/>
      <c r="AE359" s="247"/>
      <c r="AF359" s="247"/>
      <c r="AG359" s="247"/>
      <c r="AH359" s="247"/>
      <c r="AI359" s="247"/>
      <c r="AJ359" s="247"/>
      <c r="AK359" s="247"/>
      <c r="AL359" s="247"/>
      <c r="AM359" s="247"/>
      <c r="AN359" s="247"/>
      <c r="AO359" s="314"/>
      <c r="BD359" s="387">
        <f t="shared" si="47"/>
        <v>1</v>
      </c>
      <c r="BE359" s="382">
        <f>IF(BD359&gt;0,22,0)</f>
        <v>22</v>
      </c>
      <c r="BG359" s="383">
        <f>IF($BE359&gt;$R$66-1+($BR$335*12),22,0)</f>
        <v>22</v>
      </c>
      <c r="BH359" s="1747">
        <f t="shared" si="16"/>
        <v>0</v>
      </c>
      <c r="BI359" s="1748"/>
      <c r="BJ359" s="1748"/>
      <c r="BK359" s="1749"/>
      <c r="BL359" s="1747">
        <f t="shared" si="17"/>
        <v>0</v>
      </c>
      <c r="BM359" s="1748"/>
      <c r="BN359" s="1749"/>
      <c r="BO359" s="1747">
        <f t="shared" si="3"/>
        <v>0</v>
      </c>
      <c r="BP359" s="1748"/>
      <c r="BQ359" s="1749"/>
      <c r="BR359" s="1747">
        <f t="shared" si="48"/>
        <v>0</v>
      </c>
      <c r="BS359" s="1748"/>
      <c r="BT359" s="1748"/>
      <c r="BU359" s="1749"/>
      <c r="BW359" s="383">
        <f>IF($BE359&gt;$R$66-1+($CH$335*12),22,0)</f>
        <v>22</v>
      </c>
      <c r="BX359" s="1747">
        <f t="shared" si="35"/>
        <v>0</v>
      </c>
      <c r="BY359" s="1748"/>
      <c r="BZ359" s="1748"/>
      <c r="CA359" s="1749"/>
      <c r="CB359" s="1747">
        <f t="shared" si="18"/>
        <v>0</v>
      </c>
      <c r="CC359" s="1748"/>
      <c r="CD359" s="1749"/>
      <c r="CE359" s="1747">
        <f t="shared" si="5"/>
        <v>0</v>
      </c>
      <c r="CF359" s="1748"/>
      <c r="CG359" s="1749"/>
      <c r="CH359" s="1747">
        <f t="shared" si="6"/>
        <v>0</v>
      </c>
      <c r="CI359" s="1748"/>
      <c r="CJ359" s="1748"/>
      <c r="CK359" s="1749"/>
      <c r="CM359" s="383">
        <f>IF($BE359&gt;$R$66-1+($CX$335*12),22,0)</f>
        <v>22</v>
      </c>
      <c r="CN359" s="1747">
        <f t="shared" si="19"/>
        <v>0</v>
      </c>
      <c r="CO359" s="1748"/>
      <c r="CP359" s="1748"/>
      <c r="CQ359" s="1749"/>
      <c r="CR359" s="1747">
        <f t="shared" si="20"/>
        <v>0</v>
      </c>
      <c r="CS359" s="1748"/>
      <c r="CT359" s="1749"/>
      <c r="CU359" s="1747">
        <f t="shared" si="7"/>
        <v>0</v>
      </c>
      <c r="CV359" s="1748"/>
      <c r="CW359" s="1749"/>
      <c r="CX359" s="1747">
        <f t="shared" si="8"/>
        <v>0</v>
      </c>
      <c r="CY359" s="1748"/>
      <c r="CZ359" s="1748"/>
      <c r="DA359" s="1749"/>
      <c r="DC359" s="383">
        <f>IF($BE359&gt;$R$66-1,22,0)</f>
        <v>22</v>
      </c>
      <c r="DD359" s="1747">
        <f t="shared" si="41"/>
        <v>0</v>
      </c>
      <c r="DE359" s="1748"/>
      <c r="DF359" s="1748"/>
      <c r="DG359" s="1749"/>
      <c r="DH359" s="1747">
        <f t="shared" si="21"/>
        <v>0</v>
      </c>
      <c r="DI359" s="1748"/>
      <c r="DJ359" s="1749"/>
      <c r="DK359" s="1747">
        <f t="shared" si="9"/>
        <v>0</v>
      </c>
      <c r="DL359" s="1748"/>
      <c r="DM359" s="1748"/>
      <c r="DN359" s="1749"/>
      <c r="DP359" s="383">
        <f t="shared" si="22"/>
        <v>22</v>
      </c>
      <c r="DQ359" s="1747">
        <f t="shared" si="23"/>
        <v>0</v>
      </c>
      <c r="DR359" s="1748"/>
      <c r="DS359" s="1748"/>
      <c r="DT359" s="1749"/>
      <c r="DU359" s="1747">
        <f t="shared" si="44"/>
        <v>0</v>
      </c>
      <c r="DV359" s="1748"/>
      <c r="DW359" s="1749"/>
      <c r="DX359" s="1747">
        <f t="shared" si="49"/>
        <v>0</v>
      </c>
      <c r="DY359" s="1748"/>
      <c r="DZ359" s="1749"/>
      <c r="EA359" s="1747">
        <f t="shared" si="50"/>
        <v>0</v>
      </c>
      <c r="EB359" s="1748"/>
      <c r="EC359" s="1748"/>
      <c r="ED359" s="1749"/>
      <c r="EE359" s="384"/>
      <c r="EF359" s="1750">
        <f t="shared" si="11"/>
        <v>0</v>
      </c>
      <c r="EG359" s="1751"/>
      <c r="EH359" s="1751"/>
      <c r="EI359" s="1751"/>
      <c r="EJ359" s="1752"/>
      <c r="EL359" s="1750">
        <f t="shared" si="55"/>
        <v>0</v>
      </c>
      <c r="EM359" s="1751"/>
      <c r="EN359" s="1751"/>
      <c r="EO359" s="1751"/>
      <c r="EP359" s="1752"/>
      <c r="ER359" s="1750">
        <f t="shared" si="12"/>
        <v>0</v>
      </c>
      <c r="ES359" s="1751"/>
      <c r="ET359" s="1751"/>
      <c r="EU359" s="1751"/>
      <c r="EV359" s="1752"/>
      <c r="EX359" s="1750">
        <f>IF(BE359&gt;0,Einstrahlung!$K$28*Kalkulation!$P$62/100*$AY$29*POWER((100-$P$64)/100,BD359-1),0)</f>
        <v>0</v>
      </c>
      <c r="EY359" s="1751"/>
      <c r="EZ359" s="1751"/>
      <c r="FA359" s="1751"/>
      <c r="FB359" s="1752"/>
      <c r="FD359" s="1750">
        <f t="shared" si="27"/>
        <v>0</v>
      </c>
      <c r="FE359" s="1751"/>
      <c r="FF359" s="1751"/>
      <c r="FG359" s="1751"/>
      <c r="FH359" s="1752"/>
      <c r="FI359" s="385"/>
      <c r="FJ359" s="380">
        <f t="shared" si="40"/>
        <v>0</v>
      </c>
      <c r="FK359" s="838">
        <f t="shared" si="52"/>
        <v>0</v>
      </c>
      <c r="FL359" s="380">
        <f t="shared" si="51"/>
        <v>0</v>
      </c>
      <c r="FM359" s="385"/>
      <c r="FN359" s="380">
        <f t="shared" si="29"/>
        <v>0</v>
      </c>
      <c r="FO359" s="962">
        <f t="shared" si="37"/>
        <v>151</v>
      </c>
      <c r="FP359" s="956">
        <f t="shared" si="13"/>
        <v>0.4</v>
      </c>
      <c r="FQ359" s="380">
        <f t="shared" si="45"/>
        <v>0</v>
      </c>
      <c r="FR359" s="626">
        <f t="shared" si="53"/>
        <v>1</v>
      </c>
      <c r="FS359" s="616"/>
      <c r="FT359" s="1819">
        <f t="shared" si="38"/>
        <v>0</v>
      </c>
      <c r="FU359" s="1820"/>
      <c r="FV359" s="1820"/>
      <c r="FW359" s="1820"/>
      <c r="FX359" s="1821"/>
      <c r="FY359" s="1819">
        <f t="shared" si="30"/>
        <v>0</v>
      </c>
      <c r="FZ359" s="1820"/>
      <c r="GA359" s="1820"/>
      <c r="GB359" s="1821"/>
      <c r="GC359" s="1825">
        <f t="shared" si="54"/>
        <v>0</v>
      </c>
      <c r="GD359" s="1826"/>
      <c r="GE359" s="1826"/>
      <c r="GF359" s="1827"/>
      <c r="GH359" s="1750">
        <f t="shared" si="32"/>
        <v>0</v>
      </c>
      <c r="GI359" s="1751"/>
      <c r="GJ359" s="1751"/>
      <c r="GK359" s="1752"/>
      <c r="GL359" s="1750">
        <f t="shared" si="33"/>
        <v>0</v>
      </c>
      <c r="GM359" s="1751"/>
      <c r="GN359" s="1751"/>
      <c r="GO359" s="1752"/>
      <c r="GP359" s="385"/>
      <c r="GQ359" s="1750">
        <f t="shared" si="34"/>
        <v>0</v>
      </c>
      <c r="GR359" s="1751"/>
      <c r="GS359" s="1751"/>
      <c r="GT359" s="1752"/>
      <c r="GU359" s="192">
        <f t="shared" si="43"/>
        <v>1</v>
      </c>
      <c r="GV359" s="192">
        <f>SUM($GU$337:GU359)</f>
        <v>15</v>
      </c>
      <c r="GW359" s="380">
        <f t="shared" si="46"/>
        <v>0</v>
      </c>
      <c r="HX359" s="380"/>
    </row>
    <row r="360" spans="4:232" ht="12.75" customHeight="1">
      <c r="D360" s="313"/>
      <c r="E360" s="247"/>
      <c r="F360" s="247"/>
      <c r="G360" s="247"/>
      <c r="H360" s="247"/>
      <c r="I360" s="247"/>
      <c r="J360" s="247"/>
      <c r="K360" s="247"/>
      <c r="L360" s="247"/>
      <c r="M360" s="247"/>
      <c r="N360" s="247"/>
      <c r="O360" s="247"/>
      <c r="P360" s="247"/>
      <c r="Q360" s="247"/>
      <c r="R360" s="247"/>
      <c r="S360" s="247"/>
      <c r="T360" s="247"/>
      <c r="U360" s="247"/>
      <c r="V360" s="247"/>
      <c r="W360" s="247"/>
      <c r="X360" s="247"/>
      <c r="Y360" s="247"/>
      <c r="Z360" s="247"/>
      <c r="AA360" s="247"/>
      <c r="AB360" s="251"/>
      <c r="AD360" s="247"/>
      <c r="AE360" s="247"/>
      <c r="AF360" s="247"/>
      <c r="AG360" s="247"/>
      <c r="AH360" s="247"/>
      <c r="AI360" s="247"/>
      <c r="AJ360" s="247"/>
      <c r="AK360" s="247"/>
      <c r="AL360" s="247"/>
      <c r="AM360" s="247"/>
      <c r="AN360" s="247"/>
      <c r="AO360" s="314"/>
      <c r="BD360" s="387">
        <f t="shared" si="47"/>
        <v>1</v>
      </c>
      <c r="BE360" s="382">
        <f>IF(BD360&gt;0,23,0)</f>
        <v>23</v>
      </c>
      <c r="BG360" s="383">
        <f>IF($BE360&gt;$R$66-1+($BR$335*12),23,0)</f>
        <v>23</v>
      </c>
      <c r="BH360" s="1747">
        <f t="shared" si="16"/>
        <v>0</v>
      </c>
      <c r="BI360" s="1748"/>
      <c r="BJ360" s="1748"/>
      <c r="BK360" s="1749"/>
      <c r="BL360" s="1747">
        <f t="shared" si="17"/>
        <v>0</v>
      </c>
      <c r="BM360" s="1748"/>
      <c r="BN360" s="1749"/>
      <c r="BO360" s="1747">
        <f t="shared" si="3"/>
        <v>0</v>
      </c>
      <c r="BP360" s="1748"/>
      <c r="BQ360" s="1749"/>
      <c r="BR360" s="1747">
        <f t="shared" si="48"/>
        <v>0</v>
      </c>
      <c r="BS360" s="1748"/>
      <c r="BT360" s="1748"/>
      <c r="BU360" s="1749"/>
      <c r="BW360" s="383">
        <f>IF($BE360&gt;$R$66-1+($CH$335*12),23,0)</f>
        <v>23</v>
      </c>
      <c r="BX360" s="1747">
        <f t="shared" si="35"/>
        <v>0</v>
      </c>
      <c r="BY360" s="1748"/>
      <c r="BZ360" s="1748"/>
      <c r="CA360" s="1749"/>
      <c r="CB360" s="1747">
        <f t="shared" si="18"/>
        <v>0</v>
      </c>
      <c r="CC360" s="1748"/>
      <c r="CD360" s="1749"/>
      <c r="CE360" s="1747">
        <f t="shared" si="5"/>
        <v>0</v>
      </c>
      <c r="CF360" s="1748"/>
      <c r="CG360" s="1749"/>
      <c r="CH360" s="1747">
        <f t="shared" si="6"/>
        <v>0</v>
      </c>
      <c r="CI360" s="1748"/>
      <c r="CJ360" s="1748"/>
      <c r="CK360" s="1749"/>
      <c r="CM360" s="383">
        <f>IF($BE360&gt;$R$66-1+($CX$335*12),23,0)</f>
        <v>23</v>
      </c>
      <c r="CN360" s="1747">
        <f t="shared" si="19"/>
        <v>0</v>
      </c>
      <c r="CO360" s="1748"/>
      <c r="CP360" s="1748"/>
      <c r="CQ360" s="1749"/>
      <c r="CR360" s="1747">
        <f t="shared" si="20"/>
        <v>0</v>
      </c>
      <c r="CS360" s="1748"/>
      <c r="CT360" s="1749"/>
      <c r="CU360" s="1747">
        <f t="shared" si="7"/>
        <v>0</v>
      </c>
      <c r="CV360" s="1748"/>
      <c r="CW360" s="1749"/>
      <c r="CX360" s="1747">
        <f t="shared" si="8"/>
        <v>0</v>
      </c>
      <c r="CY360" s="1748"/>
      <c r="CZ360" s="1748"/>
      <c r="DA360" s="1749"/>
      <c r="DC360" s="383">
        <f>IF($BE360&gt;$R$66-1,23,0)</f>
        <v>23</v>
      </c>
      <c r="DD360" s="1747">
        <f t="shared" si="41"/>
        <v>0</v>
      </c>
      <c r="DE360" s="1748"/>
      <c r="DF360" s="1748"/>
      <c r="DG360" s="1749"/>
      <c r="DH360" s="1747">
        <f t="shared" si="21"/>
        <v>0</v>
      </c>
      <c r="DI360" s="1748"/>
      <c r="DJ360" s="1749"/>
      <c r="DK360" s="1747">
        <f t="shared" si="9"/>
        <v>0</v>
      </c>
      <c r="DL360" s="1748"/>
      <c r="DM360" s="1748"/>
      <c r="DN360" s="1749"/>
      <c r="DP360" s="383">
        <f t="shared" si="22"/>
        <v>23</v>
      </c>
      <c r="DQ360" s="1747">
        <f t="shared" si="23"/>
        <v>0</v>
      </c>
      <c r="DR360" s="1748"/>
      <c r="DS360" s="1748"/>
      <c r="DT360" s="1749"/>
      <c r="DU360" s="1747">
        <f t="shared" si="44"/>
        <v>0</v>
      </c>
      <c r="DV360" s="1748"/>
      <c r="DW360" s="1749"/>
      <c r="DX360" s="1747">
        <f t="shared" si="49"/>
        <v>0</v>
      </c>
      <c r="DY360" s="1748"/>
      <c r="DZ360" s="1749"/>
      <c r="EA360" s="1747">
        <f t="shared" si="50"/>
        <v>0</v>
      </c>
      <c r="EB360" s="1748"/>
      <c r="EC360" s="1748"/>
      <c r="ED360" s="1749"/>
      <c r="EE360" s="384"/>
      <c r="EF360" s="1750">
        <f t="shared" si="11"/>
        <v>0</v>
      </c>
      <c r="EG360" s="1751"/>
      <c r="EH360" s="1751"/>
      <c r="EI360" s="1751"/>
      <c r="EJ360" s="1752"/>
      <c r="EL360" s="1750">
        <f t="shared" si="55"/>
        <v>0</v>
      </c>
      <c r="EM360" s="1751"/>
      <c r="EN360" s="1751"/>
      <c r="EO360" s="1751"/>
      <c r="EP360" s="1752"/>
      <c r="ER360" s="1750">
        <f t="shared" si="12"/>
        <v>0</v>
      </c>
      <c r="ES360" s="1751"/>
      <c r="ET360" s="1751"/>
      <c r="EU360" s="1751"/>
      <c r="EV360" s="1752"/>
      <c r="EX360" s="1750">
        <f>IF(BE360&gt;0,Einstrahlung!$K$30*Kalkulation!$P$62/100*$AY$29*POWER((100-$P$64)/100,BD360-1),0)</f>
        <v>0</v>
      </c>
      <c r="EY360" s="1751"/>
      <c r="EZ360" s="1751"/>
      <c r="FA360" s="1751"/>
      <c r="FB360" s="1752"/>
      <c r="FD360" s="1750">
        <f t="shared" si="27"/>
        <v>0</v>
      </c>
      <c r="FE360" s="1751"/>
      <c r="FF360" s="1751"/>
      <c r="FG360" s="1751"/>
      <c r="FH360" s="1752"/>
      <c r="FI360" s="385"/>
      <c r="FJ360" s="380">
        <f t="shared" si="40"/>
        <v>0</v>
      </c>
      <c r="FK360" s="838">
        <f t="shared" si="52"/>
        <v>0</v>
      </c>
      <c r="FL360" s="380">
        <f t="shared" si="51"/>
        <v>0</v>
      </c>
      <c r="FM360" s="385"/>
      <c r="FN360" s="380">
        <f t="shared" si="29"/>
        <v>0</v>
      </c>
      <c r="FO360" s="962">
        <f t="shared" si="37"/>
        <v>152</v>
      </c>
      <c r="FP360" s="956">
        <f t="shared" si="13"/>
        <v>0.4</v>
      </c>
      <c r="FQ360" s="380">
        <f t="shared" si="45"/>
        <v>0</v>
      </c>
      <c r="FR360" s="626">
        <f t="shared" si="53"/>
        <v>1</v>
      </c>
      <c r="FS360" s="616"/>
      <c r="FT360" s="1819">
        <f t="shared" si="38"/>
        <v>0</v>
      </c>
      <c r="FU360" s="1820"/>
      <c r="FV360" s="1820"/>
      <c r="FW360" s="1820"/>
      <c r="FX360" s="1821"/>
      <c r="FY360" s="1819">
        <f t="shared" si="30"/>
        <v>0</v>
      </c>
      <c r="FZ360" s="1820"/>
      <c r="GA360" s="1820"/>
      <c r="GB360" s="1821"/>
      <c r="GC360" s="1825">
        <f t="shared" si="54"/>
        <v>0</v>
      </c>
      <c r="GD360" s="1826"/>
      <c r="GE360" s="1826"/>
      <c r="GF360" s="1827"/>
      <c r="GH360" s="1750">
        <f t="shared" si="32"/>
        <v>0</v>
      </c>
      <c r="GI360" s="1751"/>
      <c r="GJ360" s="1751"/>
      <c r="GK360" s="1752"/>
      <c r="GL360" s="1750">
        <f t="shared" si="33"/>
        <v>0</v>
      </c>
      <c r="GM360" s="1751"/>
      <c r="GN360" s="1751"/>
      <c r="GO360" s="1752"/>
      <c r="GP360" s="385"/>
      <c r="GQ360" s="1750">
        <f t="shared" si="34"/>
        <v>0</v>
      </c>
      <c r="GR360" s="1751"/>
      <c r="GS360" s="1751"/>
      <c r="GT360" s="1752"/>
      <c r="GU360" s="192">
        <f t="shared" si="43"/>
        <v>1</v>
      </c>
      <c r="GV360" s="192">
        <f>SUM($GU$337:GU360)</f>
        <v>16</v>
      </c>
      <c r="GW360" s="380">
        <f t="shared" si="46"/>
        <v>0</v>
      </c>
      <c r="HX360" s="380"/>
    </row>
    <row r="361" spans="4:232" ht="12.75" customHeight="1" thickBot="1">
      <c r="D361" s="313"/>
      <c r="E361" s="247"/>
      <c r="F361" s="247"/>
      <c r="G361" s="247"/>
      <c r="H361" s="247"/>
      <c r="I361" s="247"/>
      <c r="J361" s="247"/>
      <c r="K361" s="247"/>
      <c r="L361" s="247"/>
      <c r="M361" s="247"/>
      <c r="N361" s="247"/>
      <c r="O361" s="247"/>
      <c r="P361" s="247"/>
      <c r="Q361" s="247"/>
      <c r="R361" s="247"/>
      <c r="S361" s="247"/>
      <c r="T361" s="247"/>
      <c r="U361" s="247"/>
      <c r="V361" s="247"/>
      <c r="W361" s="247"/>
      <c r="X361" s="247"/>
      <c r="Y361" s="247"/>
      <c r="Z361" s="247"/>
      <c r="AA361" s="247"/>
      <c r="AB361" s="251"/>
      <c r="AD361" s="247"/>
      <c r="AE361" s="247"/>
      <c r="AF361" s="247"/>
      <c r="AG361" s="247"/>
      <c r="AH361" s="247"/>
      <c r="AI361" s="247"/>
      <c r="AJ361" s="247"/>
      <c r="AK361" s="247"/>
      <c r="AL361" s="247"/>
      <c r="AM361" s="247"/>
      <c r="AN361" s="247"/>
      <c r="AO361" s="314"/>
      <c r="BD361" s="389">
        <f t="shared" si="47"/>
        <v>1</v>
      </c>
      <c r="BE361" s="390">
        <f>IF(BD361&gt;0,24,0)</f>
        <v>24</v>
      </c>
      <c r="BG361" s="391">
        <f>IF($BE361&gt;$R$66-1+($BR$335*12),24,0)</f>
        <v>24</v>
      </c>
      <c r="BH361" s="1755">
        <f t="shared" si="16"/>
        <v>0</v>
      </c>
      <c r="BI361" s="1756"/>
      <c r="BJ361" s="1756"/>
      <c r="BK361" s="1757"/>
      <c r="BL361" s="1747">
        <f t="shared" si="17"/>
        <v>0</v>
      </c>
      <c r="BM361" s="1748"/>
      <c r="BN361" s="1749"/>
      <c r="BO361" s="1755">
        <f t="shared" si="3"/>
        <v>0</v>
      </c>
      <c r="BP361" s="1756"/>
      <c r="BQ361" s="1757"/>
      <c r="BR361" s="1755">
        <f t="shared" si="48"/>
        <v>0</v>
      </c>
      <c r="BS361" s="1756"/>
      <c r="BT361" s="1756"/>
      <c r="BU361" s="1757"/>
      <c r="BW361" s="391">
        <f>IF($BE361&gt;$R$66-1+($CH$335*12),24,0)</f>
        <v>24</v>
      </c>
      <c r="BX361" s="1755">
        <f t="shared" si="35"/>
        <v>0</v>
      </c>
      <c r="BY361" s="1756"/>
      <c r="BZ361" s="1756"/>
      <c r="CA361" s="1757"/>
      <c r="CB361" s="1747">
        <f t="shared" si="18"/>
        <v>0</v>
      </c>
      <c r="CC361" s="1748"/>
      <c r="CD361" s="1749"/>
      <c r="CE361" s="1755">
        <f t="shared" si="5"/>
        <v>0</v>
      </c>
      <c r="CF361" s="1756"/>
      <c r="CG361" s="1757"/>
      <c r="CH361" s="1755">
        <f t="shared" si="6"/>
        <v>0</v>
      </c>
      <c r="CI361" s="1756"/>
      <c r="CJ361" s="1756"/>
      <c r="CK361" s="1757"/>
      <c r="CM361" s="391">
        <f>IF($BE361&gt;$R$66-1+($CX$335*12),24,0)</f>
        <v>24</v>
      </c>
      <c r="CN361" s="1755">
        <f t="shared" si="19"/>
        <v>0</v>
      </c>
      <c r="CO361" s="1756"/>
      <c r="CP361" s="1756"/>
      <c r="CQ361" s="1757"/>
      <c r="CR361" s="1747">
        <f t="shared" si="20"/>
        <v>0</v>
      </c>
      <c r="CS361" s="1748"/>
      <c r="CT361" s="1749"/>
      <c r="CU361" s="1755">
        <f t="shared" si="7"/>
        <v>0</v>
      </c>
      <c r="CV361" s="1756"/>
      <c r="CW361" s="1757"/>
      <c r="CX361" s="1755">
        <f t="shared" si="8"/>
        <v>0</v>
      </c>
      <c r="CY361" s="1756"/>
      <c r="CZ361" s="1756"/>
      <c r="DA361" s="1757"/>
      <c r="DC361" s="391">
        <f>IF($BE361&gt;$R$66-1,24,0)</f>
        <v>24</v>
      </c>
      <c r="DD361" s="1755">
        <f t="shared" si="41"/>
        <v>0</v>
      </c>
      <c r="DE361" s="1756"/>
      <c r="DF361" s="1756"/>
      <c r="DG361" s="1757"/>
      <c r="DH361" s="1755">
        <f t="shared" si="21"/>
        <v>0</v>
      </c>
      <c r="DI361" s="1756"/>
      <c r="DJ361" s="1757"/>
      <c r="DK361" s="1755">
        <f t="shared" si="9"/>
        <v>0</v>
      </c>
      <c r="DL361" s="1756"/>
      <c r="DM361" s="1756"/>
      <c r="DN361" s="1757"/>
      <c r="DP361" s="391">
        <f t="shared" si="22"/>
        <v>24</v>
      </c>
      <c r="DQ361" s="1755">
        <f t="shared" si="23"/>
        <v>0</v>
      </c>
      <c r="DR361" s="1756"/>
      <c r="DS361" s="1756"/>
      <c r="DT361" s="1757"/>
      <c r="DU361" s="1747">
        <f t="shared" si="44"/>
        <v>0</v>
      </c>
      <c r="DV361" s="1748"/>
      <c r="DW361" s="1749"/>
      <c r="DX361" s="1755">
        <f t="shared" si="49"/>
        <v>0</v>
      </c>
      <c r="DY361" s="1756"/>
      <c r="DZ361" s="1757"/>
      <c r="EA361" s="1755">
        <f t="shared" si="50"/>
        <v>0</v>
      </c>
      <c r="EB361" s="1756"/>
      <c r="EC361" s="1756"/>
      <c r="ED361" s="1757"/>
      <c r="EE361" s="384"/>
      <c r="EF361" s="1744">
        <f t="shared" si="11"/>
        <v>0</v>
      </c>
      <c r="EG361" s="1745"/>
      <c r="EH361" s="1745"/>
      <c r="EI361" s="1745"/>
      <c r="EJ361" s="1746"/>
      <c r="EL361" s="1744">
        <f t="shared" si="55"/>
        <v>0</v>
      </c>
      <c r="EM361" s="1745"/>
      <c r="EN361" s="1745"/>
      <c r="EO361" s="1745"/>
      <c r="EP361" s="1746"/>
      <c r="ER361" s="1744">
        <f t="shared" si="12"/>
        <v>0</v>
      </c>
      <c r="ES361" s="1745"/>
      <c r="ET361" s="1745"/>
      <c r="EU361" s="1745"/>
      <c r="EV361" s="1746"/>
      <c r="EX361" s="1744">
        <f>IF(BE361&gt;0,Einstrahlung!$K$32*Kalkulation!$P$62/100*$AY$29*POWER((100-$P$64)/100,BD361-1),0)</f>
        <v>0</v>
      </c>
      <c r="EY361" s="1745"/>
      <c r="EZ361" s="1745"/>
      <c r="FA361" s="1745"/>
      <c r="FB361" s="1746"/>
      <c r="FD361" s="1744">
        <f t="shared" si="27"/>
        <v>0</v>
      </c>
      <c r="FE361" s="1745"/>
      <c r="FF361" s="1745"/>
      <c r="FG361" s="1745"/>
      <c r="FH361" s="1746"/>
      <c r="FI361" s="385"/>
      <c r="FJ361" s="453">
        <f t="shared" si="40"/>
        <v>0</v>
      </c>
      <c r="FK361" s="838">
        <f t="shared" si="52"/>
        <v>0</v>
      </c>
      <c r="FL361" s="453">
        <f t="shared" si="51"/>
        <v>0</v>
      </c>
      <c r="FM361" s="385"/>
      <c r="FN361" s="453">
        <f t="shared" si="29"/>
        <v>0</v>
      </c>
      <c r="FO361" s="962">
        <f t="shared" si="37"/>
        <v>153</v>
      </c>
      <c r="FP361" s="956">
        <f t="shared" si="13"/>
        <v>0.4</v>
      </c>
      <c r="FQ361" s="453">
        <f t="shared" si="45"/>
        <v>0</v>
      </c>
      <c r="FR361" s="957">
        <f>POWER(1+$FQ$333,FS361)</f>
        <v>1</v>
      </c>
      <c r="FS361" s="617">
        <f>FS349+1</f>
        <v>1</v>
      </c>
      <c r="FT361" s="1822">
        <f t="shared" si="38"/>
        <v>0</v>
      </c>
      <c r="FU361" s="1823"/>
      <c r="FV361" s="1823"/>
      <c r="FW361" s="1823"/>
      <c r="FX361" s="1824"/>
      <c r="FY361" s="1822">
        <f t="shared" si="30"/>
        <v>0</v>
      </c>
      <c r="FZ361" s="1823"/>
      <c r="GA361" s="1823"/>
      <c r="GB361" s="1824"/>
      <c r="GC361" s="1831">
        <f t="shared" si="54"/>
        <v>0</v>
      </c>
      <c r="GD361" s="1832"/>
      <c r="GE361" s="1832"/>
      <c r="GF361" s="1833"/>
      <c r="GH361" s="1744">
        <f t="shared" si="32"/>
        <v>0</v>
      </c>
      <c r="GI361" s="1745"/>
      <c r="GJ361" s="1745"/>
      <c r="GK361" s="1746"/>
      <c r="GL361" s="1744">
        <f t="shared" si="33"/>
        <v>0</v>
      </c>
      <c r="GM361" s="1745"/>
      <c r="GN361" s="1745"/>
      <c r="GO361" s="1746"/>
      <c r="GP361" s="385"/>
      <c r="GQ361" s="1744">
        <f t="shared" si="34"/>
        <v>0</v>
      </c>
      <c r="GR361" s="1745"/>
      <c r="GS361" s="1745"/>
      <c r="GT361" s="1746"/>
      <c r="GU361" s="192">
        <f t="shared" si="43"/>
        <v>1</v>
      </c>
      <c r="GV361" s="192">
        <f>SUM($GU$337:GU361)</f>
        <v>17</v>
      </c>
      <c r="GW361" s="386"/>
      <c r="GX361" s="380">
        <f t="shared" ref="GX361:GX372" si="56">IF(GV361=24,SUM(GQ350:GT361),0)</f>
        <v>0</v>
      </c>
      <c r="HX361" s="380"/>
    </row>
    <row r="362" spans="4:232" ht="12.75" customHeight="1">
      <c r="D362" s="313"/>
      <c r="E362" s="247"/>
      <c r="F362" s="247"/>
      <c r="G362" s="247"/>
      <c r="H362" s="247"/>
      <c r="I362" s="247"/>
      <c r="J362" s="247"/>
      <c r="K362" s="247"/>
      <c r="L362" s="247"/>
      <c r="M362" s="247"/>
      <c r="N362" s="247"/>
      <c r="O362" s="247"/>
      <c r="P362" s="247"/>
      <c r="Q362" s="247"/>
      <c r="R362" s="247"/>
      <c r="S362" s="247"/>
      <c r="T362" s="247"/>
      <c r="U362" s="247"/>
      <c r="V362" s="247"/>
      <c r="W362" s="247"/>
      <c r="X362" s="247"/>
      <c r="Y362" s="247"/>
      <c r="Z362" s="247"/>
      <c r="AA362" s="247"/>
      <c r="AB362" s="251"/>
      <c r="AD362" s="247"/>
      <c r="AE362" s="247"/>
      <c r="AF362" s="247"/>
      <c r="AG362" s="247"/>
      <c r="AH362" s="247"/>
      <c r="AI362" s="247"/>
      <c r="AJ362" s="247"/>
      <c r="AK362" s="247"/>
      <c r="AL362" s="247"/>
      <c r="AM362" s="247"/>
      <c r="AN362" s="247"/>
      <c r="AO362" s="314"/>
      <c r="BD362" s="381">
        <f t="shared" ref="BD362:BD373" si="57">IF($V$21&gt;0,2,0)</f>
        <v>2</v>
      </c>
      <c r="BE362" s="382">
        <f>IF(BD362&gt;0,25,0)</f>
        <v>25</v>
      </c>
      <c r="BG362" s="392">
        <f>IF($BE362&gt;$R$66-1+($BR$335*12),25,0)</f>
        <v>25</v>
      </c>
      <c r="BH362" s="1758">
        <f t="shared" si="16"/>
        <v>0</v>
      </c>
      <c r="BI362" s="1759"/>
      <c r="BJ362" s="1759"/>
      <c r="BK362" s="1760"/>
      <c r="BL362" s="1758">
        <f t="shared" si="17"/>
        <v>0</v>
      </c>
      <c r="BM362" s="1759"/>
      <c r="BN362" s="1760"/>
      <c r="BO362" s="1758">
        <f t="shared" si="3"/>
        <v>0</v>
      </c>
      <c r="BP362" s="1759"/>
      <c r="BQ362" s="1760"/>
      <c r="BR362" s="1758">
        <f t="shared" ref="BR362:BR373" si="58">BH362-BL362</f>
        <v>0</v>
      </c>
      <c r="BS362" s="1759"/>
      <c r="BT362" s="1759"/>
      <c r="BU362" s="1760"/>
      <c r="BW362" s="392">
        <f>IF($BE362&gt;$R$66-1+($CH$335*12),25,0)</f>
        <v>25</v>
      </c>
      <c r="BX362" s="1758">
        <f t="shared" si="35"/>
        <v>0</v>
      </c>
      <c r="BY362" s="1759"/>
      <c r="BZ362" s="1759"/>
      <c r="CA362" s="1760"/>
      <c r="CB362" s="1758">
        <f t="shared" si="18"/>
        <v>0</v>
      </c>
      <c r="CC362" s="1759"/>
      <c r="CD362" s="1760"/>
      <c r="CE362" s="1758">
        <f t="shared" si="5"/>
        <v>0</v>
      </c>
      <c r="CF362" s="1759"/>
      <c r="CG362" s="1760"/>
      <c r="CH362" s="1758">
        <f t="shared" si="6"/>
        <v>0</v>
      </c>
      <c r="CI362" s="1759"/>
      <c r="CJ362" s="1759"/>
      <c r="CK362" s="1760"/>
      <c r="CM362" s="392">
        <f>IF($BE362&gt;$R$66-1+($CX$335*12),25,0)</f>
        <v>25</v>
      </c>
      <c r="CN362" s="1758">
        <f t="shared" si="19"/>
        <v>0</v>
      </c>
      <c r="CO362" s="1759"/>
      <c r="CP362" s="1759"/>
      <c r="CQ362" s="1760"/>
      <c r="CR362" s="1758">
        <f t="shared" si="20"/>
        <v>0</v>
      </c>
      <c r="CS362" s="1759"/>
      <c r="CT362" s="1760"/>
      <c r="CU362" s="1758">
        <f t="shared" si="7"/>
        <v>0</v>
      </c>
      <c r="CV362" s="1759"/>
      <c r="CW362" s="1760"/>
      <c r="CX362" s="1758">
        <f t="shared" si="8"/>
        <v>0</v>
      </c>
      <c r="CY362" s="1759"/>
      <c r="CZ362" s="1759"/>
      <c r="DA362" s="1760"/>
      <c r="DC362" s="392">
        <f>IF($BE362&gt;$R$66-1,25,0)</f>
        <v>25</v>
      </c>
      <c r="DD362" s="1758">
        <f t="shared" si="41"/>
        <v>0</v>
      </c>
      <c r="DE362" s="1759"/>
      <c r="DF362" s="1759"/>
      <c r="DG362" s="1760"/>
      <c r="DH362" s="1758">
        <f t="shared" si="21"/>
        <v>0</v>
      </c>
      <c r="DI362" s="1759"/>
      <c r="DJ362" s="1760"/>
      <c r="DK362" s="1758">
        <f t="shared" si="9"/>
        <v>0</v>
      </c>
      <c r="DL362" s="1759"/>
      <c r="DM362" s="1759"/>
      <c r="DN362" s="1760"/>
      <c r="DP362" s="392">
        <f t="shared" si="22"/>
        <v>25</v>
      </c>
      <c r="DQ362" s="1758">
        <f t="shared" si="23"/>
        <v>0</v>
      </c>
      <c r="DR362" s="1759"/>
      <c r="DS362" s="1759"/>
      <c r="DT362" s="1760"/>
      <c r="DU362" s="1758">
        <f t="shared" si="44"/>
        <v>0</v>
      </c>
      <c r="DV362" s="1759"/>
      <c r="DW362" s="1760"/>
      <c r="DX362" s="1758">
        <f t="shared" si="49"/>
        <v>0</v>
      </c>
      <c r="DY362" s="1759"/>
      <c r="DZ362" s="1760"/>
      <c r="EA362" s="1758">
        <f t="shared" si="50"/>
        <v>0</v>
      </c>
      <c r="EB362" s="1759"/>
      <c r="EC362" s="1759"/>
      <c r="ED362" s="1760"/>
      <c r="EE362" s="384"/>
      <c r="EF362" s="1750">
        <f t="shared" si="11"/>
        <v>0</v>
      </c>
      <c r="EG362" s="1751"/>
      <c r="EH362" s="1751"/>
      <c r="EI362" s="1751"/>
      <c r="EJ362" s="1752"/>
      <c r="EL362" s="1750">
        <f t="shared" si="55"/>
        <v>0</v>
      </c>
      <c r="EM362" s="1751"/>
      <c r="EN362" s="1751"/>
      <c r="EO362" s="1751"/>
      <c r="EP362" s="1752"/>
      <c r="ER362" s="1750">
        <f t="shared" si="12"/>
        <v>0</v>
      </c>
      <c r="ES362" s="1751"/>
      <c r="ET362" s="1751"/>
      <c r="EU362" s="1751"/>
      <c r="EV362" s="1752"/>
      <c r="EX362" s="1750">
        <f>IF(BE362&gt;0,Einstrahlung!$K$10*Kalkulation!$P$62/100*$AY$29*POWER((100-$P$64)/100,BD362-1),0)</f>
        <v>0</v>
      </c>
      <c r="EY362" s="1751"/>
      <c r="EZ362" s="1751"/>
      <c r="FA362" s="1751"/>
      <c r="FB362" s="1752"/>
      <c r="FD362" s="1750">
        <f t="shared" si="27"/>
        <v>0</v>
      </c>
      <c r="FE362" s="1751"/>
      <c r="FF362" s="1751"/>
      <c r="FG362" s="1751"/>
      <c r="FH362" s="1752"/>
      <c r="FI362" s="385"/>
      <c r="FJ362" s="380">
        <f t="shared" si="40"/>
        <v>0</v>
      </c>
      <c r="FK362" s="385"/>
      <c r="FL362" s="380">
        <f>IF(BE362&gt;0,IF($FL$336&gt;SUM($EX$362:$FB$373),SUM($EX$362:$FB$373)/12,$FL$336/12),0)</f>
        <v>0</v>
      </c>
      <c r="FM362" s="385"/>
      <c r="FN362" s="380">
        <f t="shared" si="29"/>
        <v>0</v>
      </c>
      <c r="FO362" s="962">
        <f t="shared" si="37"/>
        <v>154</v>
      </c>
      <c r="FP362" s="956">
        <f t="shared" si="13"/>
        <v>0.4</v>
      </c>
      <c r="FQ362" s="380">
        <f t="shared" si="45"/>
        <v>0</v>
      </c>
      <c r="FR362" s="626">
        <f>IF(AND(GV362&gt;12,GV362&lt;=24),$FR$361,IF(AND(GV362&gt;24,GV362&lt;=36),$FR$373,0))</f>
        <v>1</v>
      </c>
      <c r="FT362" s="1819">
        <f t="shared" si="38"/>
        <v>0</v>
      </c>
      <c r="FU362" s="1820"/>
      <c r="FV362" s="1820"/>
      <c r="FW362" s="1820"/>
      <c r="FX362" s="1821"/>
      <c r="FY362" s="1819">
        <f t="shared" si="30"/>
        <v>0</v>
      </c>
      <c r="FZ362" s="1820"/>
      <c r="GA362" s="1820"/>
      <c r="GB362" s="1821"/>
      <c r="GC362" s="1825">
        <f t="shared" si="54"/>
        <v>0</v>
      </c>
      <c r="GD362" s="1826"/>
      <c r="GE362" s="1826"/>
      <c r="GF362" s="1827"/>
      <c r="GH362" s="1750">
        <f t="shared" si="32"/>
        <v>0</v>
      </c>
      <c r="GI362" s="1751"/>
      <c r="GJ362" s="1751"/>
      <c r="GK362" s="1751"/>
      <c r="GL362" s="1750">
        <f t="shared" si="33"/>
        <v>0</v>
      </c>
      <c r="GM362" s="1751"/>
      <c r="GN362" s="1751"/>
      <c r="GO362" s="1752"/>
      <c r="GP362" s="385"/>
      <c r="GQ362" s="1865">
        <f t="shared" si="34"/>
        <v>0</v>
      </c>
      <c r="GR362" s="1866"/>
      <c r="GS362" s="1866"/>
      <c r="GT362" s="1867"/>
      <c r="GU362" s="192">
        <f t="shared" si="43"/>
        <v>1</v>
      </c>
      <c r="GV362" s="192">
        <f>SUM($GU$337:GU362)</f>
        <v>18</v>
      </c>
      <c r="GW362" s="318"/>
      <c r="GX362" s="380">
        <f t="shared" si="56"/>
        <v>0</v>
      </c>
      <c r="HX362" s="380"/>
    </row>
    <row r="363" spans="4:232" ht="12.75" customHeight="1">
      <c r="D363" s="313"/>
      <c r="E363" s="247"/>
      <c r="F363" s="247"/>
      <c r="G363" s="247"/>
      <c r="H363" s="247"/>
      <c r="I363" s="247"/>
      <c r="J363" s="247"/>
      <c r="K363" s="247"/>
      <c r="L363" s="247"/>
      <c r="M363" s="247"/>
      <c r="N363" s="247"/>
      <c r="O363" s="247"/>
      <c r="P363" s="247"/>
      <c r="Q363" s="247"/>
      <c r="R363" s="247"/>
      <c r="S363" s="247"/>
      <c r="T363" s="247"/>
      <c r="U363" s="247"/>
      <c r="V363" s="247"/>
      <c r="W363" s="247"/>
      <c r="X363" s="247"/>
      <c r="Y363" s="247"/>
      <c r="Z363" s="247"/>
      <c r="AA363" s="247"/>
      <c r="AB363" s="251"/>
      <c r="AD363" s="247"/>
      <c r="AE363" s="247"/>
      <c r="AF363" s="247"/>
      <c r="AG363" s="247"/>
      <c r="AH363" s="247"/>
      <c r="AI363" s="247"/>
      <c r="AJ363" s="247"/>
      <c r="AK363" s="247"/>
      <c r="AL363" s="247"/>
      <c r="AM363" s="247"/>
      <c r="AN363" s="247"/>
      <c r="AO363" s="314"/>
      <c r="BD363" s="387">
        <f t="shared" si="57"/>
        <v>2</v>
      </c>
      <c r="BE363" s="382">
        <f>IF(BD363&gt;0,26,0)</f>
        <v>26</v>
      </c>
      <c r="BG363" s="383">
        <f>IF($BE363&gt;$R$66-1+($BR$335*12),26,0)</f>
        <v>26</v>
      </c>
      <c r="BH363" s="1747">
        <f t="shared" si="16"/>
        <v>0</v>
      </c>
      <c r="BI363" s="1748"/>
      <c r="BJ363" s="1748"/>
      <c r="BK363" s="1749"/>
      <c r="BL363" s="1747">
        <f t="shared" si="17"/>
        <v>0</v>
      </c>
      <c r="BM363" s="1748"/>
      <c r="BN363" s="1749"/>
      <c r="BO363" s="1747">
        <f t="shared" si="3"/>
        <v>0</v>
      </c>
      <c r="BP363" s="1748"/>
      <c r="BQ363" s="1749"/>
      <c r="BR363" s="1747">
        <f t="shared" si="58"/>
        <v>0</v>
      </c>
      <c r="BS363" s="1748"/>
      <c r="BT363" s="1748"/>
      <c r="BU363" s="1749"/>
      <c r="BW363" s="383">
        <f>IF($BE363&gt;$R$66-1+($CH$335*12),26,0)</f>
        <v>26</v>
      </c>
      <c r="BX363" s="1747">
        <f t="shared" si="35"/>
        <v>0</v>
      </c>
      <c r="BY363" s="1748"/>
      <c r="BZ363" s="1748"/>
      <c r="CA363" s="1749"/>
      <c r="CB363" s="1747">
        <f t="shared" si="18"/>
        <v>0</v>
      </c>
      <c r="CC363" s="1748"/>
      <c r="CD363" s="1749"/>
      <c r="CE363" s="1747">
        <f t="shared" si="5"/>
        <v>0</v>
      </c>
      <c r="CF363" s="1748"/>
      <c r="CG363" s="1749"/>
      <c r="CH363" s="1747">
        <f t="shared" si="6"/>
        <v>0</v>
      </c>
      <c r="CI363" s="1748"/>
      <c r="CJ363" s="1748"/>
      <c r="CK363" s="1749"/>
      <c r="CM363" s="383">
        <f>IF($BE363&gt;$R$66-1+($CX$335*12),26,0)</f>
        <v>26</v>
      </c>
      <c r="CN363" s="1747">
        <f t="shared" si="19"/>
        <v>0</v>
      </c>
      <c r="CO363" s="1748"/>
      <c r="CP363" s="1748"/>
      <c r="CQ363" s="1749"/>
      <c r="CR363" s="1747">
        <f t="shared" si="20"/>
        <v>0</v>
      </c>
      <c r="CS363" s="1748"/>
      <c r="CT363" s="1749"/>
      <c r="CU363" s="1747">
        <f t="shared" si="7"/>
        <v>0</v>
      </c>
      <c r="CV363" s="1748"/>
      <c r="CW363" s="1749"/>
      <c r="CX363" s="1747">
        <f t="shared" si="8"/>
        <v>0</v>
      </c>
      <c r="CY363" s="1748"/>
      <c r="CZ363" s="1748"/>
      <c r="DA363" s="1749"/>
      <c r="DC363" s="383">
        <f>IF($BE363&gt;$R$66-1,26,0)</f>
        <v>26</v>
      </c>
      <c r="DD363" s="1747">
        <f t="shared" si="41"/>
        <v>0</v>
      </c>
      <c r="DE363" s="1748"/>
      <c r="DF363" s="1748"/>
      <c r="DG363" s="1749"/>
      <c r="DH363" s="1747">
        <f t="shared" si="21"/>
        <v>0</v>
      </c>
      <c r="DI363" s="1748"/>
      <c r="DJ363" s="1749"/>
      <c r="DK363" s="1747">
        <f t="shared" si="9"/>
        <v>0</v>
      </c>
      <c r="DL363" s="1748"/>
      <c r="DM363" s="1748"/>
      <c r="DN363" s="1749"/>
      <c r="DP363" s="383">
        <f t="shared" si="22"/>
        <v>26</v>
      </c>
      <c r="DQ363" s="1747">
        <f t="shared" si="23"/>
        <v>0</v>
      </c>
      <c r="DR363" s="1748"/>
      <c r="DS363" s="1748"/>
      <c r="DT363" s="1749"/>
      <c r="DU363" s="1747">
        <f t="shared" si="44"/>
        <v>0</v>
      </c>
      <c r="DV363" s="1748"/>
      <c r="DW363" s="1749"/>
      <c r="DX363" s="1747">
        <f t="shared" si="49"/>
        <v>0</v>
      </c>
      <c r="DY363" s="1748"/>
      <c r="DZ363" s="1749"/>
      <c r="EA363" s="1747">
        <f t="shared" si="50"/>
        <v>0</v>
      </c>
      <c r="EB363" s="1748"/>
      <c r="EC363" s="1748"/>
      <c r="ED363" s="1749"/>
      <c r="EE363" s="384"/>
      <c r="EF363" s="1750">
        <f t="shared" si="11"/>
        <v>0</v>
      </c>
      <c r="EG363" s="1751"/>
      <c r="EH363" s="1751"/>
      <c r="EI363" s="1751"/>
      <c r="EJ363" s="1752"/>
      <c r="EL363" s="1750">
        <f t="shared" si="55"/>
        <v>0</v>
      </c>
      <c r="EM363" s="1751"/>
      <c r="EN363" s="1751"/>
      <c r="EO363" s="1751"/>
      <c r="EP363" s="1752"/>
      <c r="ER363" s="1750">
        <f t="shared" si="12"/>
        <v>0</v>
      </c>
      <c r="ES363" s="1751"/>
      <c r="ET363" s="1751"/>
      <c r="EU363" s="1751"/>
      <c r="EV363" s="1752"/>
      <c r="EX363" s="1750">
        <f>IF(BE363&gt;0,Einstrahlung!$K$12*Kalkulation!$P$62/100*$AY$29*POWER((100-$P$64)/100,BD363-1),0)</f>
        <v>0</v>
      </c>
      <c r="EY363" s="1751"/>
      <c r="EZ363" s="1751"/>
      <c r="FA363" s="1751"/>
      <c r="FB363" s="1752"/>
      <c r="FD363" s="1750">
        <f t="shared" si="27"/>
        <v>0</v>
      </c>
      <c r="FE363" s="1751"/>
      <c r="FF363" s="1751"/>
      <c r="FG363" s="1751"/>
      <c r="FH363" s="1752"/>
      <c r="FI363" s="385"/>
      <c r="FJ363" s="380">
        <f t="shared" si="40"/>
        <v>0</v>
      </c>
      <c r="FK363" s="385"/>
      <c r="FL363" s="380">
        <f t="shared" ref="FL363:FL373" si="59">IF(BE363&gt;0,IF($FL$336&gt;SUM($EX$362:$FB$373),SUM($EX$362:$FB$373)/12,$FL$336/12),0)</f>
        <v>0</v>
      </c>
      <c r="FM363" s="385"/>
      <c r="FN363" s="380">
        <f t="shared" si="29"/>
        <v>0</v>
      </c>
      <c r="FO363" s="962">
        <f t="shared" si="37"/>
        <v>155</v>
      </c>
      <c r="FP363" s="956">
        <f t="shared" si="13"/>
        <v>0.4</v>
      </c>
      <c r="FQ363" s="380">
        <f t="shared" si="45"/>
        <v>0</v>
      </c>
      <c r="FR363" s="626">
        <f t="shared" ref="FR363:FR372" si="60">IF(AND(GV363&gt;12,GV363&lt;=24),$FR$361,IF(AND(GV363&gt;24,GV363&lt;=36),$FR$373,0))</f>
        <v>1</v>
      </c>
      <c r="FT363" s="1819">
        <f t="shared" si="38"/>
        <v>0</v>
      </c>
      <c r="FU363" s="1820"/>
      <c r="FV363" s="1820"/>
      <c r="FW363" s="1820"/>
      <c r="FX363" s="1821"/>
      <c r="FY363" s="1819">
        <f t="shared" si="30"/>
        <v>0</v>
      </c>
      <c r="FZ363" s="1820"/>
      <c r="GA363" s="1820"/>
      <c r="GB363" s="1821"/>
      <c r="GC363" s="1825">
        <f t="shared" si="54"/>
        <v>0</v>
      </c>
      <c r="GD363" s="1826"/>
      <c r="GE363" s="1826"/>
      <c r="GF363" s="1827"/>
      <c r="GH363" s="1750">
        <f t="shared" si="32"/>
        <v>0</v>
      </c>
      <c r="GI363" s="1751"/>
      <c r="GJ363" s="1751"/>
      <c r="GK363" s="1752"/>
      <c r="GL363" s="1750">
        <f t="shared" si="33"/>
        <v>0</v>
      </c>
      <c r="GM363" s="1751"/>
      <c r="GN363" s="1751"/>
      <c r="GO363" s="1752"/>
      <c r="GP363" s="385"/>
      <c r="GQ363" s="1750">
        <f t="shared" si="34"/>
        <v>0</v>
      </c>
      <c r="GR363" s="1751"/>
      <c r="GS363" s="1751"/>
      <c r="GT363" s="1752"/>
      <c r="GU363" s="192">
        <f t="shared" si="43"/>
        <v>1</v>
      </c>
      <c r="GV363" s="192">
        <f>SUM($GU$337:GU363)</f>
        <v>19</v>
      </c>
      <c r="GW363" s="318"/>
      <c r="GX363" s="380">
        <f t="shared" si="56"/>
        <v>0</v>
      </c>
      <c r="HX363" s="380"/>
    </row>
    <row r="364" spans="4:232" ht="12.75" customHeight="1">
      <c r="D364" s="313"/>
      <c r="E364" s="247"/>
      <c r="F364" s="247"/>
      <c r="G364" s="247"/>
      <c r="H364" s="247"/>
      <c r="I364" s="247"/>
      <c r="J364" s="247"/>
      <c r="K364" s="247"/>
      <c r="L364" s="247"/>
      <c r="M364" s="247"/>
      <c r="N364" s="247"/>
      <c r="O364" s="247"/>
      <c r="P364" s="247"/>
      <c r="Q364" s="247"/>
      <c r="R364" s="247"/>
      <c r="S364" s="247"/>
      <c r="T364" s="247"/>
      <c r="U364" s="247"/>
      <c r="V364" s="247"/>
      <c r="W364" s="247"/>
      <c r="X364" s="247"/>
      <c r="Y364" s="247"/>
      <c r="Z364" s="247"/>
      <c r="AA364" s="247"/>
      <c r="AB364" s="251"/>
      <c r="AD364" s="247"/>
      <c r="AE364" s="247"/>
      <c r="AF364" s="247"/>
      <c r="AG364" s="247"/>
      <c r="AH364" s="247"/>
      <c r="AI364" s="247"/>
      <c r="AJ364" s="247"/>
      <c r="AK364" s="247"/>
      <c r="AL364" s="247"/>
      <c r="AM364" s="247"/>
      <c r="AN364" s="247"/>
      <c r="AO364" s="314"/>
      <c r="BD364" s="387">
        <f t="shared" si="57"/>
        <v>2</v>
      </c>
      <c r="BE364" s="382">
        <f>IF(BD364&gt;0,27,0)</f>
        <v>27</v>
      </c>
      <c r="BG364" s="383">
        <f>IF($BE364&gt;$R$66-1+($BR$335*12),27,0)</f>
        <v>27</v>
      </c>
      <c r="BH364" s="1747">
        <f t="shared" si="16"/>
        <v>0</v>
      </c>
      <c r="BI364" s="1748"/>
      <c r="BJ364" s="1748"/>
      <c r="BK364" s="1749"/>
      <c r="BL364" s="1747">
        <f t="shared" si="17"/>
        <v>0</v>
      </c>
      <c r="BM364" s="1748"/>
      <c r="BN364" s="1749"/>
      <c r="BO364" s="1747">
        <f t="shared" si="3"/>
        <v>0</v>
      </c>
      <c r="BP364" s="1748"/>
      <c r="BQ364" s="1749"/>
      <c r="BR364" s="1747">
        <f t="shared" si="58"/>
        <v>0</v>
      </c>
      <c r="BS364" s="1748"/>
      <c r="BT364" s="1748"/>
      <c r="BU364" s="1749"/>
      <c r="BW364" s="383">
        <f>IF($BE364&gt;$R$66-1+($CH$335*12),27,0)</f>
        <v>27</v>
      </c>
      <c r="BX364" s="1747">
        <f t="shared" si="35"/>
        <v>0</v>
      </c>
      <c r="BY364" s="1748"/>
      <c r="BZ364" s="1748"/>
      <c r="CA364" s="1749"/>
      <c r="CB364" s="1747">
        <f t="shared" si="18"/>
        <v>0</v>
      </c>
      <c r="CC364" s="1748"/>
      <c r="CD364" s="1749"/>
      <c r="CE364" s="1747">
        <f t="shared" si="5"/>
        <v>0</v>
      </c>
      <c r="CF364" s="1748"/>
      <c r="CG364" s="1749"/>
      <c r="CH364" s="1747">
        <f t="shared" si="6"/>
        <v>0</v>
      </c>
      <c r="CI364" s="1748"/>
      <c r="CJ364" s="1748"/>
      <c r="CK364" s="1749"/>
      <c r="CM364" s="383">
        <f>IF($BE364&gt;$R$66-1+($CX$335*12),27,0)</f>
        <v>27</v>
      </c>
      <c r="CN364" s="1747">
        <f t="shared" si="19"/>
        <v>0</v>
      </c>
      <c r="CO364" s="1748"/>
      <c r="CP364" s="1748"/>
      <c r="CQ364" s="1749"/>
      <c r="CR364" s="1747">
        <f t="shared" si="20"/>
        <v>0</v>
      </c>
      <c r="CS364" s="1748"/>
      <c r="CT364" s="1749"/>
      <c r="CU364" s="1747">
        <f t="shared" si="7"/>
        <v>0</v>
      </c>
      <c r="CV364" s="1748"/>
      <c r="CW364" s="1749"/>
      <c r="CX364" s="1747">
        <f t="shared" si="8"/>
        <v>0</v>
      </c>
      <c r="CY364" s="1748"/>
      <c r="CZ364" s="1748"/>
      <c r="DA364" s="1749"/>
      <c r="DC364" s="383">
        <f>IF($BE364&gt;$R$66-1,27,0)</f>
        <v>27</v>
      </c>
      <c r="DD364" s="1747">
        <f t="shared" si="41"/>
        <v>0</v>
      </c>
      <c r="DE364" s="1748"/>
      <c r="DF364" s="1748"/>
      <c r="DG364" s="1749"/>
      <c r="DH364" s="1747">
        <f t="shared" si="21"/>
        <v>0</v>
      </c>
      <c r="DI364" s="1748"/>
      <c r="DJ364" s="1749"/>
      <c r="DK364" s="1747">
        <f t="shared" si="9"/>
        <v>0</v>
      </c>
      <c r="DL364" s="1748"/>
      <c r="DM364" s="1748"/>
      <c r="DN364" s="1749"/>
      <c r="DP364" s="383">
        <f t="shared" si="22"/>
        <v>27</v>
      </c>
      <c r="DQ364" s="1747">
        <f t="shared" si="23"/>
        <v>0</v>
      </c>
      <c r="DR364" s="1748"/>
      <c r="DS364" s="1748"/>
      <c r="DT364" s="1749"/>
      <c r="DU364" s="1747">
        <f t="shared" si="44"/>
        <v>0</v>
      </c>
      <c r="DV364" s="1748"/>
      <c r="DW364" s="1749"/>
      <c r="DX364" s="1747">
        <f t="shared" si="49"/>
        <v>0</v>
      </c>
      <c r="DY364" s="1748"/>
      <c r="DZ364" s="1749"/>
      <c r="EA364" s="1747">
        <f t="shared" si="50"/>
        <v>0</v>
      </c>
      <c r="EB364" s="1748"/>
      <c r="EC364" s="1748"/>
      <c r="ED364" s="1749"/>
      <c r="EE364" s="384"/>
      <c r="EF364" s="1750">
        <f t="shared" si="11"/>
        <v>0</v>
      </c>
      <c r="EG364" s="1751"/>
      <c r="EH364" s="1751"/>
      <c r="EI364" s="1751"/>
      <c r="EJ364" s="1752"/>
      <c r="EL364" s="1750">
        <f t="shared" si="55"/>
        <v>0</v>
      </c>
      <c r="EM364" s="1751"/>
      <c r="EN364" s="1751"/>
      <c r="EO364" s="1751"/>
      <c r="EP364" s="1752"/>
      <c r="ER364" s="1750">
        <f t="shared" si="12"/>
        <v>0</v>
      </c>
      <c r="ES364" s="1751"/>
      <c r="ET364" s="1751"/>
      <c r="EU364" s="1751"/>
      <c r="EV364" s="1752"/>
      <c r="EX364" s="1750">
        <f>IF(BE364&gt;0,Einstrahlung!$K$14*Kalkulation!$P$62/100*$AY$29*POWER((100-$P$64)/100,BD364-1),0)</f>
        <v>0</v>
      </c>
      <c r="EY364" s="1751"/>
      <c r="EZ364" s="1751"/>
      <c r="FA364" s="1751"/>
      <c r="FB364" s="1752"/>
      <c r="FD364" s="1750">
        <f t="shared" si="27"/>
        <v>0</v>
      </c>
      <c r="FE364" s="1751"/>
      <c r="FF364" s="1751"/>
      <c r="FG364" s="1751"/>
      <c r="FH364" s="1752"/>
      <c r="FI364" s="385"/>
      <c r="FJ364" s="380">
        <f t="shared" si="40"/>
        <v>0</v>
      </c>
      <c r="FK364" s="385"/>
      <c r="FL364" s="380">
        <f t="shared" si="59"/>
        <v>0</v>
      </c>
      <c r="FM364" s="385"/>
      <c r="FN364" s="380">
        <f t="shared" si="29"/>
        <v>0</v>
      </c>
      <c r="FO364" s="962">
        <f t="shared" si="37"/>
        <v>156</v>
      </c>
      <c r="FP364" s="956">
        <f t="shared" si="13"/>
        <v>0.4</v>
      </c>
      <c r="FQ364" s="380">
        <f t="shared" si="45"/>
        <v>0</v>
      </c>
      <c r="FR364" s="626">
        <f t="shared" si="60"/>
        <v>1</v>
      </c>
      <c r="FT364" s="1819">
        <f t="shared" si="38"/>
        <v>0</v>
      </c>
      <c r="FU364" s="1820"/>
      <c r="FV364" s="1820"/>
      <c r="FW364" s="1820"/>
      <c r="FX364" s="1821"/>
      <c r="FY364" s="1819">
        <f t="shared" si="30"/>
        <v>0</v>
      </c>
      <c r="FZ364" s="1820"/>
      <c r="GA364" s="1820"/>
      <c r="GB364" s="1821"/>
      <c r="GC364" s="1825">
        <f t="shared" si="54"/>
        <v>0</v>
      </c>
      <c r="GD364" s="1826"/>
      <c r="GE364" s="1826"/>
      <c r="GF364" s="1827"/>
      <c r="GH364" s="1750">
        <f t="shared" si="32"/>
        <v>0</v>
      </c>
      <c r="GI364" s="1751"/>
      <c r="GJ364" s="1751"/>
      <c r="GK364" s="1752"/>
      <c r="GL364" s="1750">
        <f t="shared" si="33"/>
        <v>0</v>
      </c>
      <c r="GM364" s="1751"/>
      <c r="GN364" s="1751"/>
      <c r="GO364" s="1752"/>
      <c r="GP364" s="385"/>
      <c r="GQ364" s="1750">
        <f t="shared" si="34"/>
        <v>0</v>
      </c>
      <c r="GR364" s="1751"/>
      <c r="GS364" s="1751"/>
      <c r="GT364" s="1752"/>
      <c r="GU364" s="192">
        <f t="shared" si="43"/>
        <v>1</v>
      </c>
      <c r="GV364" s="192">
        <f>SUM($GU$337:GU364)</f>
        <v>20</v>
      </c>
      <c r="GW364" s="318"/>
      <c r="GX364" s="380">
        <f t="shared" si="56"/>
        <v>0</v>
      </c>
      <c r="HX364" s="380"/>
    </row>
    <row r="365" spans="4:232" ht="12.75" customHeight="1">
      <c r="D365" s="313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247"/>
      <c r="Q365" s="247"/>
      <c r="R365" s="247"/>
      <c r="S365" s="247"/>
      <c r="T365" s="247"/>
      <c r="U365" s="247"/>
      <c r="V365" s="247"/>
      <c r="W365" s="247"/>
      <c r="X365" s="247"/>
      <c r="Y365" s="247"/>
      <c r="Z365" s="247"/>
      <c r="AA365" s="247"/>
      <c r="AB365" s="251"/>
      <c r="AD365" s="247"/>
      <c r="AE365" s="247"/>
      <c r="AF365" s="247"/>
      <c r="AG365" s="247"/>
      <c r="AH365" s="247"/>
      <c r="AI365" s="247"/>
      <c r="AJ365" s="247"/>
      <c r="AK365" s="247"/>
      <c r="AL365" s="247"/>
      <c r="AM365" s="247"/>
      <c r="AN365" s="247"/>
      <c r="AO365" s="314"/>
      <c r="BD365" s="387">
        <f t="shared" si="57"/>
        <v>2</v>
      </c>
      <c r="BE365" s="382">
        <f>IF(BD365&gt;0,28,0)</f>
        <v>28</v>
      </c>
      <c r="BG365" s="383">
        <f>IF($BE365&gt;$R$66-1+($BR$335*12),28,0)</f>
        <v>28</v>
      </c>
      <c r="BH365" s="1747">
        <f t="shared" si="16"/>
        <v>0</v>
      </c>
      <c r="BI365" s="1748"/>
      <c r="BJ365" s="1748"/>
      <c r="BK365" s="1749"/>
      <c r="BL365" s="1747">
        <f t="shared" si="17"/>
        <v>0</v>
      </c>
      <c r="BM365" s="1748"/>
      <c r="BN365" s="1749"/>
      <c r="BO365" s="1747">
        <f t="shared" si="3"/>
        <v>0</v>
      </c>
      <c r="BP365" s="1748"/>
      <c r="BQ365" s="1749"/>
      <c r="BR365" s="1747">
        <f t="shared" si="58"/>
        <v>0</v>
      </c>
      <c r="BS365" s="1748"/>
      <c r="BT365" s="1748"/>
      <c r="BU365" s="1749"/>
      <c r="BW365" s="383">
        <f>IF($BE365&gt;$R$66-1+($CH$335*12),28,0)</f>
        <v>28</v>
      </c>
      <c r="BX365" s="1747">
        <f t="shared" si="35"/>
        <v>0</v>
      </c>
      <c r="BY365" s="1748"/>
      <c r="BZ365" s="1748"/>
      <c r="CA365" s="1749"/>
      <c r="CB365" s="1747">
        <f t="shared" si="18"/>
        <v>0</v>
      </c>
      <c r="CC365" s="1748"/>
      <c r="CD365" s="1749"/>
      <c r="CE365" s="1747">
        <f t="shared" si="5"/>
        <v>0</v>
      </c>
      <c r="CF365" s="1748"/>
      <c r="CG365" s="1749"/>
      <c r="CH365" s="1747">
        <f t="shared" si="6"/>
        <v>0</v>
      </c>
      <c r="CI365" s="1748"/>
      <c r="CJ365" s="1748"/>
      <c r="CK365" s="1749"/>
      <c r="CM365" s="383">
        <f>IF($BE365&gt;$R$66-1+($CX$335*12),28,0)</f>
        <v>28</v>
      </c>
      <c r="CN365" s="1747">
        <f t="shared" si="19"/>
        <v>0</v>
      </c>
      <c r="CO365" s="1748"/>
      <c r="CP365" s="1748"/>
      <c r="CQ365" s="1749"/>
      <c r="CR365" s="1747">
        <f t="shared" si="20"/>
        <v>0</v>
      </c>
      <c r="CS365" s="1748"/>
      <c r="CT365" s="1749"/>
      <c r="CU365" s="1747">
        <f t="shared" si="7"/>
        <v>0</v>
      </c>
      <c r="CV365" s="1748"/>
      <c r="CW365" s="1749"/>
      <c r="CX365" s="1747">
        <f t="shared" si="8"/>
        <v>0</v>
      </c>
      <c r="CY365" s="1748"/>
      <c r="CZ365" s="1748"/>
      <c r="DA365" s="1749"/>
      <c r="DC365" s="383">
        <f>IF($BE365&gt;$R$66-1,28,0)</f>
        <v>28</v>
      </c>
      <c r="DD365" s="1747">
        <f t="shared" si="41"/>
        <v>0</v>
      </c>
      <c r="DE365" s="1748"/>
      <c r="DF365" s="1748"/>
      <c r="DG365" s="1749"/>
      <c r="DH365" s="1747">
        <f t="shared" si="21"/>
        <v>0</v>
      </c>
      <c r="DI365" s="1748"/>
      <c r="DJ365" s="1749"/>
      <c r="DK365" s="1747">
        <f t="shared" si="9"/>
        <v>0</v>
      </c>
      <c r="DL365" s="1748"/>
      <c r="DM365" s="1748"/>
      <c r="DN365" s="1749"/>
      <c r="DP365" s="383">
        <f t="shared" si="22"/>
        <v>28</v>
      </c>
      <c r="DQ365" s="1747">
        <f t="shared" si="23"/>
        <v>0</v>
      </c>
      <c r="DR365" s="1748"/>
      <c r="DS365" s="1748"/>
      <c r="DT365" s="1749"/>
      <c r="DU365" s="1747">
        <f t="shared" si="44"/>
        <v>0</v>
      </c>
      <c r="DV365" s="1748"/>
      <c r="DW365" s="1749"/>
      <c r="DX365" s="1747">
        <f t="shared" si="49"/>
        <v>0</v>
      </c>
      <c r="DY365" s="1748"/>
      <c r="DZ365" s="1749"/>
      <c r="EA365" s="1747">
        <f t="shared" si="50"/>
        <v>0</v>
      </c>
      <c r="EB365" s="1748"/>
      <c r="EC365" s="1748"/>
      <c r="ED365" s="1749"/>
      <c r="EE365" s="384"/>
      <c r="EF365" s="1750">
        <f t="shared" si="11"/>
        <v>0</v>
      </c>
      <c r="EG365" s="1751"/>
      <c r="EH365" s="1751"/>
      <c r="EI365" s="1751"/>
      <c r="EJ365" s="1752"/>
      <c r="EL365" s="1750">
        <f t="shared" si="55"/>
        <v>0</v>
      </c>
      <c r="EM365" s="1751"/>
      <c r="EN365" s="1751"/>
      <c r="EO365" s="1751"/>
      <c r="EP365" s="1752"/>
      <c r="ER365" s="1750">
        <f t="shared" si="12"/>
        <v>0</v>
      </c>
      <c r="ES365" s="1751"/>
      <c r="ET365" s="1751"/>
      <c r="EU365" s="1751"/>
      <c r="EV365" s="1752"/>
      <c r="EX365" s="1750">
        <f>IF(BE365&gt;0,Einstrahlung!$K$16*Kalkulation!$P$62/100*$AY$29*POWER((100-$P$64)/100,BD365-1),0)</f>
        <v>0</v>
      </c>
      <c r="EY365" s="1751"/>
      <c r="EZ365" s="1751"/>
      <c r="FA365" s="1751"/>
      <c r="FB365" s="1752"/>
      <c r="FD365" s="1750">
        <f t="shared" si="27"/>
        <v>0</v>
      </c>
      <c r="FE365" s="1751"/>
      <c r="FF365" s="1751"/>
      <c r="FG365" s="1751"/>
      <c r="FH365" s="1752"/>
      <c r="FI365" s="385"/>
      <c r="FJ365" s="380">
        <f t="shared" si="40"/>
        <v>0</v>
      </c>
      <c r="FK365" s="385"/>
      <c r="FL365" s="380">
        <f t="shared" si="59"/>
        <v>0</v>
      </c>
      <c r="FM365" s="385"/>
      <c r="FN365" s="380">
        <f t="shared" si="29"/>
        <v>0</v>
      </c>
      <c r="FO365" s="962">
        <f t="shared" si="37"/>
        <v>157</v>
      </c>
      <c r="FP365" s="956">
        <f t="shared" si="13"/>
        <v>0.4</v>
      </c>
      <c r="FQ365" s="380">
        <f t="shared" si="45"/>
        <v>0</v>
      </c>
      <c r="FR365" s="626">
        <f t="shared" si="60"/>
        <v>1</v>
      </c>
      <c r="FT365" s="1819">
        <f t="shared" si="38"/>
        <v>0</v>
      </c>
      <c r="FU365" s="1820"/>
      <c r="FV365" s="1820"/>
      <c r="FW365" s="1820"/>
      <c r="FX365" s="1821"/>
      <c r="FY365" s="1819">
        <f t="shared" si="30"/>
        <v>0</v>
      </c>
      <c r="FZ365" s="1820"/>
      <c r="GA365" s="1820"/>
      <c r="GB365" s="1821"/>
      <c r="GC365" s="1825">
        <f t="shared" si="54"/>
        <v>0</v>
      </c>
      <c r="GD365" s="1826"/>
      <c r="GE365" s="1826"/>
      <c r="GF365" s="1827"/>
      <c r="GH365" s="1750">
        <f t="shared" si="32"/>
        <v>0</v>
      </c>
      <c r="GI365" s="1751"/>
      <c r="GJ365" s="1751"/>
      <c r="GK365" s="1752"/>
      <c r="GL365" s="1750">
        <f t="shared" si="33"/>
        <v>0</v>
      </c>
      <c r="GM365" s="1751"/>
      <c r="GN365" s="1751"/>
      <c r="GO365" s="1752"/>
      <c r="GP365" s="385"/>
      <c r="GQ365" s="1750">
        <f t="shared" si="34"/>
        <v>0</v>
      </c>
      <c r="GR365" s="1751"/>
      <c r="GS365" s="1751"/>
      <c r="GT365" s="1752"/>
      <c r="GU365" s="192">
        <f t="shared" si="43"/>
        <v>1</v>
      </c>
      <c r="GV365" s="192">
        <f>SUM($GU$337:GU365)</f>
        <v>21</v>
      </c>
      <c r="GW365" s="318"/>
      <c r="GX365" s="380">
        <f t="shared" si="56"/>
        <v>0</v>
      </c>
      <c r="HX365" s="380"/>
    </row>
    <row r="366" spans="4:232" ht="12.75" customHeight="1">
      <c r="D366" s="313"/>
      <c r="E366" s="247"/>
      <c r="F366" s="247"/>
      <c r="G366" s="247"/>
      <c r="H366" s="247"/>
      <c r="I366" s="247"/>
      <c r="J366" s="247"/>
      <c r="K366" s="247"/>
      <c r="L366" s="247"/>
      <c r="M366" s="247"/>
      <c r="N366" s="247"/>
      <c r="O366" s="247"/>
      <c r="P366" s="247"/>
      <c r="Q366" s="247"/>
      <c r="R366" s="247"/>
      <c r="S366" s="247"/>
      <c r="T366" s="247"/>
      <c r="U366" s="247"/>
      <c r="V366" s="247"/>
      <c r="W366" s="247"/>
      <c r="X366" s="247"/>
      <c r="Y366" s="247"/>
      <c r="Z366" s="247"/>
      <c r="AA366" s="247"/>
      <c r="AB366" s="251"/>
      <c r="AD366" s="247"/>
      <c r="AE366" s="247"/>
      <c r="AF366" s="247"/>
      <c r="AG366" s="247"/>
      <c r="AH366" s="247"/>
      <c r="AI366" s="247"/>
      <c r="AJ366" s="247"/>
      <c r="AK366" s="247"/>
      <c r="AL366" s="247"/>
      <c r="AM366" s="247"/>
      <c r="AN366" s="247"/>
      <c r="AO366" s="314"/>
      <c r="BD366" s="387">
        <f t="shared" si="57"/>
        <v>2</v>
      </c>
      <c r="BE366" s="382">
        <f>IF(BD366&gt;0,29,0)</f>
        <v>29</v>
      </c>
      <c r="BG366" s="383">
        <f>IF($BE366&gt;$R$66-1+($BR$335*12),29,0)</f>
        <v>29</v>
      </c>
      <c r="BH366" s="1747">
        <f>IF(BR365&lt;=0,0,BR365)</f>
        <v>0</v>
      </c>
      <c r="BI366" s="1748"/>
      <c r="BJ366" s="1748"/>
      <c r="BK366" s="1749"/>
      <c r="BL366" s="1747">
        <f t="shared" si="17"/>
        <v>0</v>
      </c>
      <c r="BM366" s="1748"/>
      <c r="BN366" s="1749"/>
      <c r="BO366" s="1747">
        <f t="shared" si="3"/>
        <v>0</v>
      </c>
      <c r="BP366" s="1748"/>
      <c r="BQ366" s="1749"/>
      <c r="BR366" s="1747">
        <f t="shared" si="58"/>
        <v>0</v>
      </c>
      <c r="BS366" s="1748"/>
      <c r="BT366" s="1748"/>
      <c r="BU366" s="1749"/>
      <c r="BW366" s="383">
        <f>IF($BE366&gt;$R$66-1+($CH$335*12),29,0)</f>
        <v>29</v>
      </c>
      <c r="BX366" s="1747">
        <f>IF(CH365&lt;=0,0,CH365)</f>
        <v>0</v>
      </c>
      <c r="BY366" s="1748"/>
      <c r="BZ366" s="1748"/>
      <c r="CA366" s="1749"/>
      <c r="CB366" s="1747">
        <f t="shared" si="18"/>
        <v>0</v>
      </c>
      <c r="CC366" s="1748"/>
      <c r="CD366" s="1749"/>
      <c r="CE366" s="1747">
        <f t="shared" si="5"/>
        <v>0</v>
      </c>
      <c r="CF366" s="1748"/>
      <c r="CG366" s="1749"/>
      <c r="CH366" s="1747">
        <f t="shared" si="6"/>
        <v>0</v>
      </c>
      <c r="CI366" s="1748"/>
      <c r="CJ366" s="1748"/>
      <c r="CK366" s="1749"/>
      <c r="CM366" s="383">
        <f>IF($BE366&gt;$R$66-1+($CX$335*12),29,0)</f>
        <v>29</v>
      </c>
      <c r="CN366" s="1747">
        <f>IF(CX365&lt;=0,0,CX365)</f>
        <v>0</v>
      </c>
      <c r="CO366" s="1748"/>
      <c r="CP366" s="1748"/>
      <c r="CQ366" s="1749"/>
      <c r="CR366" s="1747">
        <f t="shared" si="20"/>
        <v>0</v>
      </c>
      <c r="CS366" s="1748"/>
      <c r="CT366" s="1749"/>
      <c r="CU366" s="1747">
        <f t="shared" si="7"/>
        <v>0</v>
      </c>
      <c r="CV366" s="1748"/>
      <c r="CW366" s="1749"/>
      <c r="CX366" s="1747">
        <f t="shared" si="8"/>
        <v>0</v>
      </c>
      <c r="CY366" s="1748"/>
      <c r="CZ366" s="1748"/>
      <c r="DA366" s="1749"/>
      <c r="DC366" s="383">
        <f>IF($BE366&gt;$R$66-1,29,0)</f>
        <v>29</v>
      </c>
      <c r="DD366" s="1747">
        <f>IF(DK365&lt;=0,0,DK365)</f>
        <v>0</v>
      </c>
      <c r="DE366" s="1748"/>
      <c r="DF366" s="1748"/>
      <c r="DG366" s="1749"/>
      <c r="DH366" s="1747">
        <f t="shared" si="21"/>
        <v>0</v>
      </c>
      <c r="DI366" s="1748"/>
      <c r="DJ366" s="1749"/>
      <c r="DK366" s="1747">
        <f t="shared" si="9"/>
        <v>0</v>
      </c>
      <c r="DL366" s="1748"/>
      <c r="DM366" s="1748"/>
      <c r="DN366" s="1749"/>
      <c r="DP366" s="383">
        <f t="shared" si="22"/>
        <v>29</v>
      </c>
      <c r="DQ366" s="1747">
        <f>IF(DD366=0,0,IF(EA365&lt;=0,0,EA365))</f>
        <v>0</v>
      </c>
      <c r="DR366" s="1748"/>
      <c r="DS366" s="1748"/>
      <c r="DT366" s="1749"/>
      <c r="DU366" s="1747">
        <f t="shared" si="44"/>
        <v>0</v>
      </c>
      <c r="DV366" s="1748"/>
      <c r="DW366" s="1749"/>
      <c r="DX366" s="1747">
        <f t="shared" si="49"/>
        <v>0</v>
      </c>
      <c r="DY366" s="1748"/>
      <c r="DZ366" s="1749"/>
      <c r="EA366" s="1747">
        <f t="shared" si="50"/>
        <v>0</v>
      </c>
      <c r="EB366" s="1748"/>
      <c r="EC366" s="1748"/>
      <c r="ED366" s="1749"/>
      <c r="EE366" s="384"/>
      <c r="EF366" s="1750">
        <f t="shared" si="11"/>
        <v>0</v>
      </c>
      <c r="EG366" s="1751"/>
      <c r="EH366" s="1751"/>
      <c r="EI366" s="1751"/>
      <c r="EJ366" s="1752"/>
      <c r="EL366" s="1750">
        <f t="shared" ref="EL366:EL377" si="61">EL354</f>
        <v>0</v>
      </c>
      <c r="EM366" s="1751"/>
      <c r="EN366" s="1751"/>
      <c r="EO366" s="1751"/>
      <c r="EP366" s="1752"/>
      <c r="ER366" s="1750">
        <f t="shared" si="12"/>
        <v>0</v>
      </c>
      <c r="ES366" s="1751"/>
      <c r="ET366" s="1751"/>
      <c r="EU366" s="1751"/>
      <c r="EV366" s="1752"/>
      <c r="EX366" s="1750">
        <f>IF(BE366&gt;0,Einstrahlung!$K$18*Kalkulation!$P$62/100*$AY$29*POWER((100-$P$64)/100,BD366-1),0)</f>
        <v>0</v>
      </c>
      <c r="EY366" s="1751"/>
      <c r="EZ366" s="1751"/>
      <c r="FA366" s="1751"/>
      <c r="FB366" s="1752"/>
      <c r="FD366" s="1750">
        <f t="shared" si="27"/>
        <v>0</v>
      </c>
      <c r="FE366" s="1751"/>
      <c r="FF366" s="1751"/>
      <c r="FG366" s="1751"/>
      <c r="FH366" s="1752"/>
      <c r="FI366" s="385"/>
      <c r="FJ366" s="380">
        <f t="shared" si="40"/>
        <v>0</v>
      </c>
      <c r="FK366" s="385"/>
      <c r="FL366" s="380">
        <f t="shared" si="59"/>
        <v>0</v>
      </c>
      <c r="FM366" s="385"/>
      <c r="FN366" s="380">
        <f t="shared" si="29"/>
        <v>0</v>
      </c>
      <c r="FO366" s="962">
        <f t="shared" si="37"/>
        <v>158</v>
      </c>
      <c r="FP366" s="956">
        <f t="shared" si="13"/>
        <v>0.4</v>
      </c>
      <c r="FQ366" s="380">
        <f t="shared" si="45"/>
        <v>0</v>
      </c>
      <c r="FR366" s="626">
        <f t="shared" si="60"/>
        <v>1</v>
      </c>
      <c r="FT366" s="1819">
        <f t="shared" si="38"/>
        <v>0</v>
      </c>
      <c r="FU366" s="1820"/>
      <c r="FV366" s="1820"/>
      <c r="FW366" s="1820"/>
      <c r="FX366" s="1821"/>
      <c r="FY366" s="1819">
        <f>IF(BE366=0,0,IF((FT365+FT366)/2&lt;0,(FT366+FT365)/2*$AD$239/12/100,(FT366+FT365)/2*$AD$238/12/100))</f>
        <v>0</v>
      </c>
      <c r="FZ366" s="1820"/>
      <c r="GA366" s="1820"/>
      <c r="GB366" s="1821"/>
      <c r="GC366" s="1825">
        <f t="shared" si="54"/>
        <v>0</v>
      </c>
      <c r="GD366" s="1826"/>
      <c r="GE366" s="1826"/>
      <c r="GF366" s="1827"/>
      <c r="GH366" s="1750">
        <f t="shared" si="32"/>
        <v>0</v>
      </c>
      <c r="GI366" s="1751"/>
      <c r="GJ366" s="1751"/>
      <c r="GK366" s="1752"/>
      <c r="GL366" s="1750">
        <f t="shared" si="33"/>
        <v>0</v>
      </c>
      <c r="GM366" s="1751"/>
      <c r="GN366" s="1751"/>
      <c r="GO366" s="1752"/>
      <c r="GP366" s="385"/>
      <c r="GQ366" s="1750">
        <f t="shared" si="34"/>
        <v>0</v>
      </c>
      <c r="GR366" s="1751"/>
      <c r="GS366" s="1751"/>
      <c r="GT366" s="1752"/>
      <c r="GU366" s="192">
        <f t="shared" si="43"/>
        <v>1</v>
      </c>
      <c r="GV366" s="192">
        <f>SUM($GU$337:GU366)</f>
        <v>22</v>
      </c>
      <c r="GW366" s="318"/>
      <c r="GX366" s="380">
        <f t="shared" si="56"/>
        <v>0</v>
      </c>
      <c r="HX366" s="380"/>
    </row>
    <row r="367" spans="4:232" ht="12.75" customHeight="1">
      <c r="D367" s="313"/>
      <c r="E367" s="247"/>
      <c r="F367" s="247"/>
      <c r="G367" s="247"/>
      <c r="H367" s="247"/>
      <c r="I367" s="247"/>
      <c r="J367" s="247"/>
      <c r="K367" s="247"/>
      <c r="L367" s="247"/>
      <c r="M367" s="247"/>
      <c r="N367" s="247"/>
      <c r="O367" s="247"/>
      <c r="P367" s="247"/>
      <c r="Q367" s="247"/>
      <c r="R367" s="247"/>
      <c r="S367" s="247"/>
      <c r="T367" s="247"/>
      <c r="U367" s="247"/>
      <c r="V367" s="247"/>
      <c r="W367" s="247"/>
      <c r="X367" s="247"/>
      <c r="Y367" s="247"/>
      <c r="Z367" s="247"/>
      <c r="AA367" s="247"/>
      <c r="AB367" s="251"/>
      <c r="AD367" s="247"/>
      <c r="AE367" s="247"/>
      <c r="AF367" s="247"/>
      <c r="AG367" s="247"/>
      <c r="AH367" s="247"/>
      <c r="AI367" s="247"/>
      <c r="AJ367" s="247"/>
      <c r="AK367" s="247"/>
      <c r="AL367" s="247"/>
      <c r="AM367" s="247"/>
      <c r="AN367" s="247"/>
      <c r="AO367" s="314"/>
      <c r="BD367" s="387">
        <f t="shared" si="57"/>
        <v>2</v>
      </c>
      <c r="BE367" s="382">
        <f>IF(BD367&gt;0,30,0)</f>
        <v>30</v>
      </c>
      <c r="BG367" s="383">
        <f>IF($BE367&gt;$R$66-1+($BR$335*12),30,0)</f>
        <v>30</v>
      </c>
      <c r="BH367" s="1747">
        <f t="shared" si="16"/>
        <v>0</v>
      </c>
      <c r="BI367" s="1748"/>
      <c r="BJ367" s="1748"/>
      <c r="BK367" s="1749"/>
      <c r="BL367" s="1747">
        <f t="shared" si="17"/>
        <v>0</v>
      </c>
      <c r="BM367" s="1748"/>
      <c r="BN367" s="1749"/>
      <c r="BO367" s="1747">
        <f t="shared" si="3"/>
        <v>0</v>
      </c>
      <c r="BP367" s="1748"/>
      <c r="BQ367" s="1749"/>
      <c r="BR367" s="1747">
        <f t="shared" si="58"/>
        <v>0</v>
      </c>
      <c r="BS367" s="1748"/>
      <c r="BT367" s="1748"/>
      <c r="BU367" s="1749"/>
      <c r="BW367" s="383">
        <f>IF($BE367&gt;$R$66-1+($CH$335*12),30,0)</f>
        <v>30</v>
      </c>
      <c r="BX367" s="1747">
        <f t="shared" si="35"/>
        <v>0</v>
      </c>
      <c r="BY367" s="1748"/>
      <c r="BZ367" s="1748"/>
      <c r="CA367" s="1749"/>
      <c r="CB367" s="1747">
        <f t="shared" si="18"/>
        <v>0</v>
      </c>
      <c r="CC367" s="1748"/>
      <c r="CD367" s="1749"/>
      <c r="CE367" s="1747">
        <f t="shared" si="5"/>
        <v>0</v>
      </c>
      <c r="CF367" s="1748"/>
      <c r="CG367" s="1749"/>
      <c r="CH367" s="1747">
        <f t="shared" si="6"/>
        <v>0</v>
      </c>
      <c r="CI367" s="1748"/>
      <c r="CJ367" s="1748"/>
      <c r="CK367" s="1749"/>
      <c r="CM367" s="383">
        <f>IF($BE367&gt;$R$66-1+($CX$335*12),30,0)</f>
        <v>30</v>
      </c>
      <c r="CN367" s="1747">
        <f t="shared" si="19"/>
        <v>0</v>
      </c>
      <c r="CO367" s="1748"/>
      <c r="CP367" s="1748"/>
      <c r="CQ367" s="1749"/>
      <c r="CR367" s="1747">
        <f t="shared" si="20"/>
        <v>0</v>
      </c>
      <c r="CS367" s="1748"/>
      <c r="CT367" s="1749"/>
      <c r="CU367" s="1747">
        <f t="shared" si="7"/>
        <v>0</v>
      </c>
      <c r="CV367" s="1748"/>
      <c r="CW367" s="1749"/>
      <c r="CX367" s="1747">
        <f t="shared" si="8"/>
        <v>0</v>
      </c>
      <c r="CY367" s="1748"/>
      <c r="CZ367" s="1748"/>
      <c r="DA367" s="1749"/>
      <c r="DC367" s="383">
        <f>IF($BE367&gt;$R$66-1,30,0)</f>
        <v>30</v>
      </c>
      <c r="DD367" s="1747">
        <f t="shared" si="41"/>
        <v>0</v>
      </c>
      <c r="DE367" s="1748"/>
      <c r="DF367" s="1748"/>
      <c r="DG367" s="1749"/>
      <c r="DH367" s="1747">
        <f t="shared" si="21"/>
        <v>0</v>
      </c>
      <c r="DI367" s="1748"/>
      <c r="DJ367" s="1749"/>
      <c r="DK367" s="1747">
        <f t="shared" si="9"/>
        <v>0</v>
      </c>
      <c r="DL367" s="1748"/>
      <c r="DM367" s="1748"/>
      <c r="DN367" s="1749"/>
      <c r="DP367" s="383">
        <f t="shared" si="22"/>
        <v>30</v>
      </c>
      <c r="DQ367" s="1747">
        <f t="shared" si="23"/>
        <v>0</v>
      </c>
      <c r="DR367" s="1748"/>
      <c r="DS367" s="1748"/>
      <c r="DT367" s="1749"/>
      <c r="DU367" s="1747">
        <f t="shared" si="44"/>
        <v>0</v>
      </c>
      <c r="DV367" s="1748"/>
      <c r="DW367" s="1749"/>
      <c r="DX367" s="1747">
        <f t="shared" si="49"/>
        <v>0</v>
      </c>
      <c r="DY367" s="1748"/>
      <c r="DZ367" s="1749"/>
      <c r="EA367" s="1747">
        <f t="shared" si="50"/>
        <v>0</v>
      </c>
      <c r="EB367" s="1748"/>
      <c r="EC367" s="1748"/>
      <c r="ED367" s="1749"/>
      <c r="EE367" s="384"/>
      <c r="EF367" s="1750">
        <f t="shared" si="11"/>
        <v>0</v>
      </c>
      <c r="EG367" s="1751"/>
      <c r="EH367" s="1751"/>
      <c r="EI367" s="1751"/>
      <c r="EJ367" s="1752"/>
      <c r="EL367" s="1750">
        <f t="shared" si="61"/>
        <v>0</v>
      </c>
      <c r="EM367" s="1751"/>
      <c r="EN367" s="1751"/>
      <c r="EO367" s="1751"/>
      <c r="EP367" s="1752"/>
      <c r="ER367" s="1750">
        <f t="shared" si="12"/>
        <v>0</v>
      </c>
      <c r="ES367" s="1751"/>
      <c r="ET367" s="1751"/>
      <c r="EU367" s="1751"/>
      <c r="EV367" s="1752"/>
      <c r="EX367" s="1750">
        <f>IF(BE367&gt;0,Einstrahlung!$K$20*Kalkulation!$P$62/100*$AY$29*POWER((100-$P$64)/100,BD367-1),0)</f>
        <v>0</v>
      </c>
      <c r="EY367" s="1751"/>
      <c r="EZ367" s="1751"/>
      <c r="FA367" s="1751"/>
      <c r="FB367" s="1752"/>
      <c r="FD367" s="1750">
        <f t="shared" si="27"/>
        <v>0</v>
      </c>
      <c r="FE367" s="1751"/>
      <c r="FF367" s="1751"/>
      <c r="FG367" s="1751"/>
      <c r="FH367" s="1752"/>
      <c r="FI367" s="385"/>
      <c r="FJ367" s="380">
        <f t="shared" si="40"/>
        <v>0</v>
      </c>
      <c r="FK367" s="385"/>
      <c r="FL367" s="380">
        <f t="shared" si="59"/>
        <v>0</v>
      </c>
      <c r="FM367" s="385"/>
      <c r="FN367" s="380">
        <f t="shared" si="29"/>
        <v>0</v>
      </c>
      <c r="FO367" s="962">
        <f t="shared" si="37"/>
        <v>159</v>
      </c>
      <c r="FP367" s="956">
        <f t="shared" si="13"/>
        <v>0.4</v>
      </c>
      <c r="FQ367" s="380">
        <f t="shared" si="45"/>
        <v>0</v>
      </c>
      <c r="FR367" s="626">
        <f t="shared" si="60"/>
        <v>1</v>
      </c>
      <c r="FT367" s="1819">
        <f t="shared" si="38"/>
        <v>0</v>
      </c>
      <c r="FU367" s="1820"/>
      <c r="FV367" s="1820"/>
      <c r="FW367" s="1820"/>
      <c r="FX367" s="1821"/>
      <c r="FY367" s="1819">
        <f t="shared" si="30"/>
        <v>0</v>
      </c>
      <c r="FZ367" s="1820"/>
      <c r="GA367" s="1820"/>
      <c r="GB367" s="1821"/>
      <c r="GC367" s="1825">
        <f t="shared" si="54"/>
        <v>0</v>
      </c>
      <c r="GD367" s="1826"/>
      <c r="GE367" s="1826"/>
      <c r="GF367" s="1827"/>
      <c r="GH367" s="1750">
        <f t="shared" si="32"/>
        <v>0</v>
      </c>
      <c r="GI367" s="1751"/>
      <c r="GJ367" s="1751"/>
      <c r="GK367" s="1752"/>
      <c r="GL367" s="1750">
        <f t="shared" si="33"/>
        <v>0</v>
      </c>
      <c r="GM367" s="1751"/>
      <c r="GN367" s="1751"/>
      <c r="GO367" s="1752"/>
      <c r="GP367" s="385"/>
      <c r="GQ367" s="1750">
        <f t="shared" si="34"/>
        <v>0</v>
      </c>
      <c r="GR367" s="1751"/>
      <c r="GS367" s="1751"/>
      <c r="GT367" s="1752"/>
      <c r="GU367" s="192">
        <f t="shared" si="43"/>
        <v>1</v>
      </c>
      <c r="GV367" s="192">
        <f>SUM($GU$337:GU367)</f>
        <v>23</v>
      </c>
      <c r="GW367" s="318"/>
      <c r="GX367" s="380">
        <f t="shared" si="56"/>
        <v>0</v>
      </c>
      <c r="HX367" s="380"/>
    </row>
    <row r="368" spans="4:232" ht="12.75" customHeight="1" thickBot="1">
      <c r="D368" s="313"/>
      <c r="E368" s="247"/>
      <c r="F368" s="247"/>
      <c r="G368" s="247"/>
      <c r="H368" s="247"/>
      <c r="I368" s="247"/>
      <c r="J368" s="247"/>
      <c r="K368" s="247"/>
      <c r="L368" s="247"/>
      <c r="M368" s="247"/>
      <c r="N368" s="247"/>
      <c r="O368" s="247"/>
      <c r="P368" s="247"/>
      <c r="Q368" s="247"/>
      <c r="R368" s="247"/>
      <c r="S368" s="247"/>
      <c r="T368" s="247"/>
      <c r="U368" s="247"/>
      <c r="V368" s="247"/>
      <c r="W368" s="247"/>
      <c r="X368" s="247"/>
      <c r="Y368" s="247"/>
      <c r="Z368" s="247"/>
      <c r="AA368" s="247"/>
      <c r="AB368" s="251"/>
      <c r="AD368" s="247"/>
      <c r="AE368" s="247"/>
      <c r="AF368" s="247"/>
      <c r="AG368" s="247"/>
      <c r="AH368" s="247"/>
      <c r="AI368" s="247"/>
      <c r="AJ368" s="247"/>
      <c r="AK368" s="247"/>
      <c r="AL368" s="247"/>
      <c r="AM368" s="247"/>
      <c r="AN368" s="247"/>
      <c r="AO368" s="314"/>
      <c r="BD368" s="387">
        <f t="shared" si="57"/>
        <v>2</v>
      </c>
      <c r="BE368" s="382">
        <f>IF(BD368&gt;0,31,0)</f>
        <v>31</v>
      </c>
      <c r="BG368" s="383">
        <f>IF($BE368&gt;$R$66-1+($BR$335*12),31,0)</f>
        <v>31</v>
      </c>
      <c r="BH368" s="1747">
        <f t="shared" si="16"/>
        <v>0</v>
      </c>
      <c r="BI368" s="1748"/>
      <c r="BJ368" s="1748"/>
      <c r="BK368" s="1749"/>
      <c r="BL368" s="1747">
        <f t="shared" si="17"/>
        <v>0</v>
      </c>
      <c r="BM368" s="1748"/>
      <c r="BN368" s="1749"/>
      <c r="BO368" s="1747">
        <f t="shared" si="3"/>
        <v>0</v>
      </c>
      <c r="BP368" s="1748"/>
      <c r="BQ368" s="1749"/>
      <c r="BR368" s="1747">
        <f t="shared" si="58"/>
        <v>0</v>
      </c>
      <c r="BS368" s="1748"/>
      <c r="BT368" s="1748"/>
      <c r="BU368" s="1749"/>
      <c r="BW368" s="383">
        <f>IF($BE368&gt;$R$66-1+($CH$335*12),31,0)</f>
        <v>31</v>
      </c>
      <c r="BX368" s="1747">
        <f t="shared" si="35"/>
        <v>0</v>
      </c>
      <c r="BY368" s="1748"/>
      <c r="BZ368" s="1748"/>
      <c r="CA368" s="1749"/>
      <c r="CB368" s="1747">
        <f t="shared" si="18"/>
        <v>0</v>
      </c>
      <c r="CC368" s="1748"/>
      <c r="CD368" s="1749"/>
      <c r="CE368" s="1747">
        <f t="shared" si="5"/>
        <v>0</v>
      </c>
      <c r="CF368" s="1748"/>
      <c r="CG368" s="1749"/>
      <c r="CH368" s="1747">
        <f t="shared" si="6"/>
        <v>0</v>
      </c>
      <c r="CI368" s="1748"/>
      <c r="CJ368" s="1748"/>
      <c r="CK368" s="1749"/>
      <c r="CM368" s="383">
        <f>IF($BE368&gt;$R$66-1+($CX$335*12),31,0)</f>
        <v>31</v>
      </c>
      <c r="CN368" s="1747">
        <f t="shared" si="19"/>
        <v>0</v>
      </c>
      <c r="CO368" s="1748"/>
      <c r="CP368" s="1748"/>
      <c r="CQ368" s="1749"/>
      <c r="CR368" s="1747">
        <f t="shared" si="20"/>
        <v>0</v>
      </c>
      <c r="CS368" s="1748"/>
      <c r="CT368" s="1749"/>
      <c r="CU368" s="1747">
        <f t="shared" si="7"/>
        <v>0</v>
      </c>
      <c r="CV368" s="1748"/>
      <c r="CW368" s="1749"/>
      <c r="CX368" s="1747">
        <f t="shared" si="8"/>
        <v>0</v>
      </c>
      <c r="CY368" s="1748"/>
      <c r="CZ368" s="1748"/>
      <c r="DA368" s="1749"/>
      <c r="DC368" s="383">
        <f>IF($BE368&gt;$R$66-1,31,0)</f>
        <v>31</v>
      </c>
      <c r="DD368" s="1747">
        <f t="shared" si="41"/>
        <v>0</v>
      </c>
      <c r="DE368" s="1748"/>
      <c r="DF368" s="1748"/>
      <c r="DG368" s="1749"/>
      <c r="DH368" s="1747">
        <f t="shared" si="21"/>
        <v>0</v>
      </c>
      <c r="DI368" s="1748"/>
      <c r="DJ368" s="1749"/>
      <c r="DK368" s="1747">
        <f t="shared" si="9"/>
        <v>0</v>
      </c>
      <c r="DL368" s="1748"/>
      <c r="DM368" s="1748"/>
      <c r="DN368" s="1749"/>
      <c r="DP368" s="383">
        <f t="shared" si="22"/>
        <v>31</v>
      </c>
      <c r="DQ368" s="1747">
        <f t="shared" si="23"/>
        <v>0</v>
      </c>
      <c r="DR368" s="1748"/>
      <c r="DS368" s="1748"/>
      <c r="DT368" s="1749"/>
      <c r="DU368" s="1747">
        <f t="shared" si="44"/>
        <v>0</v>
      </c>
      <c r="DV368" s="1748"/>
      <c r="DW368" s="1749"/>
      <c r="DX368" s="1747">
        <f t="shared" si="49"/>
        <v>0</v>
      </c>
      <c r="DY368" s="1748"/>
      <c r="DZ368" s="1749"/>
      <c r="EA368" s="1747">
        <f t="shared" si="50"/>
        <v>0</v>
      </c>
      <c r="EB368" s="1748"/>
      <c r="EC368" s="1748"/>
      <c r="ED368" s="1749"/>
      <c r="EE368" s="384"/>
      <c r="EF368" s="1750">
        <f t="shared" si="11"/>
        <v>0</v>
      </c>
      <c r="EG368" s="1751"/>
      <c r="EH368" s="1751"/>
      <c r="EI368" s="1751"/>
      <c r="EJ368" s="1752"/>
      <c r="EL368" s="1750">
        <f t="shared" si="61"/>
        <v>0</v>
      </c>
      <c r="EM368" s="1751"/>
      <c r="EN368" s="1751"/>
      <c r="EO368" s="1751"/>
      <c r="EP368" s="1752"/>
      <c r="ER368" s="1750">
        <f t="shared" si="12"/>
        <v>0</v>
      </c>
      <c r="ES368" s="1751"/>
      <c r="ET368" s="1751"/>
      <c r="EU368" s="1751"/>
      <c r="EV368" s="1752"/>
      <c r="EX368" s="1750">
        <f>IF(BE368&gt;0,Einstrahlung!$K$22*Kalkulation!$P$62/100*$AY$29*POWER((100-$P$64)/100,BD368-1),0)</f>
        <v>0</v>
      </c>
      <c r="EY368" s="1751"/>
      <c r="EZ368" s="1751"/>
      <c r="FA368" s="1751"/>
      <c r="FB368" s="1752"/>
      <c r="FD368" s="1750">
        <f t="shared" si="27"/>
        <v>0</v>
      </c>
      <c r="FE368" s="1751"/>
      <c r="FF368" s="1751"/>
      <c r="FG368" s="1751"/>
      <c r="FH368" s="1752"/>
      <c r="FI368" s="385"/>
      <c r="FJ368" s="380">
        <f t="shared" si="40"/>
        <v>0</v>
      </c>
      <c r="FK368" s="385"/>
      <c r="FL368" s="380">
        <f t="shared" si="59"/>
        <v>0</v>
      </c>
      <c r="FM368" s="385"/>
      <c r="FN368" s="380">
        <f t="shared" si="29"/>
        <v>0</v>
      </c>
      <c r="FO368" s="962">
        <f t="shared" si="37"/>
        <v>160</v>
      </c>
      <c r="FP368" s="956">
        <f t="shared" si="13"/>
        <v>0.4</v>
      </c>
      <c r="FQ368" s="380">
        <f t="shared" si="45"/>
        <v>0</v>
      </c>
      <c r="FR368" s="626">
        <f t="shared" si="60"/>
        <v>1</v>
      </c>
      <c r="FT368" s="1819">
        <f t="shared" si="38"/>
        <v>0</v>
      </c>
      <c r="FU368" s="1820"/>
      <c r="FV368" s="1820"/>
      <c r="FW368" s="1820"/>
      <c r="FX368" s="1821"/>
      <c r="FY368" s="1819">
        <f t="shared" si="30"/>
        <v>0</v>
      </c>
      <c r="FZ368" s="1820"/>
      <c r="GA368" s="1820"/>
      <c r="GB368" s="1821"/>
      <c r="GC368" s="1825">
        <f t="shared" si="54"/>
        <v>0</v>
      </c>
      <c r="GD368" s="1826"/>
      <c r="GE368" s="1826"/>
      <c r="GF368" s="1827"/>
      <c r="GH368" s="1750">
        <f t="shared" si="32"/>
        <v>0</v>
      </c>
      <c r="GI368" s="1751"/>
      <c r="GJ368" s="1751"/>
      <c r="GK368" s="1752"/>
      <c r="GL368" s="1750">
        <f t="shared" si="33"/>
        <v>0</v>
      </c>
      <c r="GM368" s="1751"/>
      <c r="GN368" s="1751"/>
      <c r="GO368" s="1752"/>
      <c r="GP368" s="385"/>
      <c r="GQ368" s="1750">
        <f t="shared" si="34"/>
        <v>0</v>
      </c>
      <c r="GR368" s="1751"/>
      <c r="GS368" s="1751"/>
      <c r="GT368" s="1752"/>
      <c r="GU368" s="192">
        <f t="shared" si="43"/>
        <v>1</v>
      </c>
      <c r="GV368" s="192">
        <f>SUM($GU$337:GU368)</f>
        <v>24</v>
      </c>
      <c r="GW368" s="318"/>
      <c r="GX368" s="380">
        <f t="shared" si="56"/>
        <v>0</v>
      </c>
      <c r="HX368" s="380"/>
    </row>
    <row r="369" spans="3:232" ht="12.75" customHeight="1" thickTop="1" thickBot="1">
      <c r="D369" s="313"/>
      <c r="E369" s="247"/>
      <c r="F369" s="247"/>
      <c r="G369" s="247"/>
      <c r="H369" s="247" t="s">
        <v>346</v>
      </c>
      <c r="I369" s="247"/>
      <c r="J369" s="247"/>
      <c r="K369" s="531"/>
      <c r="L369" s="428" t="str">
        <f>IF($AV$135&gt;0," Liquiditätsverlauf  - kumuliert über die Laufzeit (incl. Eigenstrom; Vergütung + Wert)"," Liquiditätsverlauf  - kumuliert über die Laufzeit")</f>
        <v xml:space="preserve"> Liquiditätsverlauf  - kumuliert über die Laufzeit</v>
      </c>
      <c r="M369" s="247"/>
      <c r="N369" s="247"/>
      <c r="O369" s="247"/>
      <c r="P369" s="247"/>
      <c r="Q369" s="247"/>
      <c r="R369" s="247"/>
      <c r="S369" s="247"/>
      <c r="T369" s="247"/>
      <c r="U369" s="247"/>
      <c r="V369" s="247"/>
      <c r="W369" s="247"/>
      <c r="X369" s="247"/>
      <c r="Y369" s="247"/>
      <c r="Z369" s="247"/>
      <c r="AA369" s="247"/>
      <c r="AB369" s="251"/>
      <c r="AD369" s="247"/>
      <c r="AE369" s="247"/>
      <c r="AF369" s="247"/>
      <c r="AG369" s="247"/>
      <c r="AH369" s="247"/>
      <c r="AI369" s="247"/>
      <c r="AJ369" s="247"/>
      <c r="AK369" s="247"/>
      <c r="AL369" s="247"/>
      <c r="AM369" s="247"/>
      <c r="AN369" s="247"/>
      <c r="AO369" s="314"/>
      <c r="BD369" s="387">
        <f t="shared" si="57"/>
        <v>2</v>
      </c>
      <c r="BE369" s="382">
        <f>IF(BD369&gt;0,32,0)</f>
        <v>32</v>
      </c>
      <c r="BG369" s="383">
        <f>IF($BE369&gt;$R$66-1+($BR$335*12),32,0)</f>
        <v>32</v>
      </c>
      <c r="BH369" s="1747">
        <f t="shared" si="16"/>
        <v>0</v>
      </c>
      <c r="BI369" s="1748"/>
      <c r="BJ369" s="1748"/>
      <c r="BK369" s="1749"/>
      <c r="BL369" s="1747">
        <f t="shared" si="17"/>
        <v>0</v>
      </c>
      <c r="BM369" s="1748"/>
      <c r="BN369" s="1749"/>
      <c r="BO369" s="1747">
        <f t="shared" si="3"/>
        <v>0</v>
      </c>
      <c r="BP369" s="1748"/>
      <c r="BQ369" s="1749"/>
      <c r="BR369" s="1747">
        <f t="shared" si="58"/>
        <v>0</v>
      </c>
      <c r="BS369" s="1748"/>
      <c r="BT369" s="1748"/>
      <c r="BU369" s="1749"/>
      <c r="BW369" s="383">
        <f>IF($BE369&gt;$R$66-1+($CH$335*12),32,0)</f>
        <v>32</v>
      </c>
      <c r="BX369" s="1747">
        <f t="shared" si="35"/>
        <v>0</v>
      </c>
      <c r="BY369" s="1748"/>
      <c r="BZ369" s="1748"/>
      <c r="CA369" s="1749"/>
      <c r="CB369" s="1747">
        <f t="shared" si="18"/>
        <v>0</v>
      </c>
      <c r="CC369" s="1748"/>
      <c r="CD369" s="1749"/>
      <c r="CE369" s="1747">
        <f t="shared" si="5"/>
        <v>0</v>
      </c>
      <c r="CF369" s="1748"/>
      <c r="CG369" s="1749"/>
      <c r="CH369" s="1747">
        <f t="shared" si="6"/>
        <v>0</v>
      </c>
      <c r="CI369" s="1748"/>
      <c r="CJ369" s="1748"/>
      <c r="CK369" s="1749"/>
      <c r="CM369" s="383">
        <f>IF($BE369&gt;$R$66-1+($CX$335*12),32,0)</f>
        <v>32</v>
      </c>
      <c r="CN369" s="1747">
        <f t="shared" si="19"/>
        <v>0</v>
      </c>
      <c r="CO369" s="1748"/>
      <c r="CP369" s="1748"/>
      <c r="CQ369" s="1749"/>
      <c r="CR369" s="1747">
        <f t="shared" si="20"/>
        <v>0</v>
      </c>
      <c r="CS369" s="1748"/>
      <c r="CT369" s="1749"/>
      <c r="CU369" s="1747">
        <f t="shared" si="7"/>
        <v>0</v>
      </c>
      <c r="CV369" s="1748"/>
      <c r="CW369" s="1749"/>
      <c r="CX369" s="1747">
        <f t="shared" si="8"/>
        <v>0</v>
      </c>
      <c r="CY369" s="1748"/>
      <c r="CZ369" s="1748"/>
      <c r="DA369" s="1749"/>
      <c r="DC369" s="383">
        <f>IF($BE369&gt;$R$66-1,32,0)</f>
        <v>32</v>
      </c>
      <c r="DD369" s="1747">
        <f t="shared" si="41"/>
        <v>0</v>
      </c>
      <c r="DE369" s="1748"/>
      <c r="DF369" s="1748"/>
      <c r="DG369" s="1749"/>
      <c r="DH369" s="1747">
        <f t="shared" si="21"/>
        <v>0</v>
      </c>
      <c r="DI369" s="1748"/>
      <c r="DJ369" s="1749"/>
      <c r="DK369" s="1747">
        <f t="shared" si="9"/>
        <v>0</v>
      </c>
      <c r="DL369" s="1748"/>
      <c r="DM369" s="1748"/>
      <c r="DN369" s="1749"/>
      <c r="DP369" s="383">
        <f t="shared" si="22"/>
        <v>32</v>
      </c>
      <c r="DQ369" s="1747">
        <f t="shared" si="23"/>
        <v>0</v>
      </c>
      <c r="DR369" s="1748"/>
      <c r="DS369" s="1748"/>
      <c r="DT369" s="1749"/>
      <c r="DU369" s="1747">
        <f t="shared" si="44"/>
        <v>0</v>
      </c>
      <c r="DV369" s="1748"/>
      <c r="DW369" s="1749"/>
      <c r="DX369" s="1747">
        <f t="shared" si="49"/>
        <v>0</v>
      </c>
      <c r="DY369" s="1748"/>
      <c r="DZ369" s="1749"/>
      <c r="EA369" s="1747">
        <f t="shared" si="50"/>
        <v>0</v>
      </c>
      <c r="EB369" s="1748"/>
      <c r="EC369" s="1748"/>
      <c r="ED369" s="1749"/>
      <c r="EE369" s="384"/>
      <c r="EF369" s="1750">
        <f t="shared" si="11"/>
        <v>0</v>
      </c>
      <c r="EG369" s="1751"/>
      <c r="EH369" s="1751"/>
      <c r="EI369" s="1751"/>
      <c r="EJ369" s="1752"/>
      <c r="EL369" s="1750">
        <f t="shared" si="61"/>
        <v>0</v>
      </c>
      <c r="EM369" s="1751"/>
      <c r="EN369" s="1751"/>
      <c r="EO369" s="1751"/>
      <c r="EP369" s="1752"/>
      <c r="ER369" s="1750">
        <f t="shared" si="12"/>
        <v>0</v>
      </c>
      <c r="ES369" s="1751"/>
      <c r="ET369" s="1751"/>
      <c r="EU369" s="1751"/>
      <c r="EV369" s="1752"/>
      <c r="EX369" s="1750">
        <f>IF(BE369&gt;0,Einstrahlung!$K$24*Kalkulation!$P$62/100*$AY$29*POWER((100-$P$64)/100,BD369-1),0)</f>
        <v>0</v>
      </c>
      <c r="EY369" s="1751"/>
      <c r="EZ369" s="1751"/>
      <c r="FA369" s="1751"/>
      <c r="FB369" s="1752"/>
      <c r="FD369" s="1750">
        <f t="shared" si="27"/>
        <v>0</v>
      </c>
      <c r="FE369" s="1751"/>
      <c r="FF369" s="1751"/>
      <c r="FG369" s="1751"/>
      <c r="FH369" s="1752"/>
      <c r="FI369" s="385"/>
      <c r="FJ369" s="380">
        <f t="shared" si="40"/>
        <v>0</v>
      </c>
      <c r="FK369" s="385"/>
      <c r="FL369" s="380">
        <f t="shared" si="59"/>
        <v>0</v>
      </c>
      <c r="FM369" s="385"/>
      <c r="FN369" s="380">
        <f t="shared" si="29"/>
        <v>0</v>
      </c>
      <c r="FO369" s="962">
        <f t="shared" si="37"/>
        <v>161</v>
      </c>
      <c r="FP369" s="956">
        <f t="shared" si="13"/>
        <v>0.4</v>
      </c>
      <c r="FQ369" s="380">
        <f t="shared" si="45"/>
        <v>0</v>
      </c>
      <c r="FR369" s="626">
        <f t="shared" si="60"/>
        <v>1</v>
      </c>
      <c r="FT369" s="1819">
        <f t="shared" si="38"/>
        <v>0</v>
      </c>
      <c r="FU369" s="1820"/>
      <c r="FV369" s="1820"/>
      <c r="FW369" s="1820"/>
      <c r="FX369" s="1821"/>
      <c r="FY369" s="1819">
        <f t="shared" si="30"/>
        <v>0</v>
      </c>
      <c r="FZ369" s="1820"/>
      <c r="GA369" s="1820"/>
      <c r="GB369" s="1821"/>
      <c r="GC369" s="1825">
        <f t="shared" si="54"/>
        <v>0</v>
      </c>
      <c r="GD369" s="1826"/>
      <c r="GE369" s="1826"/>
      <c r="GF369" s="1827"/>
      <c r="GH369" s="1750">
        <f t="shared" si="32"/>
        <v>0</v>
      </c>
      <c r="GI369" s="1751"/>
      <c r="GJ369" s="1751"/>
      <c r="GK369" s="1752"/>
      <c r="GL369" s="1750">
        <f t="shared" si="33"/>
        <v>0</v>
      </c>
      <c r="GM369" s="1751"/>
      <c r="GN369" s="1751"/>
      <c r="GO369" s="1752"/>
      <c r="GP369" s="385"/>
      <c r="GQ369" s="1750">
        <f t="shared" si="34"/>
        <v>0</v>
      </c>
      <c r="GR369" s="1751"/>
      <c r="GS369" s="1751"/>
      <c r="GT369" s="1752"/>
      <c r="GU369" s="192">
        <f t="shared" si="43"/>
        <v>1</v>
      </c>
      <c r="GV369" s="192">
        <f>SUM($GU$337:GU369)</f>
        <v>25</v>
      </c>
      <c r="GW369" s="318"/>
      <c r="GX369" s="380">
        <f t="shared" si="56"/>
        <v>0</v>
      </c>
      <c r="HX369" s="380"/>
    </row>
    <row r="370" spans="3:232" ht="12.75" customHeight="1" thickTop="1" thickBot="1">
      <c r="D370" s="313"/>
      <c r="E370" s="247"/>
      <c r="F370" s="247"/>
      <c r="G370" s="247"/>
      <c r="H370" s="247"/>
      <c r="I370" s="247"/>
      <c r="J370" s="247"/>
      <c r="K370" s="532"/>
      <c r="L370" s="538" t="str">
        <f>O564</f>
        <v>Liquiditätsverlauf kumuliert (ohne Wert d. Eigenstroms)</v>
      </c>
      <c r="M370" s="247"/>
      <c r="N370" s="247"/>
      <c r="O370" s="247"/>
      <c r="P370" s="247"/>
      <c r="Q370" s="247"/>
      <c r="R370" s="247"/>
      <c r="S370" s="247"/>
      <c r="T370" s="247"/>
      <c r="U370" s="247"/>
      <c r="V370" s="247"/>
      <c r="W370" s="247"/>
      <c r="X370" s="247"/>
      <c r="Y370" s="247"/>
      <c r="Z370" s="247"/>
      <c r="AA370" s="247"/>
      <c r="AB370" s="251"/>
      <c r="AD370" s="247"/>
      <c r="AE370" s="247"/>
      <c r="AF370" s="247"/>
      <c r="AG370" s="247"/>
      <c r="AH370" s="247"/>
      <c r="AI370" s="247"/>
      <c r="AJ370" s="247"/>
      <c r="AK370" s="247"/>
      <c r="AL370" s="247"/>
      <c r="AM370" s="247"/>
      <c r="AN370" s="247"/>
      <c r="AO370" s="314"/>
      <c r="BD370" s="387">
        <f t="shared" si="57"/>
        <v>2</v>
      </c>
      <c r="BE370" s="382">
        <f>IF(BD370&gt;0,33,0)</f>
        <v>33</v>
      </c>
      <c r="BG370" s="383">
        <f>IF($BE370&gt;$R$66-1+($BR$335*12),33,0)</f>
        <v>33</v>
      </c>
      <c r="BH370" s="1747">
        <f t="shared" si="16"/>
        <v>0</v>
      </c>
      <c r="BI370" s="1748"/>
      <c r="BJ370" s="1748"/>
      <c r="BK370" s="1749"/>
      <c r="BL370" s="1747">
        <f t="shared" si="17"/>
        <v>0</v>
      </c>
      <c r="BM370" s="1748"/>
      <c r="BN370" s="1749"/>
      <c r="BO370" s="1747">
        <f t="shared" si="3"/>
        <v>0</v>
      </c>
      <c r="BP370" s="1748"/>
      <c r="BQ370" s="1749"/>
      <c r="BR370" s="1747">
        <f t="shared" si="58"/>
        <v>0</v>
      </c>
      <c r="BS370" s="1748"/>
      <c r="BT370" s="1748"/>
      <c r="BU370" s="1749"/>
      <c r="BW370" s="383">
        <f>IF($BE370&gt;$R$66-1+($CH$335*12),33,0)</f>
        <v>33</v>
      </c>
      <c r="BX370" s="1747">
        <f t="shared" si="35"/>
        <v>0</v>
      </c>
      <c r="BY370" s="1748"/>
      <c r="BZ370" s="1748"/>
      <c r="CA370" s="1749"/>
      <c r="CB370" s="1747">
        <f t="shared" si="18"/>
        <v>0</v>
      </c>
      <c r="CC370" s="1748"/>
      <c r="CD370" s="1749"/>
      <c r="CE370" s="1747">
        <f t="shared" si="5"/>
        <v>0</v>
      </c>
      <c r="CF370" s="1748"/>
      <c r="CG370" s="1749"/>
      <c r="CH370" s="1747">
        <f t="shared" si="6"/>
        <v>0</v>
      </c>
      <c r="CI370" s="1748"/>
      <c r="CJ370" s="1748"/>
      <c r="CK370" s="1749"/>
      <c r="CM370" s="383">
        <f>IF($BE370&gt;$R$66-1+($CX$335*12),33,0)</f>
        <v>33</v>
      </c>
      <c r="CN370" s="1747">
        <f t="shared" si="19"/>
        <v>0</v>
      </c>
      <c r="CO370" s="1748"/>
      <c r="CP370" s="1748"/>
      <c r="CQ370" s="1749"/>
      <c r="CR370" s="1747">
        <f t="shared" si="20"/>
        <v>0</v>
      </c>
      <c r="CS370" s="1748"/>
      <c r="CT370" s="1749"/>
      <c r="CU370" s="1747">
        <f t="shared" si="7"/>
        <v>0</v>
      </c>
      <c r="CV370" s="1748"/>
      <c r="CW370" s="1749"/>
      <c r="CX370" s="1747">
        <f t="shared" si="8"/>
        <v>0</v>
      </c>
      <c r="CY370" s="1748"/>
      <c r="CZ370" s="1748"/>
      <c r="DA370" s="1749"/>
      <c r="DC370" s="383">
        <f>IF($BE370&gt;$R$66-1,33,0)</f>
        <v>33</v>
      </c>
      <c r="DD370" s="1747">
        <f t="shared" si="41"/>
        <v>0</v>
      </c>
      <c r="DE370" s="1748"/>
      <c r="DF370" s="1748"/>
      <c r="DG370" s="1749"/>
      <c r="DH370" s="1747">
        <f t="shared" si="21"/>
        <v>0</v>
      </c>
      <c r="DI370" s="1748"/>
      <c r="DJ370" s="1749"/>
      <c r="DK370" s="1747">
        <f t="shared" si="9"/>
        <v>0</v>
      </c>
      <c r="DL370" s="1748"/>
      <c r="DM370" s="1748"/>
      <c r="DN370" s="1749"/>
      <c r="DP370" s="383">
        <f t="shared" si="22"/>
        <v>33</v>
      </c>
      <c r="DQ370" s="1747">
        <f t="shared" si="23"/>
        <v>0</v>
      </c>
      <c r="DR370" s="1748"/>
      <c r="DS370" s="1748"/>
      <c r="DT370" s="1749"/>
      <c r="DU370" s="1747">
        <f t="shared" si="44"/>
        <v>0</v>
      </c>
      <c r="DV370" s="1748"/>
      <c r="DW370" s="1749"/>
      <c r="DX370" s="1747">
        <f t="shared" si="49"/>
        <v>0</v>
      </c>
      <c r="DY370" s="1748"/>
      <c r="DZ370" s="1749"/>
      <c r="EA370" s="1747">
        <f t="shared" si="50"/>
        <v>0</v>
      </c>
      <c r="EB370" s="1748"/>
      <c r="EC370" s="1748"/>
      <c r="ED370" s="1749"/>
      <c r="EE370" s="384"/>
      <c r="EF370" s="1750">
        <f t="shared" si="11"/>
        <v>0</v>
      </c>
      <c r="EG370" s="1751"/>
      <c r="EH370" s="1751"/>
      <c r="EI370" s="1751"/>
      <c r="EJ370" s="1752"/>
      <c r="EL370" s="1750">
        <f t="shared" si="61"/>
        <v>0</v>
      </c>
      <c r="EM370" s="1751"/>
      <c r="EN370" s="1751"/>
      <c r="EO370" s="1751"/>
      <c r="EP370" s="1752"/>
      <c r="ER370" s="1750">
        <f t="shared" si="12"/>
        <v>0</v>
      </c>
      <c r="ES370" s="1751"/>
      <c r="ET370" s="1751"/>
      <c r="EU370" s="1751"/>
      <c r="EV370" s="1752"/>
      <c r="EX370" s="1750">
        <f>IF(BE370&gt;0,Einstrahlung!$K$26*Kalkulation!$P$62/100*$AY$29*POWER((100-$P$64)/100,BD370-1),0)</f>
        <v>0</v>
      </c>
      <c r="EY370" s="1751"/>
      <c r="EZ370" s="1751"/>
      <c r="FA370" s="1751"/>
      <c r="FB370" s="1752"/>
      <c r="FD370" s="1750">
        <f t="shared" si="27"/>
        <v>0</v>
      </c>
      <c r="FE370" s="1751"/>
      <c r="FF370" s="1751"/>
      <c r="FG370" s="1751"/>
      <c r="FH370" s="1752"/>
      <c r="FI370" s="385"/>
      <c r="FJ370" s="380">
        <f t="shared" si="40"/>
        <v>0</v>
      </c>
      <c r="FK370" s="385"/>
      <c r="FL370" s="380">
        <f t="shared" si="59"/>
        <v>0</v>
      </c>
      <c r="FM370" s="385"/>
      <c r="FN370" s="380">
        <f t="shared" si="29"/>
        <v>0</v>
      </c>
      <c r="FO370" s="962">
        <f t="shared" si="37"/>
        <v>162</v>
      </c>
      <c r="FP370" s="956">
        <f t="shared" si="13"/>
        <v>0.4</v>
      </c>
      <c r="FQ370" s="380">
        <f t="shared" si="45"/>
        <v>0</v>
      </c>
      <c r="FR370" s="626">
        <f t="shared" si="60"/>
        <v>1</v>
      </c>
      <c r="FT370" s="1819">
        <f t="shared" si="38"/>
        <v>0</v>
      </c>
      <c r="FU370" s="1820"/>
      <c r="FV370" s="1820"/>
      <c r="FW370" s="1820"/>
      <c r="FX370" s="1821"/>
      <c r="FY370" s="1819">
        <f t="shared" si="30"/>
        <v>0</v>
      </c>
      <c r="FZ370" s="1820"/>
      <c r="GA370" s="1820"/>
      <c r="GB370" s="1821"/>
      <c r="GC370" s="1825">
        <f t="shared" si="54"/>
        <v>0</v>
      </c>
      <c r="GD370" s="1826"/>
      <c r="GE370" s="1826"/>
      <c r="GF370" s="1827"/>
      <c r="GH370" s="1750">
        <f t="shared" si="32"/>
        <v>0</v>
      </c>
      <c r="GI370" s="1751"/>
      <c r="GJ370" s="1751"/>
      <c r="GK370" s="1752"/>
      <c r="GL370" s="1750">
        <f t="shared" si="33"/>
        <v>0</v>
      </c>
      <c r="GM370" s="1751"/>
      <c r="GN370" s="1751"/>
      <c r="GO370" s="1752"/>
      <c r="GP370" s="385"/>
      <c r="GQ370" s="1750">
        <f t="shared" si="34"/>
        <v>0</v>
      </c>
      <c r="GR370" s="1751"/>
      <c r="GS370" s="1751"/>
      <c r="GT370" s="1752"/>
      <c r="GU370" s="192">
        <f t="shared" si="43"/>
        <v>1</v>
      </c>
      <c r="GV370" s="192">
        <f>SUM($GU$337:GU370)</f>
        <v>26</v>
      </c>
      <c r="GW370" s="318"/>
      <c r="GX370" s="380">
        <f t="shared" si="56"/>
        <v>0</v>
      </c>
      <c r="HX370" s="380"/>
    </row>
    <row r="371" spans="3:232" ht="12.75" customHeight="1" thickTop="1">
      <c r="D371" s="313"/>
      <c r="E371" s="247"/>
      <c r="F371" s="247"/>
      <c r="G371" s="247"/>
      <c r="H371" s="247"/>
      <c r="I371" s="247"/>
      <c r="J371" s="247"/>
      <c r="M371" s="247"/>
      <c r="N371" s="247"/>
      <c r="O371" s="247"/>
      <c r="P371" s="247"/>
      <c r="Q371" s="247"/>
      <c r="R371" s="247"/>
      <c r="S371" s="247"/>
      <c r="T371" s="247"/>
      <c r="U371" s="247"/>
      <c r="V371" s="247"/>
      <c r="W371" s="247"/>
      <c r="X371" s="247"/>
      <c r="Y371" s="247"/>
      <c r="Z371" s="247"/>
      <c r="AA371" s="247"/>
      <c r="AB371" s="251"/>
      <c r="AD371" s="247"/>
      <c r="AE371" s="247"/>
      <c r="AF371" s="247"/>
      <c r="AG371" s="247"/>
      <c r="AH371" s="247"/>
      <c r="AI371" s="247"/>
      <c r="AJ371" s="247"/>
      <c r="AK371" s="247"/>
      <c r="AL371" s="247"/>
      <c r="AM371" s="247"/>
      <c r="AN371" s="247"/>
      <c r="AO371" s="314"/>
      <c r="BD371" s="387">
        <f t="shared" si="57"/>
        <v>2</v>
      </c>
      <c r="BE371" s="382">
        <f>IF(BD371&gt;0,34,0)</f>
        <v>34</v>
      </c>
      <c r="BG371" s="383">
        <f>IF($BE371&gt;$R$66-1+($BR$335*12),34,0)</f>
        <v>34</v>
      </c>
      <c r="BH371" s="1747">
        <f t="shared" si="16"/>
        <v>0</v>
      </c>
      <c r="BI371" s="1748"/>
      <c r="BJ371" s="1748"/>
      <c r="BK371" s="1749"/>
      <c r="BL371" s="1747">
        <f t="shared" si="17"/>
        <v>0</v>
      </c>
      <c r="BM371" s="1748"/>
      <c r="BN371" s="1749"/>
      <c r="BO371" s="1747">
        <f t="shared" si="3"/>
        <v>0</v>
      </c>
      <c r="BP371" s="1748"/>
      <c r="BQ371" s="1749"/>
      <c r="BR371" s="1747">
        <f t="shared" si="58"/>
        <v>0</v>
      </c>
      <c r="BS371" s="1748"/>
      <c r="BT371" s="1748"/>
      <c r="BU371" s="1749"/>
      <c r="BW371" s="383">
        <f>IF($BE371&gt;$R$66-1+($CH$335*12),34,0)</f>
        <v>34</v>
      </c>
      <c r="BX371" s="1747">
        <f t="shared" si="35"/>
        <v>0</v>
      </c>
      <c r="BY371" s="1748"/>
      <c r="BZ371" s="1748"/>
      <c r="CA371" s="1749"/>
      <c r="CB371" s="1747">
        <f t="shared" si="18"/>
        <v>0</v>
      </c>
      <c r="CC371" s="1748"/>
      <c r="CD371" s="1749"/>
      <c r="CE371" s="1747">
        <f t="shared" si="5"/>
        <v>0</v>
      </c>
      <c r="CF371" s="1748"/>
      <c r="CG371" s="1749"/>
      <c r="CH371" s="1747">
        <f t="shared" si="6"/>
        <v>0</v>
      </c>
      <c r="CI371" s="1748"/>
      <c r="CJ371" s="1748"/>
      <c r="CK371" s="1749"/>
      <c r="CM371" s="383">
        <f>IF($BE371&gt;$R$66-1+($CX$335*12),34,0)</f>
        <v>34</v>
      </c>
      <c r="CN371" s="1747">
        <f t="shared" si="19"/>
        <v>0</v>
      </c>
      <c r="CO371" s="1748"/>
      <c r="CP371" s="1748"/>
      <c r="CQ371" s="1749"/>
      <c r="CR371" s="1747">
        <f t="shared" si="20"/>
        <v>0</v>
      </c>
      <c r="CS371" s="1748"/>
      <c r="CT371" s="1749"/>
      <c r="CU371" s="1747">
        <f t="shared" si="7"/>
        <v>0</v>
      </c>
      <c r="CV371" s="1748"/>
      <c r="CW371" s="1749"/>
      <c r="CX371" s="1747">
        <f t="shared" si="8"/>
        <v>0</v>
      </c>
      <c r="CY371" s="1748"/>
      <c r="CZ371" s="1748"/>
      <c r="DA371" s="1749"/>
      <c r="DC371" s="383">
        <f>IF($BE371&gt;$R$66-1,34,0)</f>
        <v>34</v>
      </c>
      <c r="DD371" s="1747">
        <f t="shared" si="41"/>
        <v>0</v>
      </c>
      <c r="DE371" s="1748"/>
      <c r="DF371" s="1748"/>
      <c r="DG371" s="1749"/>
      <c r="DH371" s="1747">
        <f t="shared" si="21"/>
        <v>0</v>
      </c>
      <c r="DI371" s="1748"/>
      <c r="DJ371" s="1749"/>
      <c r="DK371" s="1747">
        <f t="shared" si="9"/>
        <v>0</v>
      </c>
      <c r="DL371" s="1748"/>
      <c r="DM371" s="1748"/>
      <c r="DN371" s="1749"/>
      <c r="DP371" s="383">
        <f t="shared" si="22"/>
        <v>34</v>
      </c>
      <c r="DQ371" s="1747">
        <f t="shared" si="23"/>
        <v>0</v>
      </c>
      <c r="DR371" s="1748"/>
      <c r="DS371" s="1748"/>
      <c r="DT371" s="1749"/>
      <c r="DU371" s="1747">
        <f t="shared" si="44"/>
        <v>0</v>
      </c>
      <c r="DV371" s="1748"/>
      <c r="DW371" s="1749"/>
      <c r="DX371" s="1747">
        <f t="shared" si="49"/>
        <v>0</v>
      </c>
      <c r="DY371" s="1748"/>
      <c r="DZ371" s="1749"/>
      <c r="EA371" s="1747">
        <f t="shared" si="50"/>
        <v>0</v>
      </c>
      <c r="EB371" s="1748"/>
      <c r="EC371" s="1748"/>
      <c r="ED371" s="1749"/>
      <c r="EE371" s="384"/>
      <c r="EF371" s="1750">
        <f t="shared" si="11"/>
        <v>0</v>
      </c>
      <c r="EG371" s="1751"/>
      <c r="EH371" s="1751"/>
      <c r="EI371" s="1751"/>
      <c r="EJ371" s="1752"/>
      <c r="EL371" s="1750">
        <f t="shared" si="61"/>
        <v>0</v>
      </c>
      <c r="EM371" s="1751"/>
      <c r="EN371" s="1751"/>
      <c r="EO371" s="1751"/>
      <c r="EP371" s="1752"/>
      <c r="ER371" s="1750">
        <f t="shared" si="12"/>
        <v>0</v>
      </c>
      <c r="ES371" s="1751"/>
      <c r="ET371" s="1751"/>
      <c r="EU371" s="1751"/>
      <c r="EV371" s="1752"/>
      <c r="EX371" s="1750">
        <f>IF(BE371&gt;0,Einstrahlung!$K$28*Kalkulation!$P$62/100*$AY$29*POWER((100-$P$64)/100,BD371-1),0)</f>
        <v>0</v>
      </c>
      <c r="EY371" s="1751"/>
      <c r="EZ371" s="1751"/>
      <c r="FA371" s="1751"/>
      <c r="FB371" s="1752"/>
      <c r="FD371" s="1750">
        <f t="shared" si="27"/>
        <v>0</v>
      </c>
      <c r="FE371" s="1751"/>
      <c r="FF371" s="1751"/>
      <c r="FG371" s="1751"/>
      <c r="FH371" s="1752"/>
      <c r="FI371" s="385"/>
      <c r="FJ371" s="380">
        <f t="shared" si="40"/>
        <v>0</v>
      </c>
      <c r="FK371" s="385"/>
      <c r="FL371" s="380">
        <f t="shared" si="59"/>
        <v>0</v>
      </c>
      <c r="FM371" s="385"/>
      <c r="FN371" s="380">
        <f t="shared" si="29"/>
        <v>0</v>
      </c>
      <c r="FO371" s="962">
        <f t="shared" si="37"/>
        <v>163</v>
      </c>
      <c r="FP371" s="956">
        <f t="shared" si="13"/>
        <v>0.4</v>
      </c>
      <c r="FQ371" s="380">
        <f t="shared" si="45"/>
        <v>0</v>
      </c>
      <c r="FR371" s="626">
        <f t="shared" si="60"/>
        <v>1</v>
      </c>
      <c r="FT371" s="1819">
        <f t="shared" si="38"/>
        <v>0</v>
      </c>
      <c r="FU371" s="1820"/>
      <c r="FV371" s="1820"/>
      <c r="FW371" s="1820"/>
      <c r="FX371" s="1821"/>
      <c r="FY371" s="1819">
        <f t="shared" si="30"/>
        <v>0</v>
      </c>
      <c r="FZ371" s="1820"/>
      <c r="GA371" s="1820"/>
      <c r="GB371" s="1821"/>
      <c r="GC371" s="1825">
        <f t="shared" si="54"/>
        <v>0</v>
      </c>
      <c r="GD371" s="1826"/>
      <c r="GE371" s="1826"/>
      <c r="GF371" s="1827"/>
      <c r="GH371" s="1750">
        <f t="shared" si="32"/>
        <v>0</v>
      </c>
      <c r="GI371" s="1751"/>
      <c r="GJ371" s="1751"/>
      <c r="GK371" s="1752"/>
      <c r="GL371" s="1750">
        <f t="shared" si="33"/>
        <v>0</v>
      </c>
      <c r="GM371" s="1751"/>
      <c r="GN371" s="1751"/>
      <c r="GO371" s="1752"/>
      <c r="GP371" s="385"/>
      <c r="GQ371" s="1750">
        <f t="shared" si="34"/>
        <v>0</v>
      </c>
      <c r="GR371" s="1751"/>
      <c r="GS371" s="1751"/>
      <c r="GT371" s="1752"/>
      <c r="GU371" s="192">
        <f t="shared" si="43"/>
        <v>1</v>
      </c>
      <c r="GV371" s="192">
        <f>SUM($GU$337:GU371)</f>
        <v>27</v>
      </c>
      <c r="GW371" s="318"/>
      <c r="GX371" s="380">
        <f t="shared" si="56"/>
        <v>0</v>
      </c>
      <c r="HX371" s="380"/>
    </row>
    <row r="372" spans="3:232" ht="12.75" customHeight="1">
      <c r="D372" s="1786" t="s">
        <v>340</v>
      </c>
      <c r="E372" s="1787"/>
      <c r="F372" s="1788"/>
      <c r="G372" s="1789"/>
      <c r="H372" s="1796" t="str">
        <f>Q482</f>
        <v xml:space="preserve">Im dargestellten Liquiditätsverlauf ist ein Guthabenzins von 1% berücksichtigt. </v>
      </c>
      <c r="I372" s="1797"/>
      <c r="J372" s="1797"/>
      <c r="K372" s="1797"/>
      <c r="L372" s="1797"/>
      <c r="M372" s="1797"/>
      <c r="N372" s="1797"/>
      <c r="O372" s="1797"/>
      <c r="P372" s="1797"/>
      <c r="Q372" s="1797"/>
      <c r="R372" s="1797"/>
      <c r="S372" s="1797"/>
      <c r="T372" s="1797"/>
      <c r="U372" s="1797"/>
      <c r="V372" s="1797"/>
      <c r="W372" s="1797"/>
      <c r="X372" s="1797"/>
      <c r="Y372" s="1797"/>
      <c r="Z372" s="1797"/>
      <c r="AA372" s="1797"/>
      <c r="AB372" s="1797"/>
      <c r="AC372" s="1797"/>
      <c r="AD372" s="1797"/>
      <c r="AE372" s="1797"/>
      <c r="AF372" s="1797"/>
      <c r="AG372" s="1797"/>
      <c r="AH372" s="1797"/>
      <c r="AI372" s="1797"/>
      <c r="AJ372" s="1797"/>
      <c r="AK372" s="1797"/>
      <c r="AL372" s="1797"/>
      <c r="AM372" s="1797"/>
      <c r="AN372" s="1797"/>
      <c r="AO372" s="1798"/>
      <c r="BD372" s="387">
        <f t="shared" si="57"/>
        <v>2</v>
      </c>
      <c r="BE372" s="382">
        <f>IF(BD372&gt;0,35,0)</f>
        <v>35</v>
      </c>
      <c r="BG372" s="383">
        <f>IF($BE372&gt;$R$66-1+($BR$335*12),35,0)</f>
        <v>35</v>
      </c>
      <c r="BH372" s="1747">
        <f t="shared" si="16"/>
        <v>0</v>
      </c>
      <c r="BI372" s="1748"/>
      <c r="BJ372" s="1748"/>
      <c r="BK372" s="1749"/>
      <c r="BL372" s="1747">
        <f t="shared" si="17"/>
        <v>0</v>
      </c>
      <c r="BM372" s="1748"/>
      <c r="BN372" s="1749"/>
      <c r="BO372" s="1747">
        <f t="shared" si="3"/>
        <v>0</v>
      </c>
      <c r="BP372" s="1748"/>
      <c r="BQ372" s="1749"/>
      <c r="BR372" s="1747">
        <f t="shared" si="58"/>
        <v>0</v>
      </c>
      <c r="BS372" s="1748"/>
      <c r="BT372" s="1748"/>
      <c r="BU372" s="1749"/>
      <c r="BW372" s="383">
        <f>IF($BE372&gt;$R$66-1+($CH$335*12),35,0)</f>
        <v>35</v>
      </c>
      <c r="BX372" s="1747">
        <f t="shared" si="35"/>
        <v>0</v>
      </c>
      <c r="BY372" s="1748"/>
      <c r="BZ372" s="1748"/>
      <c r="CA372" s="1749"/>
      <c r="CB372" s="1747">
        <f t="shared" si="18"/>
        <v>0</v>
      </c>
      <c r="CC372" s="1748"/>
      <c r="CD372" s="1749"/>
      <c r="CE372" s="1747">
        <f t="shared" si="5"/>
        <v>0</v>
      </c>
      <c r="CF372" s="1748"/>
      <c r="CG372" s="1749"/>
      <c r="CH372" s="1747">
        <f t="shared" si="6"/>
        <v>0</v>
      </c>
      <c r="CI372" s="1748"/>
      <c r="CJ372" s="1748"/>
      <c r="CK372" s="1749"/>
      <c r="CM372" s="383">
        <f>IF($BE372&gt;$R$66-1+($CX$335*12),35,0)</f>
        <v>35</v>
      </c>
      <c r="CN372" s="1747">
        <f t="shared" si="19"/>
        <v>0</v>
      </c>
      <c r="CO372" s="1748"/>
      <c r="CP372" s="1748"/>
      <c r="CQ372" s="1749"/>
      <c r="CR372" s="1747">
        <f t="shared" si="20"/>
        <v>0</v>
      </c>
      <c r="CS372" s="1748"/>
      <c r="CT372" s="1749"/>
      <c r="CU372" s="1747">
        <f t="shared" si="7"/>
        <v>0</v>
      </c>
      <c r="CV372" s="1748"/>
      <c r="CW372" s="1749"/>
      <c r="CX372" s="1747">
        <f t="shared" si="8"/>
        <v>0</v>
      </c>
      <c r="CY372" s="1748"/>
      <c r="CZ372" s="1748"/>
      <c r="DA372" s="1749"/>
      <c r="DC372" s="383">
        <f>IF($BE372&gt;$R$66-1,35,0)</f>
        <v>35</v>
      </c>
      <c r="DD372" s="1747">
        <f t="shared" si="41"/>
        <v>0</v>
      </c>
      <c r="DE372" s="1748"/>
      <c r="DF372" s="1748"/>
      <c r="DG372" s="1749"/>
      <c r="DH372" s="1747">
        <f t="shared" si="21"/>
        <v>0</v>
      </c>
      <c r="DI372" s="1748"/>
      <c r="DJ372" s="1749"/>
      <c r="DK372" s="1747">
        <f t="shared" si="9"/>
        <v>0</v>
      </c>
      <c r="DL372" s="1748"/>
      <c r="DM372" s="1748"/>
      <c r="DN372" s="1749"/>
      <c r="DP372" s="383">
        <f t="shared" si="22"/>
        <v>35</v>
      </c>
      <c r="DQ372" s="1747">
        <f t="shared" si="23"/>
        <v>0</v>
      </c>
      <c r="DR372" s="1748"/>
      <c r="DS372" s="1748"/>
      <c r="DT372" s="1749"/>
      <c r="DU372" s="1747">
        <f t="shared" si="44"/>
        <v>0</v>
      </c>
      <c r="DV372" s="1748"/>
      <c r="DW372" s="1749"/>
      <c r="DX372" s="1747">
        <f t="shared" si="49"/>
        <v>0</v>
      </c>
      <c r="DY372" s="1748"/>
      <c r="DZ372" s="1749"/>
      <c r="EA372" s="1747">
        <f t="shared" si="50"/>
        <v>0</v>
      </c>
      <c r="EB372" s="1748"/>
      <c r="EC372" s="1748"/>
      <c r="ED372" s="1749"/>
      <c r="EE372" s="384"/>
      <c r="EF372" s="1750">
        <f t="shared" si="11"/>
        <v>0</v>
      </c>
      <c r="EG372" s="1751"/>
      <c r="EH372" s="1751"/>
      <c r="EI372" s="1751"/>
      <c r="EJ372" s="1752"/>
      <c r="EL372" s="1750">
        <f t="shared" si="61"/>
        <v>0</v>
      </c>
      <c r="EM372" s="1751"/>
      <c r="EN372" s="1751"/>
      <c r="EO372" s="1751"/>
      <c r="EP372" s="1752"/>
      <c r="ER372" s="1750">
        <f t="shared" si="12"/>
        <v>0</v>
      </c>
      <c r="ES372" s="1751"/>
      <c r="ET372" s="1751"/>
      <c r="EU372" s="1751"/>
      <c r="EV372" s="1752"/>
      <c r="EX372" s="1750">
        <f>IF(BE372&gt;0,Einstrahlung!$K$30*Kalkulation!$P$62/100*$AY$29*POWER((100-$P$64)/100,BD372-1),0)</f>
        <v>0</v>
      </c>
      <c r="EY372" s="1751"/>
      <c r="EZ372" s="1751"/>
      <c r="FA372" s="1751"/>
      <c r="FB372" s="1752"/>
      <c r="FD372" s="1750">
        <f t="shared" si="27"/>
        <v>0</v>
      </c>
      <c r="FE372" s="1751"/>
      <c r="FF372" s="1751"/>
      <c r="FG372" s="1751"/>
      <c r="FH372" s="1752"/>
      <c r="FI372" s="385"/>
      <c r="FJ372" s="380">
        <f t="shared" si="40"/>
        <v>0</v>
      </c>
      <c r="FK372" s="385"/>
      <c r="FL372" s="380">
        <f t="shared" si="59"/>
        <v>0</v>
      </c>
      <c r="FM372" s="385"/>
      <c r="FN372" s="380">
        <f t="shared" si="29"/>
        <v>0</v>
      </c>
      <c r="FO372" s="962">
        <f t="shared" si="37"/>
        <v>164</v>
      </c>
      <c r="FP372" s="956">
        <f t="shared" si="13"/>
        <v>0.4</v>
      </c>
      <c r="FQ372" s="380">
        <f t="shared" si="45"/>
        <v>0</v>
      </c>
      <c r="FR372" s="626">
        <f t="shared" si="60"/>
        <v>1</v>
      </c>
      <c r="FT372" s="1819">
        <f t="shared" si="38"/>
        <v>0</v>
      </c>
      <c r="FU372" s="1820"/>
      <c r="FV372" s="1820"/>
      <c r="FW372" s="1820"/>
      <c r="FX372" s="1821"/>
      <c r="FY372" s="1819">
        <f t="shared" si="30"/>
        <v>0</v>
      </c>
      <c r="FZ372" s="1820"/>
      <c r="GA372" s="1820"/>
      <c r="GB372" s="1821"/>
      <c r="GC372" s="1825">
        <f t="shared" si="54"/>
        <v>0</v>
      </c>
      <c r="GD372" s="1826"/>
      <c r="GE372" s="1826"/>
      <c r="GF372" s="1827"/>
      <c r="GH372" s="1750">
        <f t="shared" si="32"/>
        <v>0</v>
      </c>
      <c r="GI372" s="1751"/>
      <c r="GJ372" s="1751"/>
      <c r="GK372" s="1752"/>
      <c r="GL372" s="1750">
        <f t="shared" si="33"/>
        <v>0</v>
      </c>
      <c r="GM372" s="1751"/>
      <c r="GN372" s="1751"/>
      <c r="GO372" s="1752"/>
      <c r="GP372" s="385"/>
      <c r="GQ372" s="1750">
        <f t="shared" si="34"/>
        <v>0</v>
      </c>
      <c r="GR372" s="1751"/>
      <c r="GS372" s="1751"/>
      <c r="GT372" s="1752"/>
      <c r="GU372" s="192">
        <f t="shared" si="43"/>
        <v>1</v>
      </c>
      <c r="GV372" s="192">
        <f>SUM($GU$337:GU372)</f>
        <v>28</v>
      </c>
      <c r="GW372" s="318"/>
      <c r="GX372" s="380">
        <f t="shared" si="56"/>
        <v>0</v>
      </c>
      <c r="HX372" s="380"/>
    </row>
    <row r="373" spans="3:232" ht="12.75" customHeight="1" thickBot="1">
      <c r="D373" s="1790"/>
      <c r="E373" s="1791"/>
      <c r="F373" s="1791"/>
      <c r="G373" s="1792"/>
      <c r="H373" s="1799"/>
      <c r="I373" s="1800"/>
      <c r="J373" s="1800"/>
      <c r="K373" s="1800"/>
      <c r="L373" s="1800"/>
      <c r="M373" s="1800"/>
      <c r="N373" s="1800"/>
      <c r="O373" s="1800"/>
      <c r="P373" s="1800"/>
      <c r="Q373" s="1800"/>
      <c r="R373" s="1800"/>
      <c r="S373" s="1800"/>
      <c r="T373" s="1800"/>
      <c r="U373" s="1800"/>
      <c r="V373" s="1800"/>
      <c r="W373" s="1800"/>
      <c r="X373" s="1800"/>
      <c r="Y373" s="1800"/>
      <c r="Z373" s="1800"/>
      <c r="AA373" s="1800"/>
      <c r="AB373" s="1800"/>
      <c r="AC373" s="1800"/>
      <c r="AD373" s="1800"/>
      <c r="AE373" s="1800"/>
      <c r="AF373" s="1800"/>
      <c r="AG373" s="1800"/>
      <c r="AH373" s="1800"/>
      <c r="AI373" s="1800"/>
      <c r="AJ373" s="1800"/>
      <c r="AK373" s="1800"/>
      <c r="AL373" s="1800"/>
      <c r="AM373" s="1800"/>
      <c r="AN373" s="1800"/>
      <c r="AO373" s="1801"/>
      <c r="BD373" s="389">
        <f t="shared" si="57"/>
        <v>2</v>
      </c>
      <c r="BE373" s="391">
        <f>IF(BD373&gt;0,36,0)</f>
        <v>36</v>
      </c>
      <c r="BG373" s="391">
        <f>IF($BE373&gt;$R$66-1+($BR$335*12),36,0)</f>
        <v>36</v>
      </c>
      <c r="BH373" s="1755">
        <f t="shared" si="16"/>
        <v>0</v>
      </c>
      <c r="BI373" s="1756"/>
      <c r="BJ373" s="1756"/>
      <c r="BK373" s="1757"/>
      <c r="BL373" s="1755">
        <f t="shared" si="17"/>
        <v>0</v>
      </c>
      <c r="BM373" s="1756"/>
      <c r="BN373" s="1757"/>
      <c r="BO373" s="1755">
        <f t="shared" si="3"/>
        <v>0</v>
      </c>
      <c r="BP373" s="1756"/>
      <c r="BQ373" s="1757"/>
      <c r="BR373" s="1755">
        <f t="shared" si="58"/>
        <v>0</v>
      </c>
      <c r="BS373" s="1756"/>
      <c r="BT373" s="1756"/>
      <c r="BU373" s="1757"/>
      <c r="BW373" s="391">
        <f>IF($BE373&gt;$R$66-1+($CH$335*12),36,0)</f>
        <v>36</v>
      </c>
      <c r="BX373" s="1755">
        <f t="shared" si="35"/>
        <v>0</v>
      </c>
      <c r="BY373" s="1756"/>
      <c r="BZ373" s="1756"/>
      <c r="CA373" s="1757"/>
      <c r="CB373" s="1755">
        <f t="shared" si="18"/>
        <v>0</v>
      </c>
      <c r="CC373" s="1756"/>
      <c r="CD373" s="1757"/>
      <c r="CE373" s="1755">
        <f t="shared" si="5"/>
        <v>0</v>
      </c>
      <c r="CF373" s="1756"/>
      <c r="CG373" s="1757"/>
      <c r="CH373" s="1755">
        <f t="shared" si="6"/>
        <v>0</v>
      </c>
      <c r="CI373" s="1756"/>
      <c r="CJ373" s="1756"/>
      <c r="CK373" s="1757"/>
      <c r="CM373" s="391">
        <f>IF($BE373&gt;$R$66-1+($CX$335*12),36,0)</f>
        <v>36</v>
      </c>
      <c r="CN373" s="1755">
        <f t="shared" si="19"/>
        <v>0</v>
      </c>
      <c r="CO373" s="1756"/>
      <c r="CP373" s="1756"/>
      <c r="CQ373" s="1757"/>
      <c r="CR373" s="1755">
        <f t="shared" si="20"/>
        <v>0</v>
      </c>
      <c r="CS373" s="1756"/>
      <c r="CT373" s="1757"/>
      <c r="CU373" s="1755">
        <f t="shared" si="7"/>
        <v>0</v>
      </c>
      <c r="CV373" s="1756"/>
      <c r="CW373" s="1757"/>
      <c r="CX373" s="1755">
        <f t="shared" si="8"/>
        <v>0</v>
      </c>
      <c r="CY373" s="1756"/>
      <c r="CZ373" s="1756"/>
      <c r="DA373" s="1757"/>
      <c r="DC373" s="391">
        <f>IF($BE373&gt;$R$66-1,36,0)</f>
        <v>36</v>
      </c>
      <c r="DD373" s="1755">
        <f t="shared" si="41"/>
        <v>0</v>
      </c>
      <c r="DE373" s="1756"/>
      <c r="DF373" s="1756"/>
      <c r="DG373" s="1757"/>
      <c r="DH373" s="1755">
        <f t="shared" si="21"/>
        <v>0</v>
      </c>
      <c r="DI373" s="1756"/>
      <c r="DJ373" s="1757"/>
      <c r="DK373" s="1755">
        <f t="shared" si="9"/>
        <v>0</v>
      </c>
      <c r="DL373" s="1756"/>
      <c r="DM373" s="1756"/>
      <c r="DN373" s="1757"/>
      <c r="DP373" s="391">
        <f t="shared" si="22"/>
        <v>36</v>
      </c>
      <c r="DQ373" s="1755">
        <f t="shared" si="23"/>
        <v>0</v>
      </c>
      <c r="DR373" s="1756"/>
      <c r="DS373" s="1756"/>
      <c r="DT373" s="1757"/>
      <c r="DU373" s="1755">
        <f t="shared" si="44"/>
        <v>0</v>
      </c>
      <c r="DV373" s="1756"/>
      <c r="DW373" s="1757"/>
      <c r="DX373" s="1755">
        <f t="shared" si="49"/>
        <v>0</v>
      </c>
      <c r="DY373" s="1756"/>
      <c r="DZ373" s="1757"/>
      <c r="EA373" s="1755">
        <f t="shared" si="50"/>
        <v>0</v>
      </c>
      <c r="EB373" s="1756"/>
      <c r="EC373" s="1756"/>
      <c r="ED373" s="1757"/>
      <c r="EE373" s="384"/>
      <c r="EF373" s="1744">
        <f t="shared" si="11"/>
        <v>0</v>
      </c>
      <c r="EG373" s="1745"/>
      <c r="EH373" s="1745"/>
      <c r="EI373" s="1745"/>
      <c r="EJ373" s="1746"/>
      <c r="EL373" s="1744">
        <f t="shared" si="61"/>
        <v>0</v>
      </c>
      <c r="EM373" s="1745"/>
      <c r="EN373" s="1745"/>
      <c r="EO373" s="1745"/>
      <c r="EP373" s="1746"/>
      <c r="ER373" s="1744">
        <f t="shared" si="12"/>
        <v>0</v>
      </c>
      <c r="ES373" s="1745"/>
      <c r="ET373" s="1745"/>
      <c r="EU373" s="1745"/>
      <c r="EV373" s="1746"/>
      <c r="EX373" s="1744">
        <f>IF(BE373&gt;0,Einstrahlung!$K$32*Kalkulation!$P$62/100*$AY$29*POWER((100-$P$64)/100,BD373-1),0)</f>
        <v>0</v>
      </c>
      <c r="EY373" s="1745"/>
      <c r="EZ373" s="1745"/>
      <c r="FA373" s="1745"/>
      <c r="FB373" s="1746"/>
      <c r="FD373" s="1744">
        <f t="shared" si="27"/>
        <v>0</v>
      </c>
      <c r="FE373" s="1745"/>
      <c r="FF373" s="1745"/>
      <c r="FG373" s="1745"/>
      <c r="FH373" s="1746"/>
      <c r="FI373" s="385"/>
      <c r="FJ373" s="453">
        <f t="shared" si="40"/>
        <v>0</v>
      </c>
      <c r="FK373" s="385"/>
      <c r="FL373" s="453">
        <f t="shared" si="59"/>
        <v>0</v>
      </c>
      <c r="FM373" s="385"/>
      <c r="FN373" s="453">
        <f t="shared" si="29"/>
        <v>0</v>
      </c>
      <c r="FO373" s="962">
        <f t="shared" si="37"/>
        <v>165</v>
      </c>
      <c r="FP373" s="956">
        <f t="shared" si="13"/>
        <v>0.4</v>
      </c>
      <c r="FQ373" s="453">
        <f t="shared" si="45"/>
        <v>0</v>
      </c>
      <c r="FR373" s="957">
        <f>POWER(1+$FQ$333,FS373)</f>
        <v>1</v>
      </c>
      <c r="FS373" s="617">
        <f>FS361+1</f>
        <v>2</v>
      </c>
      <c r="FT373" s="1822">
        <f t="shared" si="38"/>
        <v>0</v>
      </c>
      <c r="FU373" s="1823"/>
      <c r="FV373" s="1823"/>
      <c r="FW373" s="1823"/>
      <c r="FX373" s="1824"/>
      <c r="FY373" s="1822">
        <f t="shared" si="30"/>
        <v>0</v>
      </c>
      <c r="FZ373" s="1823"/>
      <c r="GA373" s="1823"/>
      <c r="GB373" s="1824"/>
      <c r="GC373" s="1831">
        <f t="shared" si="54"/>
        <v>0</v>
      </c>
      <c r="GD373" s="1832"/>
      <c r="GE373" s="1832"/>
      <c r="GF373" s="1833"/>
      <c r="GH373" s="1744">
        <f t="shared" si="32"/>
        <v>0</v>
      </c>
      <c r="GI373" s="1745"/>
      <c r="GJ373" s="1745"/>
      <c r="GK373" s="1746"/>
      <c r="GL373" s="1744">
        <f t="shared" si="33"/>
        <v>0</v>
      </c>
      <c r="GM373" s="1745"/>
      <c r="GN373" s="1745"/>
      <c r="GO373" s="1746"/>
      <c r="GP373" s="385"/>
      <c r="GQ373" s="1744">
        <f t="shared" si="34"/>
        <v>0</v>
      </c>
      <c r="GR373" s="1745"/>
      <c r="GS373" s="1745"/>
      <c r="GT373" s="1746"/>
      <c r="GU373" s="192">
        <f t="shared" si="43"/>
        <v>1</v>
      </c>
      <c r="GV373" s="192">
        <f>SUM($GU$337:GU373)</f>
        <v>29</v>
      </c>
      <c r="GW373" s="318"/>
      <c r="GY373" s="380">
        <f t="shared" ref="GY373:GY384" si="62">IF(GV373=36,SUM(GQ362:GT373),0)</f>
        <v>0</v>
      </c>
      <c r="HX373" s="380"/>
    </row>
    <row r="374" spans="3:232" ht="12.75" customHeight="1">
      <c r="D374" s="1790"/>
      <c r="E374" s="1791"/>
      <c r="F374" s="1791"/>
      <c r="G374" s="1792"/>
      <c r="H374" s="512" t="str">
        <f>IF(AU297&gt;0,"Achtung: Bei der gewählten Finanzierung läuft das PV-Konto ins MINUS !","")</f>
        <v/>
      </c>
      <c r="I374" s="513"/>
      <c r="J374" s="513"/>
      <c r="K374" s="513"/>
      <c r="L374" s="513"/>
      <c r="M374" s="513"/>
      <c r="N374" s="513"/>
      <c r="O374" s="513"/>
      <c r="P374" s="513"/>
      <c r="Q374" s="513"/>
      <c r="R374" s="513"/>
      <c r="S374" s="513"/>
      <c r="T374" s="513"/>
      <c r="U374" s="513"/>
      <c r="V374" s="513"/>
      <c r="W374" s="513"/>
      <c r="X374" s="513"/>
      <c r="Y374" s="513"/>
      <c r="Z374" s="513"/>
      <c r="AA374" s="513"/>
      <c r="AB374" s="513"/>
      <c r="AC374" s="513"/>
      <c r="AD374" s="513"/>
      <c r="AE374" s="513"/>
      <c r="AF374" s="513"/>
      <c r="AG374" s="513"/>
      <c r="AH374" s="513"/>
      <c r="AI374" s="513"/>
      <c r="AJ374" s="513"/>
      <c r="AK374" s="513"/>
      <c r="AL374" s="513"/>
      <c r="AM374" s="513"/>
      <c r="AN374" s="513"/>
      <c r="AO374" s="514"/>
      <c r="BD374" s="381">
        <f t="shared" ref="BD374:BD385" si="63">IF($V$21&gt;0,3,0)</f>
        <v>3</v>
      </c>
      <c r="BE374" s="394">
        <f>IF(BD374&gt;0,37,0)</f>
        <v>37</v>
      </c>
      <c r="BG374" s="395">
        <f>IF($BE374&gt;$R$66-1+($BR$335*12),37,0)</f>
        <v>37</v>
      </c>
      <c r="BH374" s="1754">
        <f t="shared" si="16"/>
        <v>0</v>
      </c>
      <c r="BI374" s="1754"/>
      <c r="BJ374" s="1754"/>
      <c r="BK374" s="1754"/>
      <c r="BL374" s="1754">
        <f t="shared" si="17"/>
        <v>0</v>
      </c>
      <c r="BM374" s="1754"/>
      <c r="BN374" s="1754"/>
      <c r="BO374" s="1754">
        <f t="shared" si="3"/>
        <v>0</v>
      </c>
      <c r="BP374" s="1754"/>
      <c r="BQ374" s="1754"/>
      <c r="BR374" s="1754">
        <f t="shared" ref="BR374:BR385" si="64">BH374-BL374</f>
        <v>0</v>
      </c>
      <c r="BS374" s="1754"/>
      <c r="BT374" s="1754"/>
      <c r="BU374" s="1754"/>
      <c r="BW374" s="395">
        <f>IF($BE374&gt;$R$66-1+($CH$335*12),37,0)</f>
        <v>37</v>
      </c>
      <c r="BX374" s="1754">
        <f t="shared" si="35"/>
        <v>0</v>
      </c>
      <c r="BY374" s="1754"/>
      <c r="BZ374" s="1754"/>
      <c r="CA374" s="1754"/>
      <c r="CB374" s="1754">
        <f t="shared" si="18"/>
        <v>0</v>
      </c>
      <c r="CC374" s="1754"/>
      <c r="CD374" s="1754"/>
      <c r="CE374" s="1754">
        <f t="shared" si="5"/>
        <v>0</v>
      </c>
      <c r="CF374" s="1754"/>
      <c r="CG374" s="1754"/>
      <c r="CH374" s="1754">
        <f t="shared" si="6"/>
        <v>0</v>
      </c>
      <c r="CI374" s="1754"/>
      <c r="CJ374" s="1754"/>
      <c r="CK374" s="1754"/>
      <c r="CM374" s="395">
        <f>IF($BE374&gt;$R$66-1+($CX$335*12),37,0)</f>
        <v>37</v>
      </c>
      <c r="CN374" s="1754">
        <f t="shared" si="19"/>
        <v>0</v>
      </c>
      <c r="CO374" s="1754"/>
      <c r="CP374" s="1754"/>
      <c r="CQ374" s="1754"/>
      <c r="CR374" s="1754">
        <f t="shared" si="20"/>
        <v>0</v>
      </c>
      <c r="CS374" s="1754"/>
      <c r="CT374" s="1754"/>
      <c r="CU374" s="1754">
        <f t="shared" si="7"/>
        <v>0</v>
      </c>
      <c r="CV374" s="1754"/>
      <c r="CW374" s="1754"/>
      <c r="CX374" s="1754">
        <f t="shared" si="8"/>
        <v>0</v>
      </c>
      <c r="CY374" s="1754"/>
      <c r="CZ374" s="1754"/>
      <c r="DA374" s="1754"/>
      <c r="DC374" s="395">
        <f>IF($BE374&gt;$R$66-1,37,0)</f>
        <v>37</v>
      </c>
      <c r="DD374" s="1754">
        <f t="shared" si="41"/>
        <v>0</v>
      </c>
      <c r="DE374" s="1754"/>
      <c r="DF374" s="1754"/>
      <c r="DG374" s="1754"/>
      <c r="DH374" s="1754">
        <f t="shared" si="21"/>
        <v>0</v>
      </c>
      <c r="DI374" s="1754"/>
      <c r="DJ374" s="1754"/>
      <c r="DK374" s="1754">
        <f t="shared" si="9"/>
        <v>0</v>
      </c>
      <c r="DL374" s="1754"/>
      <c r="DM374" s="1754"/>
      <c r="DN374" s="1754"/>
      <c r="DP374" s="395">
        <f t="shared" si="22"/>
        <v>37</v>
      </c>
      <c r="DQ374" s="1754">
        <f t="shared" si="23"/>
        <v>0</v>
      </c>
      <c r="DR374" s="1754"/>
      <c r="DS374" s="1754"/>
      <c r="DT374" s="1754"/>
      <c r="DU374" s="1754">
        <f t="shared" si="44"/>
        <v>0</v>
      </c>
      <c r="DV374" s="1754"/>
      <c r="DW374" s="1754"/>
      <c r="DX374" s="1754">
        <f t="shared" si="49"/>
        <v>0</v>
      </c>
      <c r="DY374" s="1754"/>
      <c r="DZ374" s="1754"/>
      <c r="EA374" s="1754">
        <f t="shared" si="50"/>
        <v>0</v>
      </c>
      <c r="EB374" s="1754"/>
      <c r="EC374" s="1754"/>
      <c r="ED374" s="1754"/>
      <c r="EE374" s="384"/>
      <c r="EF374" s="1750">
        <f t="shared" si="11"/>
        <v>0</v>
      </c>
      <c r="EG374" s="1751"/>
      <c r="EH374" s="1751"/>
      <c r="EI374" s="1751"/>
      <c r="EJ374" s="1752"/>
      <c r="EL374" s="1750">
        <f t="shared" si="61"/>
        <v>0</v>
      </c>
      <c r="EM374" s="1751"/>
      <c r="EN374" s="1751"/>
      <c r="EO374" s="1751"/>
      <c r="EP374" s="1752"/>
      <c r="ER374" s="1750">
        <f t="shared" si="12"/>
        <v>0</v>
      </c>
      <c r="ES374" s="1751"/>
      <c r="ET374" s="1751"/>
      <c r="EU374" s="1751"/>
      <c r="EV374" s="1752"/>
      <c r="EX374" s="1750">
        <f>IF(BE374&gt;0,Einstrahlung!$K$10*Kalkulation!$P$62/100*$AY$29*POWER((100-$P$64)/100,BD374-1),0)</f>
        <v>0</v>
      </c>
      <c r="EY374" s="1751"/>
      <c r="EZ374" s="1751"/>
      <c r="FA374" s="1751"/>
      <c r="FB374" s="1752"/>
      <c r="FD374" s="1750">
        <f t="shared" si="27"/>
        <v>0</v>
      </c>
      <c r="FE374" s="1751"/>
      <c r="FF374" s="1751"/>
      <c r="FG374" s="1751"/>
      <c r="FH374" s="1752"/>
      <c r="FI374" s="385"/>
      <c r="FJ374" s="380">
        <f t="shared" si="40"/>
        <v>0</v>
      </c>
      <c r="FK374" s="385"/>
      <c r="FL374" s="380">
        <f>IF(BE374&gt;0,IF($FL$336&gt;SUM($EX$374:$FB$385),SUM($EX$374:FB385)/12,$FL$336/12),0)</f>
        <v>0</v>
      </c>
      <c r="FM374" s="385"/>
      <c r="FN374" s="380">
        <f t="shared" si="29"/>
        <v>0</v>
      </c>
      <c r="FO374" s="962">
        <f t="shared" si="37"/>
        <v>166</v>
      </c>
      <c r="FP374" s="956">
        <f t="shared" si="13"/>
        <v>0.4</v>
      </c>
      <c r="FQ374" s="380">
        <f t="shared" si="45"/>
        <v>0</v>
      </c>
      <c r="FR374" s="626">
        <f>IF(AND(GV374&gt;24,GV374&lt;=36),$FR$373,IF(AND(GV374&gt;36,GV374&lt;=48),$FR$385,0))</f>
        <v>1</v>
      </c>
      <c r="FT374" s="1819">
        <f t="shared" si="38"/>
        <v>0</v>
      </c>
      <c r="FU374" s="1820"/>
      <c r="FV374" s="1820"/>
      <c r="FW374" s="1820"/>
      <c r="FX374" s="1821"/>
      <c r="FY374" s="1819">
        <f t="shared" si="30"/>
        <v>0</v>
      </c>
      <c r="FZ374" s="1820"/>
      <c r="GA374" s="1820"/>
      <c r="GB374" s="1821"/>
      <c r="GC374" s="1825">
        <f t="shared" si="54"/>
        <v>0</v>
      </c>
      <c r="GD374" s="1826"/>
      <c r="GE374" s="1826"/>
      <c r="GF374" s="1827"/>
      <c r="GH374" s="1750">
        <f t="shared" si="32"/>
        <v>0</v>
      </c>
      <c r="GI374" s="1751"/>
      <c r="GJ374" s="1751"/>
      <c r="GK374" s="1751"/>
      <c r="GL374" s="1750">
        <f t="shared" si="33"/>
        <v>0</v>
      </c>
      <c r="GM374" s="1751"/>
      <c r="GN374" s="1751"/>
      <c r="GO374" s="1752"/>
      <c r="GP374" s="385"/>
      <c r="GQ374" s="1865">
        <f t="shared" si="34"/>
        <v>0</v>
      </c>
      <c r="GR374" s="1866"/>
      <c r="GS374" s="1866"/>
      <c r="GT374" s="1867"/>
      <c r="GU374" s="192">
        <f t="shared" si="43"/>
        <v>1</v>
      </c>
      <c r="GV374" s="192">
        <f>SUM($GU$337:GU374)</f>
        <v>30</v>
      </c>
      <c r="GW374" s="318"/>
      <c r="GY374" s="380">
        <f t="shared" si="62"/>
        <v>0</v>
      </c>
      <c r="HX374" s="380"/>
    </row>
    <row r="375" spans="3:232" ht="12.75" customHeight="1">
      <c r="D375" s="1793"/>
      <c r="E375" s="1794"/>
      <c r="F375" s="1794"/>
      <c r="G375" s="1795"/>
      <c r="H375" s="515" t="str">
        <f>IF(Y695&gt;0,"Achtung: Ohne Einzahlung des Wertes des verbrauchten Eigenstroms auf das PV-Konto läuft das Konto ins MINUS !","")</f>
        <v>Achtung: Ohne Einzahlung des Wertes des verbrauchten Eigenstroms auf das PV-Konto läuft das Konto ins MINUS !</v>
      </c>
      <c r="I375" s="516"/>
      <c r="J375" s="516"/>
      <c r="K375" s="516"/>
      <c r="L375" s="516"/>
      <c r="M375" s="516"/>
      <c r="N375" s="516"/>
      <c r="O375" s="516"/>
      <c r="P375" s="516"/>
      <c r="Q375" s="516"/>
      <c r="R375" s="516"/>
      <c r="S375" s="516"/>
      <c r="T375" s="516"/>
      <c r="U375" s="516"/>
      <c r="V375" s="516"/>
      <c r="W375" s="516"/>
      <c r="X375" s="516"/>
      <c r="Y375" s="516"/>
      <c r="Z375" s="516"/>
      <c r="AA375" s="516"/>
      <c r="AB375" s="516"/>
      <c r="AC375" s="516"/>
      <c r="AD375" s="516"/>
      <c r="AE375" s="516"/>
      <c r="AF375" s="516"/>
      <c r="AG375" s="516"/>
      <c r="AH375" s="516"/>
      <c r="AI375" s="516"/>
      <c r="AJ375" s="516"/>
      <c r="AK375" s="516"/>
      <c r="AL375" s="516"/>
      <c r="AM375" s="516"/>
      <c r="AN375" s="516"/>
      <c r="AO375" s="517"/>
      <c r="BD375" s="387">
        <f t="shared" si="63"/>
        <v>3</v>
      </c>
      <c r="BE375" s="382">
        <f>IF(BD375&gt;0,38,0)</f>
        <v>38</v>
      </c>
      <c r="BG375" s="383">
        <f>IF($BE375&gt;$R$66-1+($BR$335*12),38,0)</f>
        <v>38</v>
      </c>
      <c r="BH375" s="1754">
        <f t="shared" si="16"/>
        <v>0</v>
      </c>
      <c r="BI375" s="1754"/>
      <c r="BJ375" s="1754"/>
      <c r="BK375" s="1754"/>
      <c r="BL375" s="1754">
        <f t="shared" si="17"/>
        <v>0</v>
      </c>
      <c r="BM375" s="1754"/>
      <c r="BN375" s="1754"/>
      <c r="BO375" s="1754">
        <f t="shared" si="3"/>
        <v>0</v>
      </c>
      <c r="BP375" s="1754"/>
      <c r="BQ375" s="1754"/>
      <c r="BR375" s="1754">
        <f t="shared" si="64"/>
        <v>0</v>
      </c>
      <c r="BS375" s="1754"/>
      <c r="BT375" s="1754"/>
      <c r="BU375" s="1754"/>
      <c r="BW375" s="383">
        <f>IF($BE375&gt;$R$66-1+($CH$335*12),38,0)</f>
        <v>38</v>
      </c>
      <c r="BX375" s="1754">
        <f t="shared" si="35"/>
        <v>0</v>
      </c>
      <c r="BY375" s="1754"/>
      <c r="BZ375" s="1754"/>
      <c r="CA375" s="1754"/>
      <c r="CB375" s="1754">
        <f t="shared" si="18"/>
        <v>0</v>
      </c>
      <c r="CC375" s="1754"/>
      <c r="CD375" s="1754"/>
      <c r="CE375" s="1754">
        <f t="shared" si="5"/>
        <v>0</v>
      </c>
      <c r="CF375" s="1754"/>
      <c r="CG375" s="1754"/>
      <c r="CH375" s="1754">
        <f t="shared" si="6"/>
        <v>0</v>
      </c>
      <c r="CI375" s="1754"/>
      <c r="CJ375" s="1754"/>
      <c r="CK375" s="1754"/>
      <c r="CM375" s="383">
        <f>IF($BE375&gt;$R$66-1+($CX$335*12),38,0)</f>
        <v>38</v>
      </c>
      <c r="CN375" s="1754">
        <f t="shared" si="19"/>
        <v>0</v>
      </c>
      <c r="CO375" s="1754"/>
      <c r="CP375" s="1754"/>
      <c r="CQ375" s="1754"/>
      <c r="CR375" s="1754">
        <f t="shared" si="20"/>
        <v>0</v>
      </c>
      <c r="CS375" s="1754"/>
      <c r="CT375" s="1754"/>
      <c r="CU375" s="1754">
        <f t="shared" si="7"/>
        <v>0</v>
      </c>
      <c r="CV375" s="1754"/>
      <c r="CW375" s="1754"/>
      <c r="CX375" s="1754">
        <f t="shared" si="8"/>
        <v>0</v>
      </c>
      <c r="CY375" s="1754"/>
      <c r="CZ375" s="1754"/>
      <c r="DA375" s="1754"/>
      <c r="DC375" s="383">
        <f>IF($BE375&gt;$R$66-1,38,0)</f>
        <v>38</v>
      </c>
      <c r="DD375" s="1754">
        <f t="shared" si="41"/>
        <v>0</v>
      </c>
      <c r="DE375" s="1754"/>
      <c r="DF375" s="1754"/>
      <c r="DG375" s="1754"/>
      <c r="DH375" s="1754">
        <f t="shared" si="21"/>
        <v>0</v>
      </c>
      <c r="DI375" s="1754"/>
      <c r="DJ375" s="1754"/>
      <c r="DK375" s="1754">
        <f t="shared" si="9"/>
        <v>0</v>
      </c>
      <c r="DL375" s="1754"/>
      <c r="DM375" s="1754"/>
      <c r="DN375" s="1754"/>
      <c r="DP375" s="383">
        <f t="shared" si="22"/>
        <v>38</v>
      </c>
      <c r="DQ375" s="1754">
        <f t="shared" si="23"/>
        <v>0</v>
      </c>
      <c r="DR375" s="1754"/>
      <c r="DS375" s="1754"/>
      <c r="DT375" s="1754"/>
      <c r="DU375" s="1754">
        <f t="shared" si="44"/>
        <v>0</v>
      </c>
      <c r="DV375" s="1754"/>
      <c r="DW375" s="1754"/>
      <c r="DX375" s="1754">
        <f t="shared" si="49"/>
        <v>0</v>
      </c>
      <c r="DY375" s="1754"/>
      <c r="DZ375" s="1754"/>
      <c r="EA375" s="1754">
        <f t="shared" si="50"/>
        <v>0</v>
      </c>
      <c r="EB375" s="1754"/>
      <c r="EC375" s="1754"/>
      <c r="ED375" s="1754"/>
      <c r="EE375" s="384"/>
      <c r="EF375" s="1750">
        <f t="shared" si="11"/>
        <v>0</v>
      </c>
      <c r="EG375" s="1751"/>
      <c r="EH375" s="1751"/>
      <c r="EI375" s="1751"/>
      <c r="EJ375" s="1752"/>
      <c r="EL375" s="1750">
        <f t="shared" si="61"/>
        <v>0</v>
      </c>
      <c r="EM375" s="1751"/>
      <c r="EN375" s="1751"/>
      <c r="EO375" s="1751"/>
      <c r="EP375" s="1752"/>
      <c r="ER375" s="1750">
        <f t="shared" si="12"/>
        <v>0</v>
      </c>
      <c r="ES375" s="1751"/>
      <c r="ET375" s="1751"/>
      <c r="EU375" s="1751"/>
      <c r="EV375" s="1752"/>
      <c r="EX375" s="1750">
        <f>IF(BE375&gt;0,Einstrahlung!$K$12*Kalkulation!$P$62/100*$AY$29*POWER((100-$P$64)/100,BD375-1),0)</f>
        <v>0</v>
      </c>
      <c r="EY375" s="1751"/>
      <c r="EZ375" s="1751"/>
      <c r="FA375" s="1751"/>
      <c r="FB375" s="1752"/>
      <c r="FD375" s="1750">
        <f t="shared" si="27"/>
        <v>0</v>
      </c>
      <c r="FE375" s="1751"/>
      <c r="FF375" s="1751"/>
      <c r="FG375" s="1751"/>
      <c r="FH375" s="1752"/>
      <c r="FI375" s="385"/>
      <c r="FJ375" s="380">
        <f t="shared" si="40"/>
        <v>0</v>
      </c>
      <c r="FK375" s="385"/>
      <c r="FL375" s="380">
        <f>IF(BE375&gt;0,IF($FL$336&gt;SUM($EX$374:$FB$385),SUM($EX$374:FB386)/12,$FL$336/12),0)</f>
        <v>0</v>
      </c>
      <c r="FM375" s="385"/>
      <c r="FN375" s="380">
        <f t="shared" si="29"/>
        <v>0</v>
      </c>
      <c r="FO375" s="962">
        <f t="shared" si="37"/>
        <v>167</v>
      </c>
      <c r="FP375" s="956">
        <f t="shared" si="13"/>
        <v>0.4</v>
      </c>
      <c r="FQ375" s="380">
        <f t="shared" si="45"/>
        <v>0</v>
      </c>
      <c r="FR375" s="626">
        <f t="shared" ref="FR375:FR384" si="65">IF(AND(GV375&gt;24,GV375&lt;=36),$FR$373,IF(AND(GV375&gt;36,GV375&lt;=48),$FR$385,0))</f>
        <v>1</v>
      </c>
      <c r="FT375" s="1819">
        <f t="shared" si="38"/>
        <v>0</v>
      </c>
      <c r="FU375" s="1820"/>
      <c r="FV375" s="1820"/>
      <c r="FW375" s="1820"/>
      <c r="FX375" s="1821"/>
      <c r="FY375" s="1819">
        <f t="shared" si="30"/>
        <v>0</v>
      </c>
      <c r="FZ375" s="1820"/>
      <c r="GA375" s="1820"/>
      <c r="GB375" s="1821"/>
      <c r="GC375" s="1825">
        <f t="shared" si="54"/>
        <v>0</v>
      </c>
      <c r="GD375" s="1826"/>
      <c r="GE375" s="1826"/>
      <c r="GF375" s="1827"/>
      <c r="GH375" s="1750">
        <f t="shared" si="32"/>
        <v>0</v>
      </c>
      <c r="GI375" s="1751"/>
      <c r="GJ375" s="1751"/>
      <c r="GK375" s="1752"/>
      <c r="GL375" s="1750">
        <f t="shared" si="33"/>
        <v>0</v>
      </c>
      <c r="GM375" s="1751"/>
      <c r="GN375" s="1751"/>
      <c r="GO375" s="1752"/>
      <c r="GP375" s="385"/>
      <c r="GQ375" s="1750">
        <f t="shared" si="34"/>
        <v>0</v>
      </c>
      <c r="GR375" s="1751"/>
      <c r="GS375" s="1751"/>
      <c r="GT375" s="1752"/>
      <c r="GU375" s="192">
        <f t="shared" si="43"/>
        <v>1</v>
      </c>
      <c r="GV375" s="192">
        <f>SUM($GU$337:GU375)</f>
        <v>31</v>
      </c>
      <c r="GW375" s="318"/>
      <c r="GY375" s="380">
        <f t="shared" si="62"/>
        <v>0</v>
      </c>
      <c r="HX375" s="380"/>
    </row>
    <row r="376" spans="3:232" ht="12.75" customHeight="1">
      <c r="D376" s="1"/>
      <c r="E376" s="1"/>
      <c r="F376" s="1"/>
      <c r="G376" s="1"/>
      <c r="H376" s="513"/>
      <c r="I376" s="513"/>
      <c r="J376" s="513"/>
      <c r="K376" s="513"/>
      <c r="L376" s="513"/>
      <c r="M376" s="513"/>
      <c r="N376" s="513"/>
      <c r="O376" s="513"/>
      <c r="P376" s="513"/>
      <c r="Q376" s="513"/>
      <c r="R376" s="513"/>
      <c r="S376" s="513"/>
      <c r="T376" s="513"/>
      <c r="U376" s="513"/>
      <c r="V376" s="513"/>
      <c r="W376" s="513"/>
      <c r="X376" s="513"/>
      <c r="Y376" s="513"/>
      <c r="Z376" s="513"/>
      <c r="AA376" s="513"/>
      <c r="AB376" s="513"/>
      <c r="AC376" s="513"/>
      <c r="AD376" s="513"/>
      <c r="AE376" s="513"/>
      <c r="AF376" s="513"/>
      <c r="AG376" s="513"/>
      <c r="AH376" s="513"/>
      <c r="AI376" s="513"/>
      <c r="AJ376" s="513"/>
      <c r="AK376" s="513"/>
      <c r="AL376" s="513"/>
      <c r="AM376" s="513"/>
      <c r="AN376" s="513"/>
      <c r="AO376" s="513"/>
      <c r="BD376" s="387">
        <f t="shared" si="63"/>
        <v>3</v>
      </c>
      <c r="BE376" s="382">
        <f>IF(BD376&gt;0,39,0)</f>
        <v>39</v>
      </c>
      <c r="BG376" s="383">
        <f>IF($BE376&gt;$R$66-1+($BR$335*12),39,0)</f>
        <v>39</v>
      </c>
      <c r="BH376" s="1754">
        <f t="shared" si="16"/>
        <v>0</v>
      </c>
      <c r="BI376" s="1754"/>
      <c r="BJ376" s="1754"/>
      <c r="BK376" s="1754"/>
      <c r="BL376" s="1754">
        <f t="shared" si="17"/>
        <v>0</v>
      </c>
      <c r="BM376" s="1754"/>
      <c r="BN376" s="1754"/>
      <c r="BO376" s="1754">
        <f t="shared" si="3"/>
        <v>0</v>
      </c>
      <c r="BP376" s="1754"/>
      <c r="BQ376" s="1754"/>
      <c r="BR376" s="1754">
        <f t="shared" si="64"/>
        <v>0</v>
      </c>
      <c r="BS376" s="1754"/>
      <c r="BT376" s="1754"/>
      <c r="BU376" s="1754"/>
      <c r="BW376" s="383">
        <f>IF($BE376&gt;$R$66-1+($CH$335*12),39,0)</f>
        <v>39</v>
      </c>
      <c r="BX376" s="1754">
        <f t="shared" si="35"/>
        <v>0</v>
      </c>
      <c r="BY376" s="1754"/>
      <c r="BZ376" s="1754"/>
      <c r="CA376" s="1754"/>
      <c r="CB376" s="1754">
        <f t="shared" si="18"/>
        <v>0</v>
      </c>
      <c r="CC376" s="1754"/>
      <c r="CD376" s="1754"/>
      <c r="CE376" s="1754">
        <f t="shared" si="5"/>
        <v>0</v>
      </c>
      <c r="CF376" s="1754"/>
      <c r="CG376" s="1754"/>
      <c r="CH376" s="1754">
        <f t="shared" si="6"/>
        <v>0</v>
      </c>
      <c r="CI376" s="1754"/>
      <c r="CJ376" s="1754"/>
      <c r="CK376" s="1754"/>
      <c r="CM376" s="383">
        <f>IF($BE376&gt;$R$66-1+($CX$335*12),39,0)</f>
        <v>39</v>
      </c>
      <c r="CN376" s="1754">
        <f t="shared" si="19"/>
        <v>0</v>
      </c>
      <c r="CO376" s="1754"/>
      <c r="CP376" s="1754"/>
      <c r="CQ376" s="1754"/>
      <c r="CR376" s="1754">
        <f t="shared" si="20"/>
        <v>0</v>
      </c>
      <c r="CS376" s="1754"/>
      <c r="CT376" s="1754"/>
      <c r="CU376" s="1754">
        <f t="shared" si="7"/>
        <v>0</v>
      </c>
      <c r="CV376" s="1754"/>
      <c r="CW376" s="1754"/>
      <c r="CX376" s="1754">
        <f t="shared" si="8"/>
        <v>0</v>
      </c>
      <c r="CY376" s="1754"/>
      <c r="CZ376" s="1754"/>
      <c r="DA376" s="1754"/>
      <c r="DC376" s="383">
        <f>IF($BE376&gt;$R$66-1,39,0)</f>
        <v>39</v>
      </c>
      <c r="DD376" s="1754">
        <f t="shared" si="41"/>
        <v>0</v>
      </c>
      <c r="DE376" s="1754"/>
      <c r="DF376" s="1754"/>
      <c r="DG376" s="1754"/>
      <c r="DH376" s="1754">
        <f t="shared" si="21"/>
        <v>0</v>
      </c>
      <c r="DI376" s="1754"/>
      <c r="DJ376" s="1754"/>
      <c r="DK376" s="1754">
        <f t="shared" si="9"/>
        <v>0</v>
      </c>
      <c r="DL376" s="1754"/>
      <c r="DM376" s="1754"/>
      <c r="DN376" s="1754"/>
      <c r="DP376" s="383">
        <f t="shared" si="22"/>
        <v>39</v>
      </c>
      <c r="DQ376" s="1754">
        <f t="shared" si="23"/>
        <v>0</v>
      </c>
      <c r="DR376" s="1754"/>
      <c r="DS376" s="1754"/>
      <c r="DT376" s="1754"/>
      <c r="DU376" s="1754">
        <f t="shared" si="44"/>
        <v>0</v>
      </c>
      <c r="DV376" s="1754"/>
      <c r="DW376" s="1754"/>
      <c r="DX376" s="1754">
        <f t="shared" si="49"/>
        <v>0</v>
      </c>
      <c r="DY376" s="1754"/>
      <c r="DZ376" s="1754"/>
      <c r="EA376" s="1754">
        <f t="shared" si="50"/>
        <v>0</v>
      </c>
      <c r="EB376" s="1754"/>
      <c r="EC376" s="1754"/>
      <c r="ED376" s="1754"/>
      <c r="EE376" s="384"/>
      <c r="EF376" s="1750">
        <f t="shared" si="11"/>
        <v>0</v>
      </c>
      <c r="EG376" s="1751"/>
      <c r="EH376" s="1751"/>
      <c r="EI376" s="1751"/>
      <c r="EJ376" s="1752"/>
      <c r="EL376" s="1750">
        <f t="shared" si="61"/>
        <v>0</v>
      </c>
      <c r="EM376" s="1751"/>
      <c r="EN376" s="1751"/>
      <c r="EO376" s="1751"/>
      <c r="EP376" s="1752"/>
      <c r="ER376" s="1750">
        <f t="shared" si="12"/>
        <v>0</v>
      </c>
      <c r="ES376" s="1751"/>
      <c r="ET376" s="1751"/>
      <c r="EU376" s="1751"/>
      <c r="EV376" s="1752"/>
      <c r="EX376" s="1750">
        <f>IF(BE376&gt;0,Einstrahlung!$K$14*Kalkulation!$P$62/100*$AY$29*POWER((100-$P$64)/100,BD376-1),0)</f>
        <v>0</v>
      </c>
      <c r="EY376" s="1751"/>
      <c r="EZ376" s="1751"/>
      <c r="FA376" s="1751"/>
      <c r="FB376" s="1752"/>
      <c r="FD376" s="1750">
        <f t="shared" si="27"/>
        <v>0</v>
      </c>
      <c r="FE376" s="1751"/>
      <c r="FF376" s="1751"/>
      <c r="FG376" s="1751"/>
      <c r="FH376" s="1752"/>
      <c r="FI376" s="385"/>
      <c r="FJ376" s="380">
        <f t="shared" si="40"/>
        <v>0</v>
      </c>
      <c r="FK376" s="385"/>
      <c r="FL376" s="380">
        <f>IF(BE376&gt;0,IF($FL$336&gt;SUM($EX$374:$FB$385),SUM($EX$374:FB387)/12,$FL$336/12),0)</f>
        <v>0</v>
      </c>
      <c r="FM376" s="385"/>
      <c r="FN376" s="380">
        <f t="shared" si="29"/>
        <v>0</v>
      </c>
      <c r="FO376" s="962">
        <f t="shared" si="37"/>
        <v>168</v>
      </c>
      <c r="FP376" s="956">
        <f t="shared" si="13"/>
        <v>0.4</v>
      </c>
      <c r="FQ376" s="380">
        <f t="shared" si="45"/>
        <v>0</v>
      </c>
      <c r="FR376" s="626">
        <f t="shared" si="65"/>
        <v>1</v>
      </c>
      <c r="FT376" s="1819">
        <f t="shared" si="38"/>
        <v>0</v>
      </c>
      <c r="FU376" s="1820"/>
      <c r="FV376" s="1820"/>
      <c r="FW376" s="1820"/>
      <c r="FX376" s="1821"/>
      <c r="FY376" s="1819">
        <f t="shared" si="30"/>
        <v>0</v>
      </c>
      <c r="FZ376" s="1820"/>
      <c r="GA376" s="1820"/>
      <c r="GB376" s="1821"/>
      <c r="GC376" s="1825">
        <f t="shared" si="54"/>
        <v>0</v>
      </c>
      <c r="GD376" s="1826"/>
      <c r="GE376" s="1826"/>
      <c r="GF376" s="1827"/>
      <c r="GH376" s="1750">
        <f t="shared" si="32"/>
        <v>0</v>
      </c>
      <c r="GI376" s="1751"/>
      <c r="GJ376" s="1751"/>
      <c r="GK376" s="1752"/>
      <c r="GL376" s="1750">
        <f t="shared" si="33"/>
        <v>0</v>
      </c>
      <c r="GM376" s="1751"/>
      <c r="GN376" s="1751"/>
      <c r="GO376" s="1752"/>
      <c r="GP376" s="385"/>
      <c r="GQ376" s="1750">
        <f t="shared" si="34"/>
        <v>0</v>
      </c>
      <c r="GR376" s="1751"/>
      <c r="GS376" s="1751"/>
      <c r="GT376" s="1752"/>
      <c r="GU376" s="192">
        <f t="shared" si="43"/>
        <v>1</v>
      </c>
      <c r="GV376" s="192">
        <f>SUM($GU$337:GU376)</f>
        <v>32</v>
      </c>
      <c r="GW376" s="318"/>
      <c r="GY376" s="380">
        <f t="shared" si="62"/>
        <v>0</v>
      </c>
      <c r="HX376" s="380"/>
    </row>
    <row r="377" spans="3:232" ht="12.75" customHeight="1">
      <c r="D377" s="396"/>
      <c r="E377" s="397"/>
      <c r="F377" s="1623" t="s">
        <v>712</v>
      </c>
      <c r="G377" s="1624"/>
      <c r="H377" s="1624"/>
      <c r="I377" s="1624"/>
      <c r="J377" s="1624"/>
      <c r="K377" s="1624"/>
      <c r="L377" s="1624"/>
      <c r="M377" s="1624"/>
      <c r="N377" s="1624"/>
      <c r="O377" s="1624"/>
      <c r="P377" s="1624"/>
      <c r="Q377" s="1624"/>
      <c r="R377" s="1624"/>
      <c r="S377" s="1624"/>
      <c r="T377" s="1624"/>
      <c r="U377" s="1624"/>
      <c r="V377" s="1624"/>
      <c r="W377" s="1624"/>
      <c r="X377" s="1624"/>
      <c r="Y377" s="1624"/>
      <c r="Z377" s="1624"/>
      <c r="AA377" s="1624"/>
      <c r="AB377" s="1624"/>
      <c r="AC377" s="1624"/>
      <c r="AD377" s="1624"/>
      <c r="AE377" s="1624"/>
      <c r="AF377" s="1624"/>
      <c r="AG377" s="1624"/>
      <c r="AH377" s="1624"/>
      <c r="AI377" s="1624"/>
      <c r="AJ377" s="1624"/>
      <c r="AK377" s="1624"/>
      <c r="AL377" s="1624"/>
      <c r="AM377" s="1624"/>
      <c r="AN377" s="1624"/>
      <c r="AO377" s="534"/>
      <c r="BD377" s="387">
        <f t="shared" si="63"/>
        <v>3</v>
      </c>
      <c r="BE377" s="382">
        <f>IF(BD377&gt;0,40,0)</f>
        <v>40</v>
      </c>
      <c r="BG377" s="383">
        <f>IF($BE377&gt;$R$66-1+($BR$335*12),40,0)</f>
        <v>40</v>
      </c>
      <c r="BH377" s="1754">
        <f t="shared" si="16"/>
        <v>0</v>
      </c>
      <c r="BI377" s="1754"/>
      <c r="BJ377" s="1754"/>
      <c r="BK377" s="1754"/>
      <c r="BL377" s="1754">
        <f t="shared" si="17"/>
        <v>0</v>
      </c>
      <c r="BM377" s="1754"/>
      <c r="BN377" s="1754"/>
      <c r="BO377" s="1754">
        <f t="shared" si="3"/>
        <v>0</v>
      </c>
      <c r="BP377" s="1754"/>
      <c r="BQ377" s="1754"/>
      <c r="BR377" s="1754">
        <f t="shared" si="64"/>
        <v>0</v>
      </c>
      <c r="BS377" s="1754"/>
      <c r="BT377" s="1754"/>
      <c r="BU377" s="1754"/>
      <c r="BW377" s="383">
        <f>IF($BE377&gt;$R$66-1+($CH$335*12),40,0)</f>
        <v>40</v>
      </c>
      <c r="BX377" s="1754">
        <f t="shared" si="35"/>
        <v>0</v>
      </c>
      <c r="BY377" s="1754"/>
      <c r="BZ377" s="1754"/>
      <c r="CA377" s="1754"/>
      <c r="CB377" s="1754">
        <f t="shared" si="18"/>
        <v>0</v>
      </c>
      <c r="CC377" s="1754"/>
      <c r="CD377" s="1754"/>
      <c r="CE377" s="1754">
        <f t="shared" si="5"/>
        <v>0</v>
      </c>
      <c r="CF377" s="1754"/>
      <c r="CG377" s="1754"/>
      <c r="CH377" s="1754">
        <f t="shared" si="6"/>
        <v>0</v>
      </c>
      <c r="CI377" s="1754"/>
      <c r="CJ377" s="1754"/>
      <c r="CK377" s="1754"/>
      <c r="CM377" s="383">
        <f>IF($BE377&gt;$R$66-1+($CX$335*12),40,0)</f>
        <v>40</v>
      </c>
      <c r="CN377" s="1754">
        <f t="shared" si="19"/>
        <v>0</v>
      </c>
      <c r="CO377" s="1754"/>
      <c r="CP377" s="1754"/>
      <c r="CQ377" s="1754"/>
      <c r="CR377" s="1754">
        <f t="shared" si="20"/>
        <v>0</v>
      </c>
      <c r="CS377" s="1754"/>
      <c r="CT377" s="1754"/>
      <c r="CU377" s="1754">
        <f t="shared" si="7"/>
        <v>0</v>
      </c>
      <c r="CV377" s="1754"/>
      <c r="CW377" s="1754"/>
      <c r="CX377" s="1754">
        <f t="shared" si="8"/>
        <v>0</v>
      </c>
      <c r="CY377" s="1754"/>
      <c r="CZ377" s="1754"/>
      <c r="DA377" s="1754"/>
      <c r="DC377" s="383">
        <f>IF($BE377&gt;$R$66-1,40,0)</f>
        <v>40</v>
      </c>
      <c r="DD377" s="1754">
        <f t="shared" si="41"/>
        <v>0</v>
      </c>
      <c r="DE377" s="1754"/>
      <c r="DF377" s="1754"/>
      <c r="DG377" s="1754"/>
      <c r="DH377" s="1754">
        <f t="shared" si="21"/>
        <v>0</v>
      </c>
      <c r="DI377" s="1754"/>
      <c r="DJ377" s="1754"/>
      <c r="DK377" s="1754">
        <f t="shared" si="9"/>
        <v>0</v>
      </c>
      <c r="DL377" s="1754"/>
      <c r="DM377" s="1754"/>
      <c r="DN377" s="1754"/>
      <c r="DP377" s="383">
        <f t="shared" si="22"/>
        <v>40</v>
      </c>
      <c r="DQ377" s="1754">
        <f t="shared" si="23"/>
        <v>0</v>
      </c>
      <c r="DR377" s="1754"/>
      <c r="DS377" s="1754"/>
      <c r="DT377" s="1754"/>
      <c r="DU377" s="1754">
        <f t="shared" si="44"/>
        <v>0</v>
      </c>
      <c r="DV377" s="1754"/>
      <c r="DW377" s="1754"/>
      <c r="DX377" s="1754">
        <f t="shared" si="49"/>
        <v>0</v>
      </c>
      <c r="DY377" s="1754"/>
      <c r="DZ377" s="1754"/>
      <c r="EA377" s="1754">
        <f t="shared" si="50"/>
        <v>0</v>
      </c>
      <c r="EB377" s="1754"/>
      <c r="EC377" s="1754"/>
      <c r="ED377" s="1754"/>
      <c r="EE377" s="384"/>
      <c r="EF377" s="1750">
        <f t="shared" si="11"/>
        <v>0</v>
      </c>
      <c r="EG377" s="1751"/>
      <c r="EH377" s="1751"/>
      <c r="EI377" s="1751"/>
      <c r="EJ377" s="1752"/>
      <c r="EL377" s="1750">
        <f t="shared" si="61"/>
        <v>0</v>
      </c>
      <c r="EM377" s="1751"/>
      <c r="EN377" s="1751"/>
      <c r="EO377" s="1751"/>
      <c r="EP377" s="1752"/>
      <c r="ER377" s="1750">
        <f t="shared" si="12"/>
        <v>0</v>
      </c>
      <c r="ES377" s="1751"/>
      <c r="ET377" s="1751"/>
      <c r="EU377" s="1751"/>
      <c r="EV377" s="1752"/>
      <c r="EX377" s="1750">
        <f>IF(BE377&gt;0,Einstrahlung!$K$16*Kalkulation!$P$62/100*$AY$29*POWER((100-$P$64)/100,BD377-1),0)</f>
        <v>0</v>
      </c>
      <c r="EY377" s="1751"/>
      <c r="EZ377" s="1751"/>
      <c r="FA377" s="1751"/>
      <c r="FB377" s="1752"/>
      <c r="FD377" s="1750">
        <f t="shared" si="27"/>
        <v>0</v>
      </c>
      <c r="FE377" s="1751"/>
      <c r="FF377" s="1751"/>
      <c r="FG377" s="1751"/>
      <c r="FH377" s="1752"/>
      <c r="FI377" s="385"/>
      <c r="FJ377" s="380">
        <f t="shared" si="40"/>
        <v>0</v>
      </c>
      <c r="FK377" s="385"/>
      <c r="FL377" s="380">
        <f>IF(BE377&gt;0,IF($FL$336&gt;SUM($EX$374:$FB$385),SUM($EX$374:FB388)/12,$FL$336/12),0)</f>
        <v>0</v>
      </c>
      <c r="FM377" s="385"/>
      <c r="FN377" s="380">
        <f t="shared" si="29"/>
        <v>0</v>
      </c>
      <c r="FO377" s="962">
        <f t="shared" si="37"/>
        <v>169</v>
      </c>
      <c r="FP377" s="956">
        <f t="shared" si="13"/>
        <v>0.4</v>
      </c>
      <c r="FQ377" s="380">
        <f t="shared" si="45"/>
        <v>0</v>
      </c>
      <c r="FR377" s="626">
        <f t="shared" si="65"/>
        <v>1</v>
      </c>
      <c r="FT377" s="1819">
        <f t="shared" si="38"/>
        <v>0</v>
      </c>
      <c r="FU377" s="1820"/>
      <c r="FV377" s="1820"/>
      <c r="FW377" s="1820"/>
      <c r="FX377" s="1821"/>
      <c r="FY377" s="1819">
        <f t="shared" si="30"/>
        <v>0</v>
      </c>
      <c r="FZ377" s="1820"/>
      <c r="GA377" s="1820"/>
      <c r="GB377" s="1821"/>
      <c r="GC377" s="1825">
        <f t="shared" si="54"/>
        <v>0</v>
      </c>
      <c r="GD377" s="1826"/>
      <c r="GE377" s="1826"/>
      <c r="GF377" s="1827"/>
      <c r="GH377" s="1750">
        <f t="shared" si="32"/>
        <v>0</v>
      </c>
      <c r="GI377" s="1751"/>
      <c r="GJ377" s="1751"/>
      <c r="GK377" s="1752"/>
      <c r="GL377" s="1750">
        <f t="shared" si="33"/>
        <v>0</v>
      </c>
      <c r="GM377" s="1751"/>
      <c r="GN377" s="1751"/>
      <c r="GO377" s="1752"/>
      <c r="GP377" s="385"/>
      <c r="GQ377" s="1750">
        <f t="shared" si="34"/>
        <v>0</v>
      </c>
      <c r="GR377" s="1751"/>
      <c r="GS377" s="1751"/>
      <c r="GT377" s="1752"/>
      <c r="GU377" s="192">
        <f t="shared" si="43"/>
        <v>1</v>
      </c>
      <c r="GV377" s="192">
        <f>SUM($GU$337:GU377)</f>
        <v>33</v>
      </c>
      <c r="GW377" s="318"/>
      <c r="GY377" s="380">
        <f t="shared" si="62"/>
        <v>0</v>
      </c>
      <c r="HX377" s="380"/>
    </row>
    <row r="378" spans="3:232" ht="12.75" customHeight="1">
      <c r="C378" s="1375" t="s">
        <v>501</v>
      </c>
      <c r="D378" s="535"/>
      <c r="E378" s="762"/>
      <c r="F378" s="1777"/>
      <c r="G378" s="1777"/>
      <c r="H378" s="1777"/>
      <c r="I378" s="1777"/>
      <c r="J378" s="1777"/>
      <c r="K378" s="1777"/>
      <c r="L378" s="1777"/>
      <c r="M378" s="1777"/>
      <c r="N378" s="1777"/>
      <c r="O378" s="1777"/>
      <c r="P378" s="1777"/>
      <c r="Q378" s="1777"/>
      <c r="R378" s="1777"/>
      <c r="S378" s="1777"/>
      <c r="T378" s="1777"/>
      <c r="U378" s="1777"/>
      <c r="V378" s="1777"/>
      <c r="W378" s="1777"/>
      <c r="X378" s="1777"/>
      <c r="Y378" s="1777"/>
      <c r="Z378" s="1777"/>
      <c r="AA378" s="1777"/>
      <c r="AB378" s="1777"/>
      <c r="AC378" s="1777"/>
      <c r="AD378" s="1777"/>
      <c r="AE378" s="1777"/>
      <c r="AF378" s="1777"/>
      <c r="AG378" s="1777"/>
      <c r="AH378" s="1777"/>
      <c r="AI378" s="1777"/>
      <c r="AJ378" s="1777"/>
      <c r="AK378" s="1777"/>
      <c r="AL378" s="1777"/>
      <c r="AM378" s="1777"/>
      <c r="AN378" s="1777"/>
      <c r="AO378" s="537"/>
      <c r="BD378" s="387">
        <f t="shared" si="63"/>
        <v>3</v>
      </c>
      <c r="BE378" s="382">
        <f>IF(BD378&gt;0,41,0)</f>
        <v>41</v>
      </c>
      <c r="BG378" s="383">
        <f>IF($BE378&gt;$R$66-1+($BR$335*12),41,0)</f>
        <v>41</v>
      </c>
      <c r="BH378" s="1754">
        <f t="shared" si="16"/>
        <v>0</v>
      </c>
      <c r="BI378" s="1754"/>
      <c r="BJ378" s="1754"/>
      <c r="BK378" s="1754"/>
      <c r="BL378" s="1754">
        <f t="shared" si="17"/>
        <v>0</v>
      </c>
      <c r="BM378" s="1754"/>
      <c r="BN378" s="1754"/>
      <c r="BO378" s="1754">
        <f t="shared" si="3"/>
        <v>0</v>
      </c>
      <c r="BP378" s="1754"/>
      <c r="BQ378" s="1754"/>
      <c r="BR378" s="1754">
        <f t="shared" si="64"/>
        <v>0</v>
      </c>
      <c r="BS378" s="1754"/>
      <c r="BT378" s="1754"/>
      <c r="BU378" s="1754"/>
      <c r="BW378" s="383">
        <f>IF($BE378&gt;$R$66-1+($CH$335*12),41,0)</f>
        <v>41</v>
      </c>
      <c r="BX378" s="1754">
        <f t="shared" si="35"/>
        <v>0</v>
      </c>
      <c r="BY378" s="1754"/>
      <c r="BZ378" s="1754"/>
      <c r="CA378" s="1754"/>
      <c r="CB378" s="1754">
        <f t="shared" si="18"/>
        <v>0</v>
      </c>
      <c r="CC378" s="1754"/>
      <c r="CD378" s="1754"/>
      <c r="CE378" s="1754">
        <f t="shared" si="5"/>
        <v>0</v>
      </c>
      <c r="CF378" s="1754"/>
      <c r="CG378" s="1754"/>
      <c r="CH378" s="1754">
        <f t="shared" si="6"/>
        <v>0</v>
      </c>
      <c r="CI378" s="1754"/>
      <c r="CJ378" s="1754"/>
      <c r="CK378" s="1754"/>
      <c r="CM378" s="383">
        <f>IF($BE378&gt;$R$66-1+($CX$335*12),41,0)</f>
        <v>41</v>
      </c>
      <c r="CN378" s="1754">
        <f t="shared" si="19"/>
        <v>0</v>
      </c>
      <c r="CO378" s="1754"/>
      <c r="CP378" s="1754"/>
      <c r="CQ378" s="1754"/>
      <c r="CR378" s="1754">
        <f t="shared" si="20"/>
        <v>0</v>
      </c>
      <c r="CS378" s="1754"/>
      <c r="CT378" s="1754"/>
      <c r="CU378" s="1754">
        <f t="shared" si="7"/>
        <v>0</v>
      </c>
      <c r="CV378" s="1754"/>
      <c r="CW378" s="1754"/>
      <c r="CX378" s="1754">
        <f t="shared" si="8"/>
        <v>0</v>
      </c>
      <c r="CY378" s="1754"/>
      <c r="CZ378" s="1754"/>
      <c r="DA378" s="1754"/>
      <c r="DC378" s="383">
        <f>IF($BE378&gt;$R$66-1,41,0)</f>
        <v>41</v>
      </c>
      <c r="DD378" s="1754">
        <f t="shared" si="41"/>
        <v>0</v>
      </c>
      <c r="DE378" s="1754"/>
      <c r="DF378" s="1754"/>
      <c r="DG378" s="1754"/>
      <c r="DH378" s="1754">
        <f t="shared" si="21"/>
        <v>0</v>
      </c>
      <c r="DI378" s="1754"/>
      <c r="DJ378" s="1754"/>
      <c r="DK378" s="1754">
        <f t="shared" si="9"/>
        <v>0</v>
      </c>
      <c r="DL378" s="1754"/>
      <c r="DM378" s="1754"/>
      <c r="DN378" s="1754"/>
      <c r="DP378" s="383">
        <f t="shared" si="22"/>
        <v>41</v>
      </c>
      <c r="DQ378" s="1754">
        <f t="shared" si="23"/>
        <v>0</v>
      </c>
      <c r="DR378" s="1754"/>
      <c r="DS378" s="1754"/>
      <c r="DT378" s="1754"/>
      <c r="DU378" s="1754">
        <f t="shared" si="44"/>
        <v>0</v>
      </c>
      <c r="DV378" s="1754"/>
      <c r="DW378" s="1754"/>
      <c r="DX378" s="1754">
        <f t="shared" si="49"/>
        <v>0</v>
      </c>
      <c r="DY378" s="1754"/>
      <c r="DZ378" s="1754"/>
      <c r="EA378" s="1754">
        <f t="shared" si="50"/>
        <v>0</v>
      </c>
      <c r="EB378" s="1754"/>
      <c r="EC378" s="1754"/>
      <c r="ED378" s="1754"/>
      <c r="EE378" s="384"/>
      <c r="EF378" s="1750">
        <f t="shared" si="11"/>
        <v>0</v>
      </c>
      <c r="EG378" s="1751"/>
      <c r="EH378" s="1751"/>
      <c r="EI378" s="1751"/>
      <c r="EJ378" s="1752"/>
      <c r="EL378" s="1750">
        <f t="shared" si="55"/>
        <v>0</v>
      </c>
      <c r="EM378" s="1751"/>
      <c r="EN378" s="1751"/>
      <c r="EO378" s="1751"/>
      <c r="EP378" s="1752"/>
      <c r="ER378" s="1750">
        <f t="shared" si="12"/>
        <v>0</v>
      </c>
      <c r="ES378" s="1751"/>
      <c r="ET378" s="1751"/>
      <c r="EU378" s="1751"/>
      <c r="EV378" s="1752"/>
      <c r="EX378" s="1750">
        <f>IF(BE378&gt;0,Einstrahlung!$K$18*Kalkulation!$P$62/100*$AY$29*POWER((100-$P$64)/100,BD378-1),0)</f>
        <v>0</v>
      </c>
      <c r="EY378" s="1751"/>
      <c r="EZ378" s="1751"/>
      <c r="FA378" s="1751"/>
      <c r="FB378" s="1752"/>
      <c r="FD378" s="1750">
        <f t="shared" si="27"/>
        <v>0</v>
      </c>
      <c r="FE378" s="1751"/>
      <c r="FF378" s="1751"/>
      <c r="FG378" s="1751"/>
      <c r="FH378" s="1752"/>
      <c r="FI378" s="385"/>
      <c r="FJ378" s="380">
        <f t="shared" si="40"/>
        <v>0</v>
      </c>
      <c r="FK378" s="385"/>
      <c r="FL378" s="380">
        <f>IF(BE378&gt;0,IF($FL$336&gt;SUM($EX$374:$FB$385),SUM($EX$374:FB389)/12,$FL$336/12),0)</f>
        <v>0</v>
      </c>
      <c r="FM378" s="385"/>
      <c r="FN378" s="380">
        <f t="shared" si="29"/>
        <v>0</v>
      </c>
      <c r="FO378" s="962">
        <f t="shared" si="37"/>
        <v>170</v>
      </c>
      <c r="FP378" s="956">
        <f t="shared" si="13"/>
        <v>0.4</v>
      </c>
      <c r="FQ378" s="380">
        <f t="shared" si="45"/>
        <v>0</v>
      </c>
      <c r="FR378" s="626">
        <f t="shared" si="65"/>
        <v>1</v>
      </c>
      <c r="FT378" s="1819">
        <f t="shared" si="38"/>
        <v>0</v>
      </c>
      <c r="FU378" s="1820"/>
      <c r="FV378" s="1820"/>
      <c r="FW378" s="1820"/>
      <c r="FX378" s="1821"/>
      <c r="FY378" s="1819">
        <f t="shared" si="30"/>
        <v>0</v>
      </c>
      <c r="FZ378" s="1820"/>
      <c r="GA378" s="1820"/>
      <c r="GB378" s="1821"/>
      <c r="GC378" s="1825">
        <f t="shared" si="54"/>
        <v>0</v>
      </c>
      <c r="GD378" s="1826"/>
      <c r="GE378" s="1826"/>
      <c r="GF378" s="1827"/>
      <c r="GH378" s="1750">
        <f t="shared" si="32"/>
        <v>0</v>
      </c>
      <c r="GI378" s="1751"/>
      <c r="GJ378" s="1751"/>
      <c r="GK378" s="1752"/>
      <c r="GL378" s="1750">
        <f t="shared" si="33"/>
        <v>0</v>
      </c>
      <c r="GM378" s="1751"/>
      <c r="GN378" s="1751"/>
      <c r="GO378" s="1752"/>
      <c r="GP378" s="385"/>
      <c r="GQ378" s="1750">
        <f t="shared" si="34"/>
        <v>0</v>
      </c>
      <c r="GR378" s="1751"/>
      <c r="GS378" s="1751"/>
      <c r="GT378" s="1752"/>
      <c r="GU378" s="192">
        <f t="shared" si="43"/>
        <v>1</v>
      </c>
      <c r="GV378" s="192">
        <f>SUM($GU$337:GU378)</f>
        <v>34</v>
      </c>
      <c r="GW378" s="318"/>
      <c r="GY378" s="380">
        <f t="shared" si="62"/>
        <v>0</v>
      </c>
      <c r="HX378" s="380"/>
    </row>
    <row r="379" spans="3:232" ht="12.75" customHeight="1">
      <c r="C379" s="1376"/>
      <c r="D379" s="313"/>
      <c r="E379" s="247"/>
      <c r="F379" s="247"/>
      <c r="G379" s="247"/>
      <c r="H379" s="247"/>
      <c r="I379" s="247"/>
      <c r="J379" s="247"/>
      <c r="K379" s="247"/>
      <c r="L379" s="247"/>
      <c r="M379" s="247"/>
      <c r="N379" s="247"/>
      <c r="O379" s="247"/>
      <c r="P379" s="247"/>
      <c r="Q379" s="247"/>
      <c r="R379" s="247"/>
      <c r="S379" s="247"/>
      <c r="T379" s="247"/>
      <c r="U379" s="247"/>
      <c r="V379" s="247"/>
      <c r="W379" s="247"/>
      <c r="X379" s="247"/>
      <c r="Y379" s="247"/>
      <c r="Z379" s="247"/>
      <c r="AA379" s="247"/>
      <c r="AB379" s="251"/>
      <c r="AD379" s="247"/>
      <c r="AE379" s="247"/>
      <c r="AF379" s="247"/>
      <c r="AG379" s="247"/>
      <c r="AH379" s="247"/>
      <c r="AI379" s="247"/>
      <c r="AJ379" s="247"/>
      <c r="AK379" s="247"/>
      <c r="AL379" s="247"/>
      <c r="AM379" s="247"/>
      <c r="AN379" s="247"/>
      <c r="AO379" s="314"/>
      <c r="BD379" s="387">
        <f t="shared" si="63"/>
        <v>3</v>
      </c>
      <c r="BE379" s="382">
        <f>IF(BD379&gt;0,42,0)</f>
        <v>42</v>
      </c>
      <c r="BG379" s="383">
        <f>IF($BE379&gt;$R$66-1+($BR$335*12),42,0)</f>
        <v>42</v>
      </c>
      <c r="BH379" s="1754">
        <f t="shared" si="16"/>
        <v>0</v>
      </c>
      <c r="BI379" s="1754"/>
      <c r="BJ379" s="1754"/>
      <c r="BK379" s="1754"/>
      <c r="BL379" s="1754">
        <f t="shared" si="17"/>
        <v>0</v>
      </c>
      <c r="BM379" s="1754"/>
      <c r="BN379" s="1754"/>
      <c r="BO379" s="1754">
        <f t="shared" si="3"/>
        <v>0</v>
      </c>
      <c r="BP379" s="1754"/>
      <c r="BQ379" s="1754"/>
      <c r="BR379" s="1754">
        <f t="shared" si="64"/>
        <v>0</v>
      </c>
      <c r="BS379" s="1754"/>
      <c r="BT379" s="1754"/>
      <c r="BU379" s="1754"/>
      <c r="BW379" s="383">
        <f>IF($BE379&gt;$R$66-1+($CH$335*12),42,0)</f>
        <v>42</v>
      </c>
      <c r="BX379" s="1754">
        <f t="shared" si="35"/>
        <v>0</v>
      </c>
      <c r="BY379" s="1754"/>
      <c r="BZ379" s="1754"/>
      <c r="CA379" s="1754"/>
      <c r="CB379" s="1754">
        <f t="shared" si="18"/>
        <v>0</v>
      </c>
      <c r="CC379" s="1754"/>
      <c r="CD379" s="1754"/>
      <c r="CE379" s="1754">
        <f t="shared" si="5"/>
        <v>0</v>
      </c>
      <c r="CF379" s="1754"/>
      <c r="CG379" s="1754"/>
      <c r="CH379" s="1754">
        <f t="shared" si="6"/>
        <v>0</v>
      </c>
      <c r="CI379" s="1754"/>
      <c r="CJ379" s="1754"/>
      <c r="CK379" s="1754"/>
      <c r="CM379" s="383">
        <f>IF($BE379&gt;$R$66-1+($CX$335*12),42,0)</f>
        <v>42</v>
      </c>
      <c r="CN379" s="1754">
        <f t="shared" si="19"/>
        <v>0</v>
      </c>
      <c r="CO379" s="1754"/>
      <c r="CP379" s="1754"/>
      <c r="CQ379" s="1754"/>
      <c r="CR379" s="1754">
        <f t="shared" si="20"/>
        <v>0</v>
      </c>
      <c r="CS379" s="1754"/>
      <c r="CT379" s="1754"/>
      <c r="CU379" s="1754">
        <f t="shared" si="7"/>
        <v>0</v>
      </c>
      <c r="CV379" s="1754"/>
      <c r="CW379" s="1754"/>
      <c r="CX379" s="1754">
        <f t="shared" si="8"/>
        <v>0</v>
      </c>
      <c r="CY379" s="1754"/>
      <c r="CZ379" s="1754"/>
      <c r="DA379" s="1754"/>
      <c r="DC379" s="383">
        <f>IF($BE379&gt;$R$66-1,42,0)</f>
        <v>42</v>
      </c>
      <c r="DD379" s="1754">
        <f t="shared" si="41"/>
        <v>0</v>
      </c>
      <c r="DE379" s="1754"/>
      <c r="DF379" s="1754"/>
      <c r="DG379" s="1754"/>
      <c r="DH379" s="1754">
        <f t="shared" si="21"/>
        <v>0</v>
      </c>
      <c r="DI379" s="1754"/>
      <c r="DJ379" s="1754"/>
      <c r="DK379" s="1754">
        <f t="shared" si="9"/>
        <v>0</v>
      </c>
      <c r="DL379" s="1754"/>
      <c r="DM379" s="1754"/>
      <c r="DN379" s="1754"/>
      <c r="DP379" s="383">
        <f t="shared" si="22"/>
        <v>42</v>
      </c>
      <c r="DQ379" s="1754">
        <f t="shared" si="23"/>
        <v>0</v>
      </c>
      <c r="DR379" s="1754"/>
      <c r="DS379" s="1754"/>
      <c r="DT379" s="1754"/>
      <c r="DU379" s="1754">
        <f t="shared" si="44"/>
        <v>0</v>
      </c>
      <c r="DV379" s="1754"/>
      <c r="DW379" s="1754"/>
      <c r="DX379" s="1754">
        <f t="shared" si="49"/>
        <v>0</v>
      </c>
      <c r="DY379" s="1754"/>
      <c r="DZ379" s="1754"/>
      <c r="EA379" s="1754">
        <f t="shared" si="50"/>
        <v>0</v>
      </c>
      <c r="EB379" s="1754"/>
      <c r="EC379" s="1754"/>
      <c r="ED379" s="1754"/>
      <c r="EE379" s="384"/>
      <c r="EF379" s="1750">
        <f t="shared" si="11"/>
        <v>0</v>
      </c>
      <c r="EG379" s="1751"/>
      <c r="EH379" s="1751"/>
      <c r="EI379" s="1751"/>
      <c r="EJ379" s="1752"/>
      <c r="EL379" s="1750">
        <f t="shared" si="55"/>
        <v>0</v>
      </c>
      <c r="EM379" s="1751"/>
      <c r="EN379" s="1751"/>
      <c r="EO379" s="1751"/>
      <c r="EP379" s="1752"/>
      <c r="ER379" s="1750">
        <f t="shared" si="12"/>
        <v>0</v>
      </c>
      <c r="ES379" s="1751"/>
      <c r="ET379" s="1751"/>
      <c r="EU379" s="1751"/>
      <c r="EV379" s="1752"/>
      <c r="EX379" s="1750">
        <f>IF(BE379&gt;0,Einstrahlung!$K$20*Kalkulation!$P$62/100*$AY$29*POWER((100-$P$64)/100,BD379-1),0)</f>
        <v>0</v>
      </c>
      <c r="EY379" s="1751"/>
      <c r="EZ379" s="1751"/>
      <c r="FA379" s="1751"/>
      <c r="FB379" s="1752"/>
      <c r="FD379" s="1750">
        <f t="shared" si="27"/>
        <v>0</v>
      </c>
      <c r="FE379" s="1751"/>
      <c r="FF379" s="1751"/>
      <c r="FG379" s="1751"/>
      <c r="FH379" s="1752"/>
      <c r="FI379" s="385"/>
      <c r="FJ379" s="380">
        <f t="shared" si="40"/>
        <v>0</v>
      </c>
      <c r="FK379" s="385"/>
      <c r="FL379" s="380">
        <f>IF(BE379&gt;0,IF($FL$336&gt;SUM($EX$374:$FB$385),SUM($EX$374:FB390)/12,$FL$336/12),0)</f>
        <v>0</v>
      </c>
      <c r="FM379" s="385"/>
      <c r="FN379" s="380">
        <f t="shared" si="29"/>
        <v>0</v>
      </c>
      <c r="FO379" s="962">
        <f t="shared" si="37"/>
        <v>171</v>
      </c>
      <c r="FP379" s="956">
        <f t="shared" si="13"/>
        <v>0.4</v>
      </c>
      <c r="FQ379" s="380">
        <f t="shared" si="45"/>
        <v>0</v>
      </c>
      <c r="FR379" s="626">
        <f t="shared" si="65"/>
        <v>1</v>
      </c>
      <c r="FT379" s="1819">
        <f t="shared" si="38"/>
        <v>0</v>
      </c>
      <c r="FU379" s="1820"/>
      <c r="FV379" s="1820"/>
      <c r="FW379" s="1820"/>
      <c r="FX379" s="1821"/>
      <c r="FY379" s="1819">
        <f t="shared" si="30"/>
        <v>0</v>
      </c>
      <c r="FZ379" s="1820"/>
      <c r="GA379" s="1820"/>
      <c r="GB379" s="1821"/>
      <c r="GC379" s="1825">
        <f t="shared" si="54"/>
        <v>0</v>
      </c>
      <c r="GD379" s="1826"/>
      <c r="GE379" s="1826"/>
      <c r="GF379" s="1827"/>
      <c r="GH379" s="1750">
        <f t="shared" si="32"/>
        <v>0</v>
      </c>
      <c r="GI379" s="1751"/>
      <c r="GJ379" s="1751"/>
      <c r="GK379" s="1752"/>
      <c r="GL379" s="1750">
        <f t="shared" si="33"/>
        <v>0</v>
      </c>
      <c r="GM379" s="1751"/>
      <c r="GN379" s="1751"/>
      <c r="GO379" s="1752"/>
      <c r="GP379" s="385"/>
      <c r="GQ379" s="1750">
        <f t="shared" si="34"/>
        <v>0</v>
      </c>
      <c r="GR379" s="1751"/>
      <c r="GS379" s="1751"/>
      <c r="GT379" s="1752"/>
      <c r="GU379" s="192">
        <f t="shared" si="43"/>
        <v>1</v>
      </c>
      <c r="GV379" s="192">
        <f>SUM($GU$337:GU379)</f>
        <v>35</v>
      </c>
      <c r="GW379" s="318"/>
      <c r="GY379" s="380">
        <f t="shared" si="62"/>
        <v>0</v>
      </c>
      <c r="HX379" s="380"/>
    </row>
    <row r="380" spans="3:232" ht="12.75" customHeight="1">
      <c r="C380" s="1377"/>
      <c r="D380" s="313"/>
      <c r="E380" s="247"/>
      <c r="F380" s="247"/>
      <c r="G380" s="247"/>
      <c r="H380" s="247"/>
      <c r="I380" s="247"/>
      <c r="J380" s="247"/>
      <c r="K380" s="247"/>
      <c r="L380" s="247"/>
      <c r="M380" s="247"/>
      <c r="N380" s="247"/>
      <c r="O380" s="247"/>
      <c r="P380" s="247"/>
      <c r="Q380" s="247"/>
      <c r="R380" s="247"/>
      <c r="S380" s="247"/>
      <c r="T380" s="247"/>
      <c r="U380" s="247"/>
      <c r="V380" s="247"/>
      <c r="W380" s="247"/>
      <c r="X380" s="247"/>
      <c r="Y380" s="247"/>
      <c r="Z380" s="247"/>
      <c r="AA380" s="247"/>
      <c r="AB380" s="251"/>
      <c r="AD380" s="247"/>
      <c r="AE380" s="247"/>
      <c r="AF380" s="247"/>
      <c r="AG380" s="247"/>
      <c r="AH380" s="247"/>
      <c r="AI380" s="247"/>
      <c r="AJ380" s="247"/>
      <c r="AK380" s="247"/>
      <c r="AL380" s="247"/>
      <c r="AM380" s="247"/>
      <c r="AN380" s="247"/>
      <c r="AO380" s="314"/>
      <c r="BD380" s="387">
        <f t="shared" si="63"/>
        <v>3</v>
      </c>
      <c r="BE380" s="382">
        <f>IF(BD380&gt;0,43,0)</f>
        <v>43</v>
      </c>
      <c r="BG380" s="383">
        <f>IF($BE380&gt;$R$66-1+($BR$335*12),43,0)</f>
        <v>43</v>
      </c>
      <c r="BH380" s="1754">
        <f t="shared" si="16"/>
        <v>0</v>
      </c>
      <c r="BI380" s="1754"/>
      <c r="BJ380" s="1754"/>
      <c r="BK380" s="1754"/>
      <c r="BL380" s="1754">
        <f t="shared" si="17"/>
        <v>0</v>
      </c>
      <c r="BM380" s="1754"/>
      <c r="BN380" s="1754"/>
      <c r="BO380" s="1754">
        <f t="shared" si="3"/>
        <v>0</v>
      </c>
      <c r="BP380" s="1754"/>
      <c r="BQ380" s="1754"/>
      <c r="BR380" s="1754">
        <f t="shared" si="64"/>
        <v>0</v>
      </c>
      <c r="BS380" s="1754"/>
      <c r="BT380" s="1754"/>
      <c r="BU380" s="1754"/>
      <c r="BW380" s="383">
        <f>IF($BE380&gt;$R$66-1+($CH$335*12),43,0)</f>
        <v>43</v>
      </c>
      <c r="BX380" s="1754">
        <f t="shared" si="35"/>
        <v>0</v>
      </c>
      <c r="BY380" s="1754"/>
      <c r="BZ380" s="1754"/>
      <c r="CA380" s="1754"/>
      <c r="CB380" s="1754">
        <f t="shared" si="18"/>
        <v>0</v>
      </c>
      <c r="CC380" s="1754"/>
      <c r="CD380" s="1754"/>
      <c r="CE380" s="1754">
        <f t="shared" si="5"/>
        <v>0</v>
      </c>
      <c r="CF380" s="1754"/>
      <c r="CG380" s="1754"/>
      <c r="CH380" s="1754">
        <f t="shared" si="6"/>
        <v>0</v>
      </c>
      <c r="CI380" s="1754"/>
      <c r="CJ380" s="1754"/>
      <c r="CK380" s="1754"/>
      <c r="CM380" s="383">
        <f>IF($BE380&gt;$R$66-1+($CX$335*12),43,0)</f>
        <v>43</v>
      </c>
      <c r="CN380" s="1754">
        <f t="shared" si="19"/>
        <v>0</v>
      </c>
      <c r="CO380" s="1754"/>
      <c r="CP380" s="1754"/>
      <c r="CQ380" s="1754"/>
      <c r="CR380" s="1754">
        <f t="shared" si="20"/>
        <v>0</v>
      </c>
      <c r="CS380" s="1754"/>
      <c r="CT380" s="1754"/>
      <c r="CU380" s="1754">
        <f t="shared" si="7"/>
        <v>0</v>
      </c>
      <c r="CV380" s="1754"/>
      <c r="CW380" s="1754"/>
      <c r="CX380" s="1754">
        <f t="shared" si="8"/>
        <v>0</v>
      </c>
      <c r="CY380" s="1754"/>
      <c r="CZ380" s="1754"/>
      <c r="DA380" s="1754"/>
      <c r="DC380" s="383">
        <f>IF($BE380&gt;$R$66-1,43,0)</f>
        <v>43</v>
      </c>
      <c r="DD380" s="1754">
        <f t="shared" si="41"/>
        <v>0</v>
      </c>
      <c r="DE380" s="1754"/>
      <c r="DF380" s="1754"/>
      <c r="DG380" s="1754"/>
      <c r="DH380" s="1754">
        <f t="shared" si="21"/>
        <v>0</v>
      </c>
      <c r="DI380" s="1754"/>
      <c r="DJ380" s="1754"/>
      <c r="DK380" s="1754">
        <f t="shared" si="9"/>
        <v>0</v>
      </c>
      <c r="DL380" s="1754"/>
      <c r="DM380" s="1754"/>
      <c r="DN380" s="1754"/>
      <c r="DP380" s="383">
        <f t="shared" si="22"/>
        <v>43</v>
      </c>
      <c r="DQ380" s="1754">
        <f t="shared" si="23"/>
        <v>0</v>
      </c>
      <c r="DR380" s="1754"/>
      <c r="DS380" s="1754"/>
      <c r="DT380" s="1754"/>
      <c r="DU380" s="1754">
        <f t="shared" si="44"/>
        <v>0</v>
      </c>
      <c r="DV380" s="1754"/>
      <c r="DW380" s="1754"/>
      <c r="DX380" s="1754">
        <f t="shared" si="49"/>
        <v>0</v>
      </c>
      <c r="DY380" s="1754"/>
      <c r="DZ380" s="1754"/>
      <c r="EA380" s="1754">
        <f t="shared" si="50"/>
        <v>0</v>
      </c>
      <c r="EB380" s="1754"/>
      <c r="EC380" s="1754"/>
      <c r="ED380" s="1754"/>
      <c r="EE380" s="384"/>
      <c r="EF380" s="1750">
        <f t="shared" si="11"/>
        <v>0</v>
      </c>
      <c r="EG380" s="1751"/>
      <c r="EH380" s="1751"/>
      <c r="EI380" s="1751"/>
      <c r="EJ380" s="1752"/>
      <c r="EL380" s="1750">
        <f t="shared" si="55"/>
        <v>0</v>
      </c>
      <c r="EM380" s="1751"/>
      <c r="EN380" s="1751"/>
      <c r="EO380" s="1751"/>
      <c r="EP380" s="1752"/>
      <c r="ER380" s="1750">
        <f t="shared" si="12"/>
        <v>0</v>
      </c>
      <c r="ES380" s="1751"/>
      <c r="ET380" s="1751"/>
      <c r="EU380" s="1751"/>
      <c r="EV380" s="1752"/>
      <c r="EX380" s="1750">
        <f>IF(BE380&gt;0,Einstrahlung!$K$22*Kalkulation!$P$62/100*$AY$29*POWER((100-$P$64)/100,BD380-1),0)</f>
        <v>0</v>
      </c>
      <c r="EY380" s="1751"/>
      <c r="EZ380" s="1751"/>
      <c r="FA380" s="1751"/>
      <c r="FB380" s="1752"/>
      <c r="FD380" s="1750">
        <f t="shared" si="27"/>
        <v>0</v>
      </c>
      <c r="FE380" s="1751"/>
      <c r="FF380" s="1751"/>
      <c r="FG380" s="1751"/>
      <c r="FH380" s="1752"/>
      <c r="FI380" s="385"/>
      <c r="FJ380" s="380">
        <f t="shared" si="40"/>
        <v>0</v>
      </c>
      <c r="FK380" s="385"/>
      <c r="FL380" s="380">
        <f>IF(BE380&gt;0,IF($FL$336&gt;SUM($EX$374:$FB$385),SUM($EX$374:FB391)/12,$FL$336/12),0)</f>
        <v>0</v>
      </c>
      <c r="FM380" s="385"/>
      <c r="FN380" s="380">
        <f t="shared" si="29"/>
        <v>0</v>
      </c>
      <c r="FO380" s="962">
        <f t="shared" si="37"/>
        <v>172</v>
      </c>
      <c r="FP380" s="956">
        <f t="shared" si="13"/>
        <v>0.4</v>
      </c>
      <c r="FQ380" s="380">
        <f t="shared" si="45"/>
        <v>0</v>
      </c>
      <c r="FR380" s="626">
        <f t="shared" si="65"/>
        <v>1</v>
      </c>
      <c r="FT380" s="1819">
        <f t="shared" si="38"/>
        <v>0</v>
      </c>
      <c r="FU380" s="1820"/>
      <c r="FV380" s="1820"/>
      <c r="FW380" s="1820"/>
      <c r="FX380" s="1821"/>
      <c r="FY380" s="1819">
        <f t="shared" si="30"/>
        <v>0</v>
      </c>
      <c r="FZ380" s="1820"/>
      <c r="GA380" s="1820"/>
      <c r="GB380" s="1821"/>
      <c r="GC380" s="1825">
        <f t="shared" si="54"/>
        <v>0</v>
      </c>
      <c r="GD380" s="1826"/>
      <c r="GE380" s="1826"/>
      <c r="GF380" s="1827"/>
      <c r="GH380" s="1750">
        <f t="shared" si="32"/>
        <v>0</v>
      </c>
      <c r="GI380" s="1751"/>
      <c r="GJ380" s="1751"/>
      <c r="GK380" s="1752"/>
      <c r="GL380" s="1750">
        <f t="shared" si="33"/>
        <v>0</v>
      </c>
      <c r="GM380" s="1751"/>
      <c r="GN380" s="1751"/>
      <c r="GO380" s="1752"/>
      <c r="GP380" s="385"/>
      <c r="GQ380" s="1750">
        <f t="shared" si="34"/>
        <v>0</v>
      </c>
      <c r="GR380" s="1751"/>
      <c r="GS380" s="1751"/>
      <c r="GT380" s="1752"/>
      <c r="GU380" s="192">
        <f t="shared" si="43"/>
        <v>1</v>
      </c>
      <c r="GV380" s="192">
        <f>SUM($GU$337:GU380)</f>
        <v>36</v>
      </c>
      <c r="GW380" s="318"/>
      <c r="GY380" s="380">
        <f t="shared" si="62"/>
        <v>0</v>
      </c>
      <c r="HX380" s="380"/>
    </row>
    <row r="381" spans="3:232" ht="12.75" customHeight="1">
      <c r="D381" s="313"/>
      <c r="E381" s="247"/>
      <c r="F381" s="247"/>
      <c r="G381" s="247"/>
      <c r="H381" s="247"/>
      <c r="I381" s="247"/>
      <c r="J381" s="247"/>
      <c r="K381" s="247"/>
      <c r="L381" s="247"/>
      <c r="M381" s="247"/>
      <c r="N381" s="247"/>
      <c r="O381" s="247"/>
      <c r="P381" s="247"/>
      <c r="Q381" s="247"/>
      <c r="R381" s="247"/>
      <c r="S381" s="247"/>
      <c r="T381" s="247"/>
      <c r="U381" s="247"/>
      <c r="V381" s="247"/>
      <c r="W381" s="247"/>
      <c r="X381" s="247"/>
      <c r="Y381" s="247"/>
      <c r="Z381" s="247"/>
      <c r="AA381" s="247"/>
      <c r="AB381" s="251"/>
      <c r="AD381" s="247"/>
      <c r="AE381" s="247"/>
      <c r="AF381" s="247"/>
      <c r="AG381" s="247"/>
      <c r="AH381" s="247"/>
      <c r="AI381" s="247"/>
      <c r="AJ381" s="247"/>
      <c r="AK381" s="247"/>
      <c r="AL381" s="247"/>
      <c r="AM381" s="247"/>
      <c r="AN381" s="247"/>
      <c r="AO381" s="314"/>
      <c r="BD381" s="387">
        <f t="shared" si="63"/>
        <v>3</v>
      </c>
      <c r="BE381" s="382">
        <f>IF(BD381&gt;0,44,0)</f>
        <v>44</v>
      </c>
      <c r="BG381" s="383">
        <f>IF($BE381&gt;$R$66-1+($BR$335*12),44,0)</f>
        <v>44</v>
      </c>
      <c r="BH381" s="1754">
        <f t="shared" si="16"/>
        <v>0</v>
      </c>
      <c r="BI381" s="1754"/>
      <c r="BJ381" s="1754"/>
      <c r="BK381" s="1754"/>
      <c r="BL381" s="1754">
        <f t="shared" si="17"/>
        <v>0</v>
      </c>
      <c r="BM381" s="1754"/>
      <c r="BN381" s="1754"/>
      <c r="BO381" s="1754">
        <f t="shared" si="3"/>
        <v>0</v>
      </c>
      <c r="BP381" s="1754"/>
      <c r="BQ381" s="1754"/>
      <c r="BR381" s="1754">
        <f t="shared" si="64"/>
        <v>0</v>
      </c>
      <c r="BS381" s="1754"/>
      <c r="BT381" s="1754"/>
      <c r="BU381" s="1754"/>
      <c r="BW381" s="383">
        <f>IF($BE381&gt;$R$66-1+($CH$335*12),44,0)</f>
        <v>44</v>
      </c>
      <c r="BX381" s="1754">
        <f t="shared" si="35"/>
        <v>0</v>
      </c>
      <c r="BY381" s="1754"/>
      <c r="BZ381" s="1754"/>
      <c r="CA381" s="1754"/>
      <c r="CB381" s="1754">
        <f t="shared" si="18"/>
        <v>0</v>
      </c>
      <c r="CC381" s="1754"/>
      <c r="CD381" s="1754"/>
      <c r="CE381" s="1754">
        <f t="shared" si="5"/>
        <v>0</v>
      </c>
      <c r="CF381" s="1754"/>
      <c r="CG381" s="1754"/>
      <c r="CH381" s="1754">
        <f t="shared" si="6"/>
        <v>0</v>
      </c>
      <c r="CI381" s="1754"/>
      <c r="CJ381" s="1754"/>
      <c r="CK381" s="1754"/>
      <c r="CM381" s="383">
        <f>IF($BE381&gt;$R$66-1+($CX$335*12),44,0)</f>
        <v>44</v>
      </c>
      <c r="CN381" s="1754">
        <f t="shared" si="19"/>
        <v>0</v>
      </c>
      <c r="CO381" s="1754"/>
      <c r="CP381" s="1754"/>
      <c r="CQ381" s="1754"/>
      <c r="CR381" s="1754">
        <f t="shared" si="20"/>
        <v>0</v>
      </c>
      <c r="CS381" s="1754"/>
      <c r="CT381" s="1754"/>
      <c r="CU381" s="1754">
        <f t="shared" si="7"/>
        <v>0</v>
      </c>
      <c r="CV381" s="1754"/>
      <c r="CW381" s="1754"/>
      <c r="CX381" s="1754">
        <f t="shared" si="8"/>
        <v>0</v>
      </c>
      <c r="CY381" s="1754"/>
      <c r="CZ381" s="1754"/>
      <c r="DA381" s="1754"/>
      <c r="DC381" s="383">
        <f>IF($BE381&gt;$R$66-1,44,0)</f>
        <v>44</v>
      </c>
      <c r="DD381" s="1754">
        <f t="shared" si="41"/>
        <v>0</v>
      </c>
      <c r="DE381" s="1754"/>
      <c r="DF381" s="1754"/>
      <c r="DG381" s="1754"/>
      <c r="DH381" s="1754">
        <f t="shared" si="21"/>
        <v>0</v>
      </c>
      <c r="DI381" s="1754"/>
      <c r="DJ381" s="1754"/>
      <c r="DK381" s="1754">
        <f t="shared" si="9"/>
        <v>0</v>
      </c>
      <c r="DL381" s="1754"/>
      <c r="DM381" s="1754"/>
      <c r="DN381" s="1754"/>
      <c r="DP381" s="383">
        <f t="shared" si="22"/>
        <v>44</v>
      </c>
      <c r="DQ381" s="1754">
        <f t="shared" si="23"/>
        <v>0</v>
      </c>
      <c r="DR381" s="1754"/>
      <c r="DS381" s="1754"/>
      <c r="DT381" s="1754"/>
      <c r="DU381" s="1754">
        <f t="shared" si="44"/>
        <v>0</v>
      </c>
      <c r="DV381" s="1754"/>
      <c r="DW381" s="1754"/>
      <c r="DX381" s="1754">
        <f t="shared" si="49"/>
        <v>0</v>
      </c>
      <c r="DY381" s="1754"/>
      <c r="DZ381" s="1754"/>
      <c r="EA381" s="1754">
        <f t="shared" si="50"/>
        <v>0</v>
      </c>
      <c r="EB381" s="1754"/>
      <c r="EC381" s="1754"/>
      <c r="ED381" s="1754"/>
      <c r="EE381" s="384"/>
      <c r="EF381" s="1750">
        <f t="shared" si="11"/>
        <v>0</v>
      </c>
      <c r="EG381" s="1751"/>
      <c r="EH381" s="1751"/>
      <c r="EI381" s="1751"/>
      <c r="EJ381" s="1752"/>
      <c r="EL381" s="1750">
        <f t="shared" si="55"/>
        <v>0</v>
      </c>
      <c r="EM381" s="1751"/>
      <c r="EN381" s="1751"/>
      <c r="EO381" s="1751"/>
      <c r="EP381" s="1752"/>
      <c r="ER381" s="1750">
        <f t="shared" si="12"/>
        <v>0</v>
      </c>
      <c r="ES381" s="1751"/>
      <c r="ET381" s="1751"/>
      <c r="EU381" s="1751"/>
      <c r="EV381" s="1752"/>
      <c r="EX381" s="1750">
        <f>IF(BE381&gt;0,Einstrahlung!$K$24*Kalkulation!$P$62/100*$AY$29*POWER((100-$P$64)/100,BD381-1),0)</f>
        <v>0</v>
      </c>
      <c r="EY381" s="1751"/>
      <c r="EZ381" s="1751"/>
      <c r="FA381" s="1751"/>
      <c r="FB381" s="1752"/>
      <c r="FD381" s="1750">
        <f t="shared" si="27"/>
        <v>0</v>
      </c>
      <c r="FE381" s="1751"/>
      <c r="FF381" s="1751"/>
      <c r="FG381" s="1751"/>
      <c r="FH381" s="1752"/>
      <c r="FI381" s="385"/>
      <c r="FJ381" s="380">
        <f t="shared" si="40"/>
        <v>0</v>
      </c>
      <c r="FK381" s="385"/>
      <c r="FL381" s="380">
        <f>IF(BE381&gt;0,IF($FL$336&gt;SUM($EX$374:$FB$385),SUM($EX$374:FB392)/12,$FL$336/12),0)</f>
        <v>0</v>
      </c>
      <c r="FM381" s="385"/>
      <c r="FN381" s="380">
        <f t="shared" si="29"/>
        <v>0</v>
      </c>
      <c r="FO381" s="962">
        <f t="shared" si="37"/>
        <v>173</v>
      </c>
      <c r="FP381" s="956">
        <f t="shared" si="13"/>
        <v>0.4</v>
      </c>
      <c r="FQ381" s="380">
        <f t="shared" si="45"/>
        <v>0</v>
      </c>
      <c r="FR381" s="626">
        <f t="shared" si="65"/>
        <v>1</v>
      </c>
      <c r="FT381" s="1819">
        <f t="shared" si="38"/>
        <v>0</v>
      </c>
      <c r="FU381" s="1820"/>
      <c r="FV381" s="1820"/>
      <c r="FW381" s="1820"/>
      <c r="FX381" s="1821"/>
      <c r="FY381" s="1819">
        <f t="shared" si="30"/>
        <v>0</v>
      </c>
      <c r="FZ381" s="1820"/>
      <c r="GA381" s="1820"/>
      <c r="GB381" s="1821"/>
      <c r="GC381" s="1825">
        <f t="shared" si="54"/>
        <v>0</v>
      </c>
      <c r="GD381" s="1826"/>
      <c r="GE381" s="1826"/>
      <c r="GF381" s="1827"/>
      <c r="GH381" s="1750">
        <f t="shared" si="32"/>
        <v>0</v>
      </c>
      <c r="GI381" s="1751"/>
      <c r="GJ381" s="1751"/>
      <c r="GK381" s="1752"/>
      <c r="GL381" s="1750">
        <f t="shared" si="33"/>
        <v>0</v>
      </c>
      <c r="GM381" s="1751"/>
      <c r="GN381" s="1751"/>
      <c r="GO381" s="1752"/>
      <c r="GP381" s="385"/>
      <c r="GQ381" s="1750">
        <f t="shared" si="34"/>
        <v>0</v>
      </c>
      <c r="GR381" s="1751"/>
      <c r="GS381" s="1751"/>
      <c r="GT381" s="1752"/>
      <c r="GU381" s="192">
        <f t="shared" si="43"/>
        <v>1</v>
      </c>
      <c r="GV381" s="192">
        <f>SUM($GU$337:GU381)</f>
        <v>37</v>
      </c>
      <c r="GW381" s="318"/>
      <c r="GY381" s="380">
        <f t="shared" si="62"/>
        <v>0</v>
      </c>
      <c r="HX381" s="380"/>
    </row>
    <row r="382" spans="3:232" ht="12.75" customHeight="1">
      <c r="D382" s="313"/>
      <c r="E382" s="247"/>
      <c r="F382" s="247"/>
      <c r="G382" s="247"/>
      <c r="H382" s="247"/>
      <c r="I382" s="247"/>
      <c r="J382" s="247"/>
      <c r="K382" s="247"/>
      <c r="L382" s="247"/>
      <c r="M382" s="247"/>
      <c r="N382" s="247"/>
      <c r="O382" s="247"/>
      <c r="P382" s="247"/>
      <c r="Q382" s="247"/>
      <c r="R382" s="247"/>
      <c r="S382" s="247"/>
      <c r="T382" s="247"/>
      <c r="U382" s="247"/>
      <c r="V382" s="247"/>
      <c r="W382" s="247"/>
      <c r="X382" s="247"/>
      <c r="Y382" s="247"/>
      <c r="Z382" s="247"/>
      <c r="AA382" s="247"/>
      <c r="AB382" s="251"/>
      <c r="AD382" s="247"/>
      <c r="AE382" s="247"/>
      <c r="AF382" s="247"/>
      <c r="AG382" s="247"/>
      <c r="AH382" s="247"/>
      <c r="AI382" s="247"/>
      <c r="AJ382" s="247"/>
      <c r="AK382" s="247"/>
      <c r="AL382" s="247"/>
      <c r="AM382" s="247"/>
      <c r="AN382" s="247"/>
      <c r="AO382" s="314"/>
      <c r="BD382" s="387">
        <f t="shared" si="63"/>
        <v>3</v>
      </c>
      <c r="BE382" s="382">
        <f>IF(BD382&gt;0,45,0)</f>
        <v>45</v>
      </c>
      <c r="BG382" s="383">
        <f>IF($BE382&gt;$R$66-1+($BR$335*12),45,0)</f>
        <v>45</v>
      </c>
      <c r="BH382" s="1754">
        <f t="shared" si="16"/>
        <v>0</v>
      </c>
      <c r="BI382" s="1754"/>
      <c r="BJ382" s="1754"/>
      <c r="BK382" s="1754"/>
      <c r="BL382" s="1754">
        <f t="shared" si="17"/>
        <v>0</v>
      </c>
      <c r="BM382" s="1754"/>
      <c r="BN382" s="1754"/>
      <c r="BO382" s="1754">
        <f t="shared" si="3"/>
        <v>0</v>
      </c>
      <c r="BP382" s="1754"/>
      <c r="BQ382" s="1754"/>
      <c r="BR382" s="1754">
        <f t="shared" si="64"/>
        <v>0</v>
      </c>
      <c r="BS382" s="1754"/>
      <c r="BT382" s="1754"/>
      <c r="BU382" s="1754"/>
      <c r="BW382" s="383">
        <f>IF($BE382&gt;$R$66-1+($CH$335*12),45,0)</f>
        <v>45</v>
      </c>
      <c r="BX382" s="1754">
        <f t="shared" si="35"/>
        <v>0</v>
      </c>
      <c r="BY382" s="1754"/>
      <c r="BZ382" s="1754"/>
      <c r="CA382" s="1754"/>
      <c r="CB382" s="1754">
        <f t="shared" si="18"/>
        <v>0</v>
      </c>
      <c r="CC382" s="1754"/>
      <c r="CD382" s="1754"/>
      <c r="CE382" s="1754">
        <f t="shared" si="5"/>
        <v>0</v>
      </c>
      <c r="CF382" s="1754"/>
      <c r="CG382" s="1754"/>
      <c r="CH382" s="1754">
        <f t="shared" si="6"/>
        <v>0</v>
      </c>
      <c r="CI382" s="1754"/>
      <c r="CJ382" s="1754"/>
      <c r="CK382" s="1754"/>
      <c r="CM382" s="383">
        <f>IF($BE382&gt;$R$66-1+($CX$335*12),45,0)</f>
        <v>45</v>
      </c>
      <c r="CN382" s="1754">
        <f t="shared" si="19"/>
        <v>0</v>
      </c>
      <c r="CO382" s="1754"/>
      <c r="CP382" s="1754"/>
      <c r="CQ382" s="1754"/>
      <c r="CR382" s="1754">
        <f t="shared" si="20"/>
        <v>0</v>
      </c>
      <c r="CS382" s="1754"/>
      <c r="CT382" s="1754"/>
      <c r="CU382" s="1754">
        <f t="shared" si="7"/>
        <v>0</v>
      </c>
      <c r="CV382" s="1754"/>
      <c r="CW382" s="1754"/>
      <c r="CX382" s="1754">
        <f t="shared" si="8"/>
        <v>0</v>
      </c>
      <c r="CY382" s="1754"/>
      <c r="CZ382" s="1754"/>
      <c r="DA382" s="1754"/>
      <c r="DC382" s="383">
        <f>IF($BE382&gt;$R$66-1,45,0)</f>
        <v>45</v>
      </c>
      <c r="DD382" s="1754">
        <f t="shared" si="41"/>
        <v>0</v>
      </c>
      <c r="DE382" s="1754"/>
      <c r="DF382" s="1754"/>
      <c r="DG382" s="1754"/>
      <c r="DH382" s="1754">
        <f t="shared" si="21"/>
        <v>0</v>
      </c>
      <c r="DI382" s="1754"/>
      <c r="DJ382" s="1754"/>
      <c r="DK382" s="1754">
        <f t="shared" si="9"/>
        <v>0</v>
      </c>
      <c r="DL382" s="1754"/>
      <c r="DM382" s="1754"/>
      <c r="DN382" s="1754"/>
      <c r="DP382" s="383">
        <f t="shared" si="22"/>
        <v>45</v>
      </c>
      <c r="DQ382" s="1754">
        <f t="shared" si="23"/>
        <v>0</v>
      </c>
      <c r="DR382" s="1754"/>
      <c r="DS382" s="1754"/>
      <c r="DT382" s="1754"/>
      <c r="DU382" s="1754">
        <f t="shared" si="44"/>
        <v>0</v>
      </c>
      <c r="DV382" s="1754"/>
      <c r="DW382" s="1754"/>
      <c r="DX382" s="1754">
        <f t="shared" si="49"/>
        <v>0</v>
      </c>
      <c r="DY382" s="1754"/>
      <c r="DZ382" s="1754"/>
      <c r="EA382" s="1754">
        <f t="shared" si="50"/>
        <v>0</v>
      </c>
      <c r="EB382" s="1754"/>
      <c r="EC382" s="1754"/>
      <c r="ED382" s="1754"/>
      <c r="EE382" s="384"/>
      <c r="EF382" s="1750">
        <f t="shared" si="11"/>
        <v>0</v>
      </c>
      <c r="EG382" s="1751"/>
      <c r="EH382" s="1751"/>
      <c r="EI382" s="1751"/>
      <c r="EJ382" s="1752"/>
      <c r="EL382" s="1750">
        <f t="shared" si="55"/>
        <v>0</v>
      </c>
      <c r="EM382" s="1751"/>
      <c r="EN382" s="1751"/>
      <c r="EO382" s="1751"/>
      <c r="EP382" s="1752"/>
      <c r="ER382" s="1750">
        <f t="shared" si="12"/>
        <v>0</v>
      </c>
      <c r="ES382" s="1751"/>
      <c r="ET382" s="1751"/>
      <c r="EU382" s="1751"/>
      <c r="EV382" s="1752"/>
      <c r="EX382" s="1750">
        <f>IF(BE382&gt;0,Einstrahlung!$K$26*Kalkulation!$P$62/100*$AY$29*POWER((100-$P$64)/100,BD382-1),0)</f>
        <v>0</v>
      </c>
      <c r="EY382" s="1751"/>
      <c r="EZ382" s="1751"/>
      <c r="FA382" s="1751"/>
      <c r="FB382" s="1752"/>
      <c r="FD382" s="1750">
        <f t="shared" si="27"/>
        <v>0</v>
      </c>
      <c r="FE382" s="1751"/>
      <c r="FF382" s="1751"/>
      <c r="FG382" s="1751"/>
      <c r="FH382" s="1752"/>
      <c r="FI382" s="385"/>
      <c r="FJ382" s="380">
        <f t="shared" si="40"/>
        <v>0</v>
      </c>
      <c r="FK382" s="385"/>
      <c r="FL382" s="380">
        <f>IF(BE382&gt;0,IF($FL$336&gt;SUM($EX$374:$FB$385),SUM($EX$374:FB393)/12,$FL$336/12),0)</f>
        <v>0</v>
      </c>
      <c r="FM382" s="385"/>
      <c r="FN382" s="380">
        <f t="shared" si="29"/>
        <v>0</v>
      </c>
      <c r="FO382" s="962">
        <f t="shared" si="37"/>
        <v>174</v>
      </c>
      <c r="FP382" s="956">
        <f t="shared" si="13"/>
        <v>0.4</v>
      </c>
      <c r="FQ382" s="380">
        <f t="shared" si="45"/>
        <v>0</v>
      </c>
      <c r="FR382" s="626">
        <f t="shared" si="65"/>
        <v>1</v>
      </c>
      <c r="FT382" s="1819">
        <f t="shared" si="38"/>
        <v>0</v>
      </c>
      <c r="FU382" s="1820"/>
      <c r="FV382" s="1820"/>
      <c r="FW382" s="1820"/>
      <c r="FX382" s="1821"/>
      <c r="FY382" s="1819">
        <f t="shared" si="30"/>
        <v>0</v>
      </c>
      <c r="FZ382" s="1820"/>
      <c r="GA382" s="1820"/>
      <c r="GB382" s="1821"/>
      <c r="GC382" s="1825">
        <f t="shared" si="54"/>
        <v>0</v>
      </c>
      <c r="GD382" s="1826"/>
      <c r="GE382" s="1826"/>
      <c r="GF382" s="1827"/>
      <c r="GH382" s="1750">
        <f t="shared" si="32"/>
        <v>0</v>
      </c>
      <c r="GI382" s="1751"/>
      <c r="GJ382" s="1751"/>
      <c r="GK382" s="1752"/>
      <c r="GL382" s="1750">
        <f t="shared" si="33"/>
        <v>0</v>
      </c>
      <c r="GM382" s="1751"/>
      <c r="GN382" s="1751"/>
      <c r="GO382" s="1752"/>
      <c r="GP382" s="385"/>
      <c r="GQ382" s="1750">
        <f t="shared" si="34"/>
        <v>0</v>
      </c>
      <c r="GR382" s="1751"/>
      <c r="GS382" s="1751"/>
      <c r="GT382" s="1752"/>
      <c r="GU382" s="192">
        <f t="shared" si="43"/>
        <v>1</v>
      </c>
      <c r="GV382" s="192">
        <f>SUM($GU$337:GU382)</f>
        <v>38</v>
      </c>
      <c r="GW382" s="318"/>
      <c r="GY382" s="380">
        <f t="shared" si="62"/>
        <v>0</v>
      </c>
      <c r="HX382" s="380"/>
    </row>
    <row r="383" spans="3:232" ht="12.75" customHeight="1">
      <c r="D383" s="313"/>
      <c r="E383" s="247"/>
      <c r="F383" s="247"/>
      <c r="G383" s="247"/>
      <c r="H383" s="247"/>
      <c r="I383" s="247"/>
      <c r="J383" s="247"/>
      <c r="K383" s="247"/>
      <c r="L383" s="247"/>
      <c r="M383" s="247"/>
      <c r="N383" s="247"/>
      <c r="O383" s="247"/>
      <c r="P383" s="247"/>
      <c r="Q383" s="247"/>
      <c r="R383" s="247"/>
      <c r="S383" s="247"/>
      <c r="T383" s="247"/>
      <c r="U383" s="247"/>
      <c r="V383" s="247"/>
      <c r="W383" s="247"/>
      <c r="X383" s="247"/>
      <c r="Y383" s="247"/>
      <c r="Z383" s="247"/>
      <c r="AA383" s="247"/>
      <c r="AB383" s="251"/>
      <c r="AD383" s="247"/>
      <c r="AE383" s="247"/>
      <c r="AF383" s="247"/>
      <c r="AG383" s="247"/>
      <c r="AH383" s="247"/>
      <c r="AI383" s="247"/>
      <c r="AJ383" s="247"/>
      <c r="AK383" s="247"/>
      <c r="AL383" s="247"/>
      <c r="AM383" s="247"/>
      <c r="AN383" s="247"/>
      <c r="AO383" s="314"/>
      <c r="BD383" s="387">
        <f t="shared" si="63"/>
        <v>3</v>
      </c>
      <c r="BE383" s="382">
        <f>IF(BD383&gt;0,46,0)</f>
        <v>46</v>
      </c>
      <c r="BG383" s="383">
        <f>IF($BE383&gt;$R$66-1+($BR$335*12),46,0)</f>
        <v>46</v>
      </c>
      <c r="BH383" s="1754">
        <f t="shared" si="16"/>
        <v>0</v>
      </c>
      <c r="BI383" s="1754"/>
      <c r="BJ383" s="1754"/>
      <c r="BK383" s="1754"/>
      <c r="BL383" s="1754">
        <f t="shared" si="17"/>
        <v>0</v>
      </c>
      <c r="BM383" s="1754"/>
      <c r="BN383" s="1754"/>
      <c r="BO383" s="1754">
        <f t="shared" si="3"/>
        <v>0</v>
      </c>
      <c r="BP383" s="1754"/>
      <c r="BQ383" s="1754"/>
      <c r="BR383" s="1754">
        <f t="shared" si="64"/>
        <v>0</v>
      </c>
      <c r="BS383" s="1754"/>
      <c r="BT383" s="1754"/>
      <c r="BU383" s="1754"/>
      <c r="BW383" s="383">
        <f>IF($BE383&gt;$R$66-1+($CH$335*12),46,0)</f>
        <v>46</v>
      </c>
      <c r="BX383" s="1754">
        <f t="shared" si="35"/>
        <v>0</v>
      </c>
      <c r="BY383" s="1754"/>
      <c r="BZ383" s="1754"/>
      <c r="CA383" s="1754"/>
      <c r="CB383" s="1754">
        <f t="shared" si="18"/>
        <v>0</v>
      </c>
      <c r="CC383" s="1754"/>
      <c r="CD383" s="1754"/>
      <c r="CE383" s="1754">
        <f t="shared" si="5"/>
        <v>0</v>
      </c>
      <c r="CF383" s="1754"/>
      <c r="CG383" s="1754"/>
      <c r="CH383" s="1754">
        <f t="shared" si="6"/>
        <v>0</v>
      </c>
      <c r="CI383" s="1754"/>
      <c r="CJ383" s="1754"/>
      <c r="CK383" s="1754"/>
      <c r="CM383" s="383">
        <f>IF($BE383&gt;$R$66-1+($CX$335*12),46,0)</f>
        <v>46</v>
      </c>
      <c r="CN383" s="1754">
        <f t="shared" si="19"/>
        <v>0</v>
      </c>
      <c r="CO383" s="1754"/>
      <c r="CP383" s="1754"/>
      <c r="CQ383" s="1754"/>
      <c r="CR383" s="1754">
        <f t="shared" si="20"/>
        <v>0</v>
      </c>
      <c r="CS383" s="1754"/>
      <c r="CT383" s="1754"/>
      <c r="CU383" s="1754">
        <f t="shared" si="7"/>
        <v>0</v>
      </c>
      <c r="CV383" s="1754"/>
      <c r="CW383" s="1754"/>
      <c r="CX383" s="1754">
        <f t="shared" si="8"/>
        <v>0</v>
      </c>
      <c r="CY383" s="1754"/>
      <c r="CZ383" s="1754"/>
      <c r="DA383" s="1754"/>
      <c r="DC383" s="383">
        <f>IF($BE383&gt;$R$66-1,46,0)</f>
        <v>46</v>
      </c>
      <c r="DD383" s="1754">
        <f t="shared" si="41"/>
        <v>0</v>
      </c>
      <c r="DE383" s="1754"/>
      <c r="DF383" s="1754"/>
      <c r="DG383" s="1754"/>
      <c r="DH383" s="1754">
        <f t="shared" si="21"/>
        <v>0</v>
      </c>
      <c r="DI383" s="1754"/>
      <c r="DJ383" s="1754"/>
      <c r="DK383" s="1754">
        <f t="shared" si="9"/>
        <v>0</v>
      </c>
      <c r="DL383" s="1754"/>
      <c r="DM383" s="1754"/>
      <c r="DN383" s="1754"/>
      <c r="DP383" s="383">
        <f t="shared" si="22"/>
        <v>46</v>
      </c>
      <c r="DQ383" s="1754">
        <f t="shared" si="23"/>
        <v>0</v>
      </c>
      <c r="DR383" s="1754"/>
      <c r="DS383" s="1754"/>
      <c r="DT383" s="1754"/>
      <c r="DU383" s="1754">
        <f t="shared" si="44"/>
        <v>0</v>
      </c>
      <c r="DV383" s="1754"/>
      <c r="DW383" s="1754"/>
      <c r="DX383" s="1754">
        <f t="shared" si="49"/>
        <v>0</v>
      </c>
      <c r="DY383" s="1754"/>
      <c r="DZ383" s="1754"/>
      <c r="EA383" s="1754">
        <f t="shared" si="50"/>
        <v>0</v>
      </c>
      <c r="EB383" s="1754"/>
      <c r="EC383" s="1754"/>
      <c r="ED383" s="1754"/>
      <c r="EE383" s="384"/>
      <c r="EF383" s="1750">
        <f t="shared" si="11"/>
        <v>0</v>
      </c>
      <c r="EG383" s="1751"/>
      <c r="EH383" s="1751"/>
      <c r="EI383" s="1751"/>
      <c r="EJ383" s="1752"/>
      <c r="EL383" s="1750">
        <f t="shared" si="55"/>
        <v>0</v>
      </c>
      <c r="EM383" s="1751"/>
      <c r="EN383" s="1751"/>
      <c r="EO383" s="1751"/>
      <c r="EP383" s="1752"/>
      <c r="ER383" s="1750">
        <f t="shared" si="12"/>
        <v>0</v>
      </c>
      <c r="ES383" s="1751"/>
      <c r="ET383" s="1751"/>
      <c r="EU383" s="1751"/>
      <c r="EV383" s="1752"/>
      <c r="EX383" s="1750">
        <f>IF(BE383&gt;0,Einstrahlung!$K$28*Kalkulation!$P$62/100*$AY$29*POWER((100-$P$64)/100,BD383-1),0)</f>
        <v>0</v>
      </c>
      <c r="EY383" s="1751"/>
      <c r="EZ383" s="1751"/>
      <c r="FA383" s="1751"/>
      <c r="FB383" s="1752"/>
      <c r="FD383" s="1750">
        <f t="shared" si="27"/>
        <v>0</v>
      </c>
      <c r="FE383" s="1751"/>
      <c r="FF383" s="1751"/>
      <c r="FG383" s="1751"/>
      <c r="FH383" s="1752"/>
      <c r="FI383" s="385"/>
      <c r="FJ383" s="380">
        <f t="shared" si="40"/>
        <v>0</v>
      </c>
      <c r="FK383" s="385"/>
      <c r="FL383" s="380">
        <f>IF(BE383&gt;0,IF($FL$336&gt;SUM($EX$374:$FB$385),SUM($EX$374:FB394)/12,$FL$336/12),0)</f>
        <v>0</v>
      </c>
      <c r="FM383" s="385"/>
      <c r="FN383" s="380">
        <f t="shared" si="29"/>
        <v>0</v>
      </c>
      <c r="FO383" s="962">
        <f t="shared" si="37"/>
        <v>175</v>
      </c>
      <c r="FP383" s="956">
        <f t="shared" si="13"/>
        <v>0.4</v>
      </c>
      <c r="FQ383" s="380">
        <f t="shared" si="45"/>
        <v>0</v>
      </c>
      <c r="FR383" s="626">
        <f t="shared" si="65"/>
        <v>1</v>
      </c>
      <c r="FT383" s="1819">
        <f t="shared" si="38"/>
        <v>0</v>
      </c>
      <c r="FU383" s="1820"/>
      <c r="FV383" s="1820"/>
      <c r="FW383" s="1820"/>
      <c r="FX383" s="1821"/>
      <c r="FY383" s="1819">
        <f t="shared" si="30"/>
        <v>0</v>
      </c>
      <c r="FZ383" s="1820"/>
      <c r="GA383" s="1820"/>
      <c r="GB383" s="1821"/>
      <c r="GC383" s="1825">
        <f t="shared" si="54"/>
        <v>0</v>
      </c>
      <c r="GD383" s="1826"/>
      <c r="GE383" s="1826"/>
      <c r="GF383" s="1827"/>
      <c r="GH383" s="1750">
        <f t="shared" si="32"/>
        <v>0</v>
      </c>
      <c r="GI383" s="1751"/>
      <c r="GJ383" s="1751"/>
      <c r="GK383" s="1752"/>
      <c r="GL383" s="1750">
        <f t="shared" si="33"/>
        <v>0</v>
      </c>
      <c r="GM383" s="1751"/>
      <c r="GN383" s="1751"/>
      <c r="GO383" s="1752"/>
      <c r="GP383" s="385"/>
      <c r="GQ383" s="1750">
        <f t="shared" si="34"/>
        <v>0</v>
      </c>
      <c r="GR383" s="1751"/>
      <c r="GS383" s="1751"/>
      <c r="GT383" s="1752"/>
      <c r="GU383" s="192">
        <f t="shared" si="43"/>
        <v>1</v>
      </c>
      <c r="GV383" s="192">
        <f>SUM($GU$337:GU383)</f>
        <v>39</v>
      </c>
      <c r="GW383" s="318"/>
      <c r="GY383" s="380">
        <f t="shared" si="62"/>
        <v>0</v>
      </c>
      <c r="HX383" s="380"/>
    </row>
    <row r="384" spans="3:232" ht="12.75" customHeight="1">
      <c r="D384" s="313"/>
      <c r="E384" s="247"/>
      <c r="F384" s="247"/>
      <c r="G384" s="247"/>
      <c r="H384" s="247"/>
      <c r="I384" s="247"/>
      <c r="J384" s="247"/>
      <c r="K384" s="247"/>
      <c r="L384" s="247"/>
      <c r="M384" s="247"/>
      <c r="N384" s="247"/>
      <c r="O384" s="247"/>
      <c r="P384" s="247"/>
      <c r="Q384" s="247"/>
      <c r="R384" s="247"/>
      <c r="S384" s="247"/>
      <c r="T384" s="247"/>
      <c r="U384" s="247"/>
      <c r="V384" s="247"/>
      <c r="W384" s="247"/>
      <c r="X384" s="247"/>
      <c r="Y384" s="247"/>
      <c r="Z384" s="247"/>
      <c r="AA384" s="247"/>
      <c r="AB384" s="251"/>
      <c r="AD384" s="247"/>
      <c r="AE384" s="247"/>
      <c r="AF384" s="247"/>
      <c r="AG384" s="247"/>
      <c r="AH384" s="247"/>
      <c r="AI384" s="247"/>
      <c r="AJ384" s="247"/>
      <c r="AK384" s="247"/>
      <c r="AL384" s="247"/>
      <c r="AM384" s="247"/>
      <c r="AN384" s="247"/>
      <c r="AO384" s="314"/>
      <c r="BD384" s="387">
        <f t="shared" si="63"/>
        <v>3</v>
      </c>
      <c r="BE384" s="382">
        <f>IF(BD384&gt;0,47,0)</f>
        <v>47</v>
      </c>
      <c r="BG384" s="383">
        <f>IF($BE384&gt;$R$66-1+($BR$335*12),47,0)</f>
        <v>47</v>
      </c>
      <c r="BH384" s="1754">
        <f t="shared" si="16"/>
        <v>0</v>
      </c>
      <c r="BI384" s="1754"/>
      <c r="BJ384" s="1754"/>
      <c r="BK384" s="1754"/>
      <c r="BL384" s="1754">
        <f t="shared" si="17"/>
        <v>0</v>
      </c>
      <c r="BM384" s="1754"/>
      <c r="BN384" s="1754"/>
      <c r="BO384" s="1754">
        <f t="shared" si="3"/>
        <v>0</v>
      </c>
      <c r="BP384" s="1754"/>
      <c r="BQ384" s="1754"/>
      <c r="BR384" s="1754">
        <f t="shared" si="64"/>
        <v>0</v>
      </c>
      <c r="BS384" s="1754"/>
      <c r="BT384" s="1754"/>
      <c r="BU384" s="1754"/>
      <c r="BW384" s="383">
        <f>IF($BE384&gt;$R$66-1+($CH$335*12),47,0)</f>
        <v>47</v>
      </c>
      <c r="BX384" s="1754">
        <f t="shared" si="35"/>
        <v>0</v>
      </c>
      <c r="BY384" s="1754"/>
      <c r="BZ384" s="1754"/>
      <c r="CA384" s="1754"/>
      <c r="CB384" s="1754">
        <f t="shared" si="18"/>
        <v>0</v>
      </c>
      <c r="CC384" s="1754"/>
      <c r="CD384" s="1754"/>
      <c r="CE384" s="1754">
        <f t="shared" si="5"/>
        <v>0</v>
      </c>
      <c r="CF384" s="1754"/>
      <c r="CG384" s="1754"/>
      <c r="CH384" s="1754">
        <f t="shared" si="6"/>
        <v>0</v>
      </c>
      <c r="CI384" s="1754"/>
      <c r="CJ384" s="1754"/>
      <c r="CK384" s="1754"/>
      <c r="CM384" s="383">
        <f>IF($BE384&gt;$R$66-1+($CX$335*12),47,0)</f>
        <v>47</v>
      </c>
      <c r="CN384" s="1754">
        <f t="shared" si="19"/>
        <v>0</v>
      </c>
      <c r="CO384" s="1754"/>
      <c r="CP384" s="1754"/>
      <c r="CQ384" s="1754"/>
      <c r="CR384" s="1754">
        <f t="shared" si="20"/>
        <v>0</v>
      </c>
      <c r="CS384" s="1754"/>
      <c r="CT384" s="1754"/>
      <c r="CU384" s="1754">
        <f t="shared" si="7"/>
        <v>0</v>
      </c>
      <c r="CV384" s="1754"/>
      <c r="CW384" s="1754"/>
      <c r="CX384" s="1754">
        <f t="shared" si="8"/>
        <v>0</v>
      </c>
      <c r="CY384" s="1754"/>
      <c r="CZ384" s="1754"/>
      <c r="DA384" s="1754"/>
      <c r="DC384" s="383">
        <f>IF($BE384&gt;$R$66-1,47,0)</f>
        <v>47</v>
      </c>
      <c r="DD384" s="1754">
        <f t="shared" si="41"/>
        <v>0</v>
      </c>
      <c r="DE384" s="1754"/>
      <c r="DF384" s="1754"/>
      <c r="DG384" s="1754"/>
      <c r="DH384" s="1754">
        <f t="shared" si="21"/>
        <v>0</v>
      </c>
      <c r="DI384" s="1754"/>
      <c r="DJ384" s="1754"/>
      <c r="DK384" s="1754">
        <f t="shared" si="9"/>
        <v>0</v>
      </c>
      <c r="DL384" s="1754"/>
      <c r="DM384" s="1754"/>
      <c r="DN384" s="1754"/>
      <c r="DP384" s="383">
        <f t="shared" si="22"/>
        <v>47</v>
      </c>
      <c r="DQ384" s="1754">
        <f t="shared" si="23"/>
        <v>0</v>
      </c>
      <c r="DR384" s="1754"/>
      <c r="DS384" s="1754"/>
      <c r="DT384" s="1754"/>
      <c r="DU384" s="1754">
        <f t="shared" si="44"/>
        <v>0</v>
      </c>
      <c r="DV384" s="1754"/>
      <c r="DW384" s="1754"/>
      <c r="DX384" s="1754">
        <f t="shared" si="49"/>
        <v>0</v>
      </c>
      <c r="DY384" s="1754"/>
      <c r="DZ384" s="1754"/>
      <c r="EA384" s="1754">
        <f t="shared" si="50"/>
        <v>0</v>
      </c>
      <c r="EB384" s="1754"/>
      <c r="EC384" s="1754"/>
      <c r="ED384" s="1754"/>
      <c r="EE384" s="384"/>
      <c r="EF384" s="1750">
        <f t="shared" si="11"/>
        <v>0</v>
      </c>
      <c r="EG384" s="1751"/>
      <c r="EH384" s="1751"/>
      <c r="EI384" s="1751"/>
      <c r="EJ384" s="1752"/>
      <c r="EL384" s="1750">
        <f t="shared" si="55"/>
        <v>0</v>
      </c>
      <c r="EM384" s="1751"/>
      <c r="EN384" s="1751"/>
      <c r="EO384" s="1751"/>
      <c r="EP384" s="1752"/>
      <c r="ER384" s="1750">
        <f t="shared" si="12"/>
        <v>0</v>
      </c>
      <c r="ES384" s="1751"/>
      <c r="ET384" s="1751"/>
      <c r="EU384" s="1751"/>
      <c r="EV384" s="1752"/>
      <c r="EX384" s="1750">
        <f>IF(BE384&gt;0,Einstrahlung!$K$30*Kalkulation!$P$62/100*$AY$29*POWER((100-$P$64)/100,BD384-1),0)</f>
        <v>0</v>
      </c>
      <c r="EY384" s="1751"/>
      <c r="EZ384" s="1751"/>
      <c r="FA384" s="1751"/>
      <c r="FB384" s="1752"/>
      <c r="FD384" s="1750">
        <f t="shared" si="27"/>
        <v>0</v>
      </c>
      <c r="FE384" s="1751"/>
      <c r="FF384" s="1751"/>
      <c r="FG384" s="1751"/>
      <c r="FH384" s="1752"/>
      <c r="FI384" s="385"/>
      <c r="FJ384" s="380">
        <f t="shared" si="40"/>
        <v>0</v>
      </c>
      <c r="FK384" s="385"/>
      <c r="FL384" s="380">
        <f>IF(BE384&gt;0,IF($FL$336&gt;SUM($EX$374:$FB$385),SUM($EX$374:FB395)/12,$FL$336/12),0)</f>
        <v>0</v>
      </c>
      <c r="FM384" s="385"/>
      <c r="FN384" s="380">
        <f t="shared" si="29"/>
        <v>0</v>
      </c>
      <c r="FO384" s="962">
        <f t="shared" si="37"/>
        <v>176</v>
      </c>
      <c r="FP384" s="956">
        <f t="shared" si="13"/>
        <v>0.4</v>
      </c>
      <c r="FQ384" s="380">
        <f t="shared" si="45"/>
        <v>0</v>
      </c>
      <c r="FR384" s="626">
        <f t="shared" si="65"/>
        <v>1</v>
      </c>
      <c r="FT384" s="1819">
        <f t="shared" si="38"/>
        <v>0</v>
      </c>
      <c r="FU384" s="1820"/>
      <c r="FV384" s="1820"/>
      <c r="FW384" s="1820"/>
      <c r="FX384" s="1821"/>
      <c r="FY384" s="1819">
        <f t="shared" si="30"/>
        <v>0</v>
      </c>
      <c r="FZ384" s="1820"/>
      <c r="GA384" s="1820"/>
      <c r="GB384" s="1821"/>
      <c r="GC384" s="1825">
        <f t="shared" si="54"/>
        <v>0</v>
      </c>
      <c r="GD384" s="1826"/>
      <c r="GE384" s="1826"/>
      <c r="GF384" s="1827"/>
      <c r="GH384" s="1750">
        <f t="shared" si="32"/>
        <v>0</v>
      </c>
      <c r="GI384" s="1751"/>
      <c r="GJ384" s="1751"/>
      <c r="GK384" s="1752"/>
      <c r="GL384" s="1750">
        <f t="shared" si="33"/>
        <v>0</v>
      </c>
      <c r="GM384" s="1751"/>
      <c r="GN384" s="1751"/>
      <c r="GO384" s="1752"/>
      <c r="GP384" s="385"/>
      <c r="GQ384" s="1750">
        <f t="shared" si="34"/>
        <v>0</v>
      </c>
      <c r="GR384" s="1751"/>
      <c r="GS384" s="1751"/>
      <c r="GT384" s="1752"/>
      <c r="GU384" s="192">
        <f t="shared" si="43"/>
        <v>1</v>
      </c>
      <c r="GV384" s="192">
        <f>SUM($GU$337:GU384)</f>
        <v>40</v>
      </c>
      <c r="GW384" s="318"/>
      <c r="GY384" s="380">
        <f t="shared" si="62"/>
        <v>0</v>
      </c>
      <c r="HX384" s="380"/>
    </row>
    <row r="385" spans="4:232" ht="12.75" customHeight="1" thickBot="1">
      <c r="D385" s="313"/>
      <c r="E385" s="247"/>
      <c r="F385" s="247"/>
      <c r="G385" s="247"/>
      <c r="H385" s="247"/>
      <c r="I385" s="247"/>
      <c r="J385" s="247"/>
      <c r="K385" s="247"/>
      <c r="L385" s="247"/>
      <c r="M385" s="247"/>
      <c r="N385" s="247"/>
      <c r="O385" s="247"/>
      <c r="P385" s="247"/>
      <c r="Q385" s="247"/>
      <c r="R385" s="247"/>
      <c r="S385" s="247"/>
      <c r="T385" s="247"/>
      <c r="U385" s="247"/>
      <c r="V385" s="247"/>
      <c r="W385" s="247"/>
      <c r="X385" s="247"/>
      <c r="Y385" s="247"/>
      <c r="Z385" s="247"/>
      <c r="AA385" s="247"/>
      <c r="AB385" s="251"/>
      <c r="AD385" s="247"/>
      <c r="AE385" s="247"/>
      <c r="AF385" s="247"/>
      <c r="AG385" s="247"/>
      <c r="AH385" s="247"/>
      <c r="AI385" s="247"/>
      <c r="AJ385" s="247"/>
      <c r="AK385" s="247"/>
      <c r="AL385" s="247"/>
      <c r="AM385" s="247"/>
      <c r="AN385" s="247"/>
      <c r="AO385" s="314"/>
      <c r="BD385" s="389">
        <f t="shared" si="63"/>
        <v>3</v>
      </c>
      <c r="BE385" s="390">
        <f>IF(BD385&gt;0,48,0)</f>
        <v>48</v>
      </c>
      <c r="BG385" s="391">
        <f>IF($BE385&gt;$R$66-1+($BR$335*12),48,0)</f>
        <v>48</v>
      </c>
      <c r="BH385" s="1753">
        <f t="shared" si="16"/>
        <v>0</v>
      </c>
      <c r="BI385" s="1753"/>
      <c r="BJ385" s="1753"/>
      <c r="BK385" s="1753"/>
      <c r="BL385" s="1753">
        <f t="shared" si="17"/>
        <v>0</v>
      </c>
      <c r="BM385" s="1753"/>
      <c r="BN385" s="1753"/>
      <c r="BO385" s="1753">
        <f t="shared" si="3"/>
        <v>0</v>
      </c>
      <c r="BP385" s="1753"/>
      <c r="BQ385" s="1753"/>
      <c r="BR385" s="1753">
        <f t="shared" si="64"/>
        <v>0</v>
      </c>
      <c r="BS385" s="1753"/>
      <c r="BT385" s="1753"/>
      <c r="BU385" s="1753"/>
      <c r="BW385" s="391">
        <f>IF($BE385&gt;$R$66-1+($CH$335*12),48,0)</f>
        <v>48</v>
      </c>
      <c r="BX385" s="1753">
        <f t="shared" si="35"/>
        <v>0</v>
      </c>
      <c r="BY385" s="1753"/>
      <c r="BZ385" s="1753"/>
      <c r="CA385" s="1753"/>
      <c r="CB385" s="1753">
        <f t="shared" si="18"/>
        <v>0</v>
      </c>
      <c r="CC385" s="1753"/>
      <c r="CD385" s="1753"/>
      <c r="CE385" s="1753">
        <f t="shared" si="5"/>
        <v>0</v>
      </c>
      <c r="CF385" s="1753"/>
      <c r="CG385" s="1753"/>
      <c r="CH385" s="1753">
        <f t="shared" si="6"/>
        <v>0</v>
      </c>
      <c r="CI385" s="1753"/>
      <c r="CJ385" s="1753"/>
      <c r="CK385" s="1753"/>
      <c r="CM385" s="391">
        <f>IF($BE385&gt;$R$66-1+($CX$335*12),48,0)</f>
        <v>48</v>
      </c>
      <c r="CN385" s="1753">
        <f t="shared" si="19"/>
        <v>0</v>
      </c>
      <c r="CO385" s="1753"/>
      <c r="CP385" s="1753"/>
      <c r="CQ385" s="1753"/>
      <c r="CR385" s="1753">
        <f t="shared" si="20"/>
        <v>0</v>
      </c>
      <c r="CS385" s="1753"/>
      <c r="CT385" s="1753"/>
      <c r="CU385" s="1753">
        <f t="shared" si="7"/>
        <v>0</v>
      </c>
      <c r="CV385" s="1753"/>
      <c r="CW385" s="1753"/>
      <c r="CX385" s="1753">
        <f t="shared" si="8"/>
        <v>0</v>
      </c>
      <c r="CY385" s="1753"/>
      <c r="CZ385" s="1753"/>
      <c r="DA385" s="1753"/>
      <c r="DC385" s="391">
        <f>IF($BE385&gt;$R$66-1,48,0)</f>
        <v>48</v>
      </c>
      <c r="DD385" s="1753">
        <f t="shared" si="41"/>
        <v>0</v>
      </c>
      <c r="DE385" s="1753"/>
      <c r="DF385" s="1753"/>
      <c r="DG385" s="1753"/>
      <c r="DH385" s="1753">
        <f t="shared" si="21"/>
        <v>0</v>
      </c>
      <c r="DI385" s="1753"/>
      <c r="DJ385" s="1753"/>
      <c r="DK385" s="1753">
        <f t="shared" si="9"/>
        <v>0</v>
      </c>
      <c r="DL385" s="1753"/>
      <c r="DM385" s="1753"/>
      <c r="DN385" s="1753"/>
      <c r="DP385" s="391">
        <f t="shared" si="22"/>
        <v>48</v>
      </c>
      <c r="DQ385" s="1753">
        <f t="shared" si="23"/>
        <v>0</v>
      </c>
      <c r="DR385" s="1753"/>
      <c r="DS385" s="1753"/>
      <c r="DT385" s="1753"/>
      <c r="DU385" s="1753">
        <f t="shared" si="44"/>
        <v>0</v>
      </c>
      <c r="DV385" s="1753"/>
      <c r="DW385" s="1753"/>
      <c r="DX385" s="1753">
        <f t="shared" si="49"/>
        <v>0</v>
      </c>
      <c r="DY385" s="1753"/>
      <c r="DZ385" s="1753"/>
      <c r="EA385" s="1753">
        <f t="shared" si="50"/>
        <v>0</v>
      </c>
      <c r="EB385" s="1753"/>
      <c r="EC385" s="1753"/>
      <c r="ED385" s="1753"/>
      <c r="EE385" s="384"/>
      <c r="EF385" s="1744">
        <f t="shared" si="11"/>
        <v>0</v>
      </c>
      <c r="EG385" s="1745"/>
      <c r="EH385" s="1745"/>
      <c r="EI385" s="1745"/>
      <c r="EJ385" s="1746"/>
      <c r="EL385" s="1744">
        <f t="shared" si="55"/>
        <v>0</v>
      </c>
      <c r="EM385" s="1745"/>
      <c r="EN385" s="1745"/>
      <c r="EO385" s="1745"/>
      <c r="EP385" s="1746"/>
      <c r="ER385" s="1744">
        <f t="shared" si="12"/>
        <v>0</v>
      </c>
      <c r="ES385" s="1745"/>
      <c r="ET385" s="1745"/>
      <c r="EU385" s="1745"/>
      <c r="EV385" s="1746"/>
      <c r="EX385" s="1744">
        <f>IF(BE385&gt;0,Einstrahlung!$K$32*Kalkulation!$P$62/100*$AY$29*POWER((100-$P$64)/100,BD385-1),0)</f>
        <v>0</v>
      </c>
      <c r="EY385" s="1745"/>
      <c r="EZ385" s="1745"/>
      <c r="FA385" s="1745"/>
      <c r="FB385" s="1746"/>
      <c r="FD385" s="1744">
        <f t="shared" si="27"/>
        <v>0</v>
      </c>
      <c r="FE385" s="1745"/>
      <c r="FF385" s="1745"/>
      <c r="FG385" s="1745"/>
      <c r="FH385" s="1746"/>
      <c r="FI385" s="385"/>
      <c r="FJ385" s="453">
        <f t="shared" si="40"/>
        <v>0</v>
      </c>
      <c r="FK385" s="385"/>
      <c r="FL385" s="453">
        <f>IF(BE385&gt;0,IF($FL$336&gt;SUM($EX$374:$FB$385),SUM($EX$374:FB396)/12,$FL$336/12),0)</f>
        <v>0</v>
      </c>
      <c r="FM385" s="385"/>
      <c r="FN385" s="453">
        <f t="shared" si="29"/>
        <v>0</v>
      </c>
      <c r="FO385" s="962">
        <f t="shared" si="37"/>
        <v>177</v>
      </c>
      <c r="FP385" s="956">
        <f t="shared" si="13"/>
        <v>0.4</v>
      </c>
      <c r="FQ385" s="453">
        <f t="shared" si="45"/>
        <v>0</v>
      </c>
      <c r="FR385" s="957">
        <f>POWER(1+$FQ$333,FS385)</f>
        <v>1</v>
      </c>
      <c r="FS385" s="617">
        <f>FS373+1</f>
        <v>3</v>
      </c>
      <c r="FT385" s="1822">
        <f t="shared" si="38"/>
        <v>0</v>
      </c>
      <c r="FU385" s="1823"/>
      <c r="FV385" s="1823"/>
      <c r="FW385" s="1823"/>
      <c r="FX385" s="1824"/>
      <c r="FY385" s="1822">
        <f t="shared" si="30"/>
        <v>0</v>
      </c>
      <c r="FZ385" s="1823"/>
      <c r="GA385" s="1823"/>
      <c r="GB385" s="1824"/>
      <c r="GC385" s="1831">
        <f t="shared" si="54"/>
        <v>0</v>
      </c>
      <c r="GD385" s="1832"/>
      <c r="GE385" s="1832"/>
      <c r="GF385" s="1833"/>
      <c r="GH385" s="1744">
        <f t="shared" si="32"/>
        <v>0</v>
      </c>
      <c r="GI385" s="1745"/>
      <c r="GJ385" s="1745"/>
      <c r="GK385" s="1746"/>
      <c r="GL385" s="1744">
        <f t="shared" si="33"/>
        <v>0</v>
      </c>
      <c r="GM385" s="1745"/>
      <c r="GN385" s="1745"/>
      <c r="GO385" s="1746"/>
      <c r="GP385" s="385"/>
      <c r="GQ385" s="1744">
        <f t="shared" si="34"/>
        <v>0</v>
      </c>
      <c r="GR385" s="1745"/>
      <c r="GS385" s="1745"/>
      <c r="GT385" s="1746"/>
      <c r="GU385" s="192">
        <f t="shared" si="43"/>
        <v>1</v>
      </c>
      <c r="GV385" s="192">
        <f>SUM($GU$337:GU385)</f>
        <v>41</v>
      </c>
      <c r="GW385" s="318"/>
      <c r="GZ385" s="380">
        <f t="shared" ref="GZ385:GZ396" si="66">IF(GV385=48,SUM(GQ374:GT385),0)</f>
        <v>0</v>
      </c>
      <c r="HX385" s="380"/>
    </row>
    <row r="386" spans="4:232" ht="12.75" customHeight="1">
      <c r="D386" s="313"/>
      <c r="E386" s="247"/>
      <c r="F386" s="247"/>
      <c r="G386" s="247"/>
      <c r="H386" s="247"/>
      <c r="I386" s="247"/>
      <c r="J386" s="247"/>
      <c r="K386" s="247"/>
      <c r="L386" s="247"/>
      <c r="M386" s="247"/>
      <c r="N386" s="247"/>
      <c r="O386" s="247"/>
      <c r="P386" s="247"/>
      <c r="Q386" s="247"/>
      <c r="R386" s="247"/>
      <c r="S386" s="247"/>
      <c r="T386" s="247"/>
      <c r="U386" s="247"/>
      <c r="V386" s="247"/>
      <c r="W386" s="247"/>
      <c r="X386" s="247"/>
      <c r="Y386" s="247"/>
      <c r="Z386" s="247"/>
      <c r="AA386" s="247"/>
      <c r="AB386" s="251"/>
      <c r="AD386" s="247"/>
      <c r="AE386" s="247"/>
      <c r="AF386" s="247"/>
      <c r="AG386" s="247"/>
      <c r="AH386" s="247"/>
      <c r="AI386" s="247"/>
      <c r="AJ386" s="247"/>
      <c r="AK386" s="247"/>
      <c r="AL386" s="247"/>
      <c r="AM386" s="247"/>
      <c r="AN386" s="247"/>
      <c r="AO386" s="314"/>
      <c r="BD386" s="381">
        <f t="shared" ref="BD386:BD397" si="67">IF($V$21&gt;0,4,0)</f>
        <v>4</v>
      </c>
      <c r="BE386" s="394">
        <f>IF(BD386&gt;0,49,0)</f>
        <v>49</v>
      </c>
      <c r="BG386" s="395">
        <f>IF($BE386&gt;$R$66-3+($BR$335*12),49,0)</f>
        <v>49</v>
      </c>
      <c r="BH386" s="1754">
        <f t="shared" si="16"/>
        <v>0</v>
      </c>
      <c r="BI386" s="1754"/>
      <c r="BJ386" s="1754"/>
      <c r="BK386" s="1754"/>
      <c r="BL386" s="1754">
        <f t="shared" si="17"/>
        <v>0</v>
      </c>
      <c r="BM386" s="1754"/>
      <c r="BN386" s="1754"/>
      <c r="BO386" s="1754">
        <f t="shared" si="3"/>
        <v>0</v>
      </c>
      <c r="BP386" s="1754"/>
      <c r="BQ386" s="1754"/>
      <c r="BR386" s="1754">
        <f t="shared" ref="BR386:BR397" si="68">BH386-BL386</f>
        <v>0</v>
      </c>
      <c r="BS386" s="1754"/>
      <c r="BT386" s="1754"/>
      <c r="BU386" s="1754"/>
      <c r="BW386" s="395">
        <f>IF($BE386&gt;$R$66-3+($CH$335*12),49,0)</f>
        <v>49</v>
      </c>
      <c r="BX386" s="1754">
        <f t="shared" si="35"/>
        <v>0</v>
      </c>
      <c r="BY386" s="1754"/>
      <c r="BZ386" s="1754"/>
      <c r="CA386" s="1754"/>
      <c r="CB386" s="1754">
        <f t="shared" si="18"/>
        <v>0</v>
      </c>
      <c r="CC386" s="1754"/>
      <c r="CD386" s="1754"/>
      <c r="CE386" s="1754">
        <f t="shared" si="5"/>
        <v>0</v>
      </c>
      <c r="CF386" s="1754"/>
      <c r="CG386" s="1754"/>
      <c r="CH386" s="1754">
        <f t="shared" si="6"/>
        <v>0</v>
      </c>
      <c r="CI386" s="1754"/>
      <c r="CJ386" s="1754"/>
      <c r="CK386" s="1754"/>
      <c r="CM386" s="395">
        <f>IF($BE386&gt;$R$66-3+($CX$335*12),49,0)</f>
        <v>49</v>
      </c>
      <c r="CN386" s="1754">
        <f t="shared" si="19"/>
        <v>0</v>
      </c>
      <c r="CO386" s="1754"/>
      <c r="CP386" s="1754"/>
      <c r="CQ386" s="1754"/>
      <c r="CR386" s="1754">
        <f t="shared" si="20"/>
        <v>0</v>
      </c>
      <c r="CS386" s="1754"/>
      <c r="CT386" s="1754"/>
      <c r="CU386" s="1754">
        <f t="shared" si="7"/>
        <v>0</v>
      </c>
      <c r="CV386" s="1754"/>
      <c r="CW386" s="1754"/>
      <c r="CX386" s="1754">
        <f t="shared" si="8"/>
        <v>0</v>
      </c>
      <c r="CY386" s="1754"/>
      <c r="CZ386" s="1754"/>
      <c r="DA386" s="1754"/>
      <c r="DC386" s="395">
        <f>IF($BE386&gt;$R$66-3,49,0)</f>
        <v>49</v>
      </c>
      <c r="DD386" s="1754">
        <f t="shared" si="41"/>
        <v>0</v>
      </c>
      <c r="DE386" s="1754"/>
      <c r="DF386" s="1754"/>
      <c r="DG386" s="1754"/>
      <c r="DH386" s="1754">
        <f t="shared" si="21"/>
        <v>0</v>
      </c>
      <c r="DI386" s="1754"/>
      <c r="DJ386" s="1754"/>
      <c r="DK386" s="1754">
        <f t="shared" si="9"/>
        <v>0</v>
      </c>
      <c r="DL386" s="1754"/>
      <c r="DM386" s="1754"/>
      <c r="DN386" s="1754"/>
      <c r="DP386" s="395">
        <f t="shared" si="22"/>
        <v>49</v>
      </c>
      <c r="DQ386" s="1754">
        <f t="shared" si="23"/>
        <v>0</v>
      </c>
      <c r="DR386" s="1754"/>
      <c r="DS386" s="1754"/>
      <c r="DT386" s="1754"/>
      <c r="DU386" s="1754">
        <f t="shared" si="44"/>
        <v>0</v>
      </c>
      <c r="DV386" s="1754"/>
      <c r="DW386" s="1754"/>
      <c r="DX386" s="1754">
        <f t="shared" si="49"/>
        <v>0</v>
      </c>
      <c r="DY386" s="1754"/>
      <c r="DZ386" s="1754"/>
      <c r="EA386" s="1754">
        <f t="shared" si="50"/>
        <v>0</v>
      </c>
      <c r="EB386" s="1754"/>
      <c r="EC386" s="1754"/>
      <c r="ED386" s="1754"/>
      <c r="EE386" s="384"/>
      <c r="EF386" s="1750">
        <f t="shared" si="11"/>
        <v>0</v>
      </c>
      <c r="EG386" s="1751"/>
      <c r="EH386" s="1751"/>
      <c r="EI386" s="1751"/>
      <c r="EJ386" s="1752"/>
      <c r="EL386" s="1750">
        <f t="shared" si="55"/>
        <v>0</v>
      </c>
      <c r="EM386" s="1751"/>
      <c r="EN386" s="1751"/>
      <c r="EO386" s="1751"/>
      <c r="EP386" s="1752"/>
      <c r="ER386" s="1750">
        <f t="shared" si="12"/>
        <v>0</v>
      </c>
      <c r="ES386" s="1751"/>
      <c r="ET386" s="1751"/>
      <c r="EU386" s="1751"/>
      <c r="EV386" s="1752"/>
      <c r="EX386" s="1750">
        <f>IF(BE386&gt;0,Einstrahlung!$K$10*Kalkulation!$P$62/100*$AY$29*POWER((100-$P$64)/100,BD386-1),0)</f>
        <v>0</v>
      </c>
      <c r="EY386" s="1751"/>
      <c r="EZ386" s="1751"/>
      <c r="FA386" s="1751"/>
      <c r="FB386" s="1752"/>
      <c r="FD386" s="1750">
        <f t="shared" si="27"/>
        <v>0</v>
      </c>
      <c r="FE386" s="1751"/>
      <c r="FF386" s="1751"/>
      <c r="FG386" s="1751"/>
      <c r="FH386" s="1752"/>
      <c r="FI386" s="385"/>
      <c r="FJ386" s="380">
        <f t="shared" si="40"/>
        <v>0</v>
      </c>
      <c r="FK386" s="385"/>
      <c r="FL386" s="380">
        <f>IF(BE386&gt;0,IF($FL$336&gt;SUM($EX$386:$FB$397),SUM($EX$386:$FB$397)/12,$FL$336/12),0)</f>
        <v>0</v>
      </c>
      <c r="FM386" s="385"/>
      <c r="FN386" s="380">
        <f t="shared" si="29"/>
        <v>0</v>
      </c>
      <c r="FO386" s="962">
        <f t="shared" si="37"/>
        <v>178</v>
      </c>
      <c r="FP386" s="956">
        <f t="shared" si="13"/>
        <v>0.4</v>
      </c>
      <c r="FQ386" s="380">
        <f t="shared" si="45"/>
        <v>0</v>
      </c>
      <c r="FR386" s="626">
        <f>IF(AND(GV386&gt;36,GV386&lt;=48),$FR$385,IF(AND(GV386&gt;48,GV386&lt;=60),$FR$397,0))</f>
        <v>1</v>
      </c>
      <c r="FT386" s="1819">
        <f t="shared" si="38"/>
        <v>0</v>
      </c>
      <c r="FU386" s="1820"/>
      <c r="FV386" s="1820"/>
      <c r="FW386" s="1820"/>
      <c r="FX386" s="1821"/>
      <c r="FY386" s="1819">
        <f t="shared" si="30"/>
        <v>0</v>
      </c>
      <c r="FZ386" s="1820"/>
      <c r="GA386" s="1820"/>
      <c r="GB386" s="1821"/>
      <c r="GC386" s="1825">
        <f t="shared" si="54"/>
        <v>0</v>
      </c>
      <c r="GD386" s="1826"/>
      <c r="GE386" s="1826"/>
      <c r="GF386" s="1827"/>
      <c r="GH386" s="1750">
        <f t="shared" si="32"/>
        <v>0</v>
      </c>
      <c r="GI386" s="1751"/>
      <c r="GJ386" s="1751"/>
      <c r="GK386" s="1751"/>
      <c r="GL386" s="1750">
        <f t="shared" si="33"/>
        <v>0</v>
      </c>
      <c r="GM386" s="1751"/>
      <c r="GN386" s="1751"/>
      <c r="GO386" s="1752"/>
      <c r="GP386" s="385"/>
      <c r="GQ386" s="1865">
        <f t="shared" si="34"/>
        <v>0</v>
      </c>
      <c r="GR386" s="1866"/>
      <c r="GS386" s="1866"/>
      <c r="GT386" s="1867"/>
      <c r="GU386" s="192">
        <f t="shared" si="43"/>
        <v>1</v>
      </c>
      <c r="GV386" s="192">
        <f>SUM($GU$337:GU386)</f>
        <v>42</v>
      </c>
      <c r="GW386" s="318"/>
      <c r="GZ386" s="380">
        <f t="shared" si="66"/>
        <v>0</v>
      </c>
      <c r="HX386" s="380"/>
    </row>
    <row r="387" spans="4:232" ht="12.75" customHeight="1">
      <c r="D387" s="313"/>
      <c r="E387" s="247"/>
      <c r="F387" s="247"/>
      <c r="G387" s="247"/>
      <c r="H387" s="247"/>
      <c r="I387" s="247"/>
      <c r="J387" s="247"/>
      <c r="K387" s="247"/>
      <c r="L387" s="247"/>
      <c r="M387" s="247"/>
      <c r="N387" s="247"/>
      <c r="O387" s="247"/>
      <c r="P387" s="247"/>
      <c r="Q387" s="247"/>
      <c r="R387" s="247"/>
      <c r="S387" s="247"/>
      <c r="T387" s="247"/>
      <c r="U387" s="247"/>
      <c r="V387" s="247"/>
      <c r="W387" s="247"/>
      <c r="X387" s="247"/>
      <c r="Y387" s="247"/>
      <c r="Z387" s="247"/>
      <c r="AA387" s="247"/>
      <c r="AB387" s="251"/>
      <c r="AD387" s="247"/>
      <c r="AE387" s="247"/>
      <c r="AF387" s="247"/>
      <c r="AG387" s="247"/>
      <c r="AH387" s="247"/>
      <c r="AI387" s="247"/>
      <c r="AJ387" s="247"/>
      <c r="AK387" s="247"/>
      <c r="AL387" s="247"/>
      <c r="AM387" s="247"/>
      <c r="AN387" s="247"/>
      <c r="AO387" s="314"/>
      <c r="BD387" s="387">
        <f t="shared" si="67"/>
        <v>4</v>
      </c>
      <c r="BE387" s="382">
        <f>IF(BD387&gt;0,50,0)</f>
        <v>50</v>
      </c>
      <c r="BG387" s="383">
        <f>IF($BE387&gt;$R$66-3+($BR$335*12),50,0)</f>
        <v>50</v>
      </c>
      <c r="BH387" s="1754">
        <f t="shared" si="16"/>
        <v>0</v>
      </c>
      <c r="BI387" s="1754"/>
      <c r="BJ387" s="1754"/>
      <c r="BK387" s="1754"/>
      <c r="BL387" s="1754">
        <f t="shared" si="17"/>
        <v>0</v>
      </c>
      <c r="BM387" s="1754"/>
      <c r="BN387" s="1754"/>
      <c r="BO387" s="1754">
        <f t="shared" si="3"/>
        <v>0</v>
      </c>
      <c r="BP387" s="1754"/>
      <c r="BQ387" s="1754"/>
      <c r="BR387" s="1754">
        <f t="shared" si="68"/>
        <v>0</v>
      </c>
      <c r="BS387" s="1754"/>
      <c r="BT387" s="1754"/>
      <c r="BU387" s="1754"/>
      <c r="BW387" s="383">
        <f>IF($BE387&gt;$R$66-3+($CH$335*12),50,0)</f>
        <v>50</v>
      </c>
      <c r="BX387" s="1754">
        <f t="shared" si="35"/>
        <v>0</v>
      </c>
      <c r="BY387" s="1754"/>
      <c r="BZ387" s="1754"/>
      <c r="CA387" s="1754"/>
      <c r="CB387" s="1754">
        <f t="shared" si="18"/>
        <v>0</v>
      </c>
      <c r="CC387" s="1754"/>
      <c r="CD387" s="1754"/>
      <c r="CE387" s="1754">
        <f t="shared" si="5"/>
        <v>0</v>
      </c>
      <c r="CF387" s="1754"/>
      <c r="CG387" s="1754"/>
      <c r="CH387" s="1754">
        <f t="shared" si="6"/>
        <v>0</v>
      </c>
      <c r="CI387" s="1754"/>
      <c r="CJ387" s="1754"/>
      <c r="CK387" s="1754"/>
      <c r="CM387" s="383">
        <f>IF($BE387&gt;$R$66-3+($CX$335*12),50,0)</f>
        <v>50</v>
      </c>
      <c r="CN387" s="1754">
        <f t="shared" si="19"/>
        <v>0</v>
      </c>
      <c r="CO387" s="1754"/>
      <c r="CP387" s="1754"/>
      <c r="CQ387" s="1754"/>
      <c r="CR387" s="1754">
        <f t="shared" si="20"/>
        <v>0</v>
      </c>
      <c r="CS387" s="1754"/>
      <c r="CT387" s="1754"/>
      <c r="CU387" s="1754">
        <f t="shared" si="7"/>
        <v>0</v>
      </c>
      <c r="CV387" s="1754"/>
      <c r="CW387" s="1754"/>
      <c r="CX387" s="1754">
        <f t="shared" si="8"/>
        <v>0</v>
      </c>
      <c r="CY387" s="1754"/>
      <c r="CZ387" s="1754"/>
      <c r="DA387" s="1754"/>
      <c r="DC387" s="383">
        <f>IF($BE387&gt;$R$66-3,50,0)</f>
        <v>50</v>
      </c>
      <c r="DD387" s="1754">
        <f t="shared" si="41"/>
        <v>0</v>
      </c>
      <c r="DE387" s="1754"/>
      <c r="DF387" s="1754"/>
      <c r="DG387" s="1754"/>
      <c r="DH387" s="1754">
        <f t="shared" si="21"/>
        <v>0</v>
      </c>
      <c r="DI387" s="1754"/>
      <c r="DJ387" s="1754"/>
      <c r="DK387" s="1754">
        <f t="shared" si="9"/>
        <v>0</v>
      </c>
      <c r="DL387" s="1754"/>
      <c r="DM387" s="1754"/>
      <c r="DN387" s="1754"/>
      <c r="DP387" s="383">
        <f t="shared" si="22"/>
        <v>50</v>
      </c>
      <c r="DQ387" s="1754">
        <f t="shared" si="23"/>
        <v>0</v>
      </c>
      <c r="DR387" s="1754"/>
      <c r="DS387" s="1754"/>
      <c r="DT387" s="1754"/>
      <c r="DU387" s="1754">
        <f t="shared" si="44"/>
        <v>0</v>
      </c>
      <c r="DV387" s="1754"/>
      <c r="DW387" s="1754"/>
      <c r="DX387" s="1754">
        <f t="shared" si="49"/>
        <v>0</v>
      </c>
      <c r="DY387" s="1754"/>
      <c r="DZ387" s="1754"/>
      <c r="EA387" s="1754">
        <f t="shared" si="50"/>
        <v>0</v>
      </c>
      <c r="EB387" s="1754"/>
      <c r="EC387" s="1754"/>
      <c r="ED387" s="1754"/>
      <c r="EE387" s="384"/>
      <c r="EF387" s="1750">
        <f t="shared" si="11"/>
        <v>0</v>
      </c>
      <c r="EG387" s="1751"/>
      <c r="EH387" s="1751"/>
      <c r="EI387" s="1751"/>
      <c r="EJ387" s="1752"/>
      <c r="EL387" s="1750">
        <f t="shared" si="55"/>
        <v>0</v>
      </c>
      <c r="EM387" s="1751"/>
      <c r="EN387" s="1751"/>
      <c r="EO387" s="1751"/>
      <c r="EP387" s="1752"/>
      <c r="ER387" s="1750">
        <f t="shared" si="12"/>
        <v>0</v>
      </c>
      <c r="ES387" s="1751"/>
      <c r="ET387" s="1751"/>
      <c r="EU387" s="1751"/>
      <c r="EV387" s="1752"/>
      <c r="EX387" s="1750">
        <f>IF(BE387&gt;0,Einstrahlung!$K$12*Kalkulation!$P$62/100*$AY$29*POWER((100-$P$64)/100,BD387-1),0)</f>
        <v>0</v>
      </c>
      <c r="EY387" s="1751"/>
      <c r="EZ387" s="1751"/>
      <c r="FA387" s="1751"/>
      <c r="FB387" s="1752"/>
      <c r="FD387" s="1750">
        <f t="shared" si="27"/>
        <v>0</v>
      </c>
      <c r="FE387" s="1751"/>
      <c r="FF387" s="1751"/>
      <c r="FG387" s="1751"/>
      <c r="FH387" s="1752"/>
      <c r="FI387" s="385"/>
      <c r="FJ387" s="380">
        <f t="shared" si="40"/>
        <v>0</v>
      </c>
      <c r="FK387" s="385"/>
      <c r="FL387" s="380">
        <f t="shared" ref="FL387:FL397" si="69">IF(BE387&gt;0,IF($FL$336&gt;SUM($EX$386:$FB$397),SUM($EX$386:$FB$397)/12,$FL$336/12),0)</f>
        <v>0</v>
      </c>
      <c r="FM387" s="385"/>
      <c r="FN387" s="380">
        <f t="shared" si="29"/>
        <v>0</v>
      </c>
      <c r="FO387" s="962">
        <f t="shared" si="37"/>
        <v>179</v>
      </c>
      <c r="FP387" s="956">
        <f t="shared" si="13"/>
        <v>0.4</v>
      </c>
      <c r="FQ387" s="380">
        <f t="shared" si="45"/>
        <v>0</v>
      </c>
      <c r="FR387" s="626">
        <f t="shared" ref="FR387:FR396" si="70">IF(AND(GV387&gt;36,GV387&lt;=48),$FR$385,IF(AND(GV387&gt;48,GV387&lt;=60),$FR$397,0))</f>
        <v>1</v>
      </c>
      <c r="FT387" s="1819">
        <f t="shared" si="38"/>
        <v>0</v>
      </c>
      <c r="FU387" s="1820"/>
      <c r="FV387" s="1820"/>
      <c r="FW387" s="1820"/>
      <c r="FX387" s="1821"/>
      <c r="FY387" s="1819">
        <f t="shared" si="30"/>
        <v>0</v>
      </c>
      <c r="FZ387" s="1820"/>
      <c r="GA387" s="1820"/>
      <c r="GB387" s="1821"/>
      <c r="GC387" s="1825">
        <f t="shared" si="54"/>
        <v>0</v>
      </c>
      <c r="GD387" s="1826"/>
      <c r="GE387" s="1826"/>
      <c r="GF387" s="1827"/>
      <c r="GH387" s="1750">
        <f t="shared" si="32"/>
        <v>0</v>
      </c>
      <c r="GI387" s="1751"/>
      <c r="GJ387" s="1751"/>
      <c r="GK387" s="1752"/>
      <c r="GL387" s="1750">
        <f t="shared" si="33"/>
        <v>0</v>
      </c>
      <c r="GM387" s="1751"/>
      <c r="GN387" s="1751"/>
      <c r="GO387" s="1752"/>
      <c r="GP387" s="385"/>
      <c r="GQ387" s="1750">
        <f t="shared" si="34"/>
        <v>0</v>
      </c>
      <c r="GR387" s="1751"/>
      <c r="GS387" s="1751"/>
      <c r="GT387" s="1752"/>
      <c r="GU387" s="192">
        <f t="shared" si="43"/>
        <v>1</v>
      </c>
      <c r="GV387" s="192">
        <f>SUM($GU$337:GU387)</f>
        <v>43</v>
      </c>
      <c r="GW387" s="318"/>
      <c r="GZ387" s="380">
        <f t="shared" si="66"/>
        <v>0</v>
      </c>
      <c r="HX387" s="380"/>
    </row>
    <row r="388" spans="4:232" ht="12.75" customHeight="1">
      <c r="D388" s="313"/>
      <c r="E388" s="247"/>
      <c r="F388" s="247"/>
      <c r="G388" s="247"/>
      <c r="H388" s="247"/>
      <c r="I388" s="247"/>
      <c r="J388" s="247"/>
      <c r="K388" s="247"/>
      <c r="L388" s="247"/>
      <c r="M388" s="247"/>
      <c r="N388" s="247"/>
      <c r="O388" s="247"/>
      <c r="P388" s="247"/>
      <c r="Q388" s="247"/>
      <c r="R388" s="247"/>
      <c r="S388" s="247"/>
      <c r="T388" s="247"/>
      <c r="U388" s="247"/>
      <c r="V388" s="247"/>
      <c r="W388" s="247"/>
      <c r="X388" s="247"/>
      <c r="Y388" s="247"/>
      <c r="Z388" s="247"/>
      <c r="AA388" s="247"/>
      <c r="AB388" s="251"/>
      <c r="AD388" s="247"/>
      <c r="AE388" s="247"/>
      <c r="AF388" s="247"/>
      <c r="AG388" s="247"/>
      <c r="AH388" s="247"/>
      <c r="AI388" s="247"/>
      <c r="AJ388" s="247"/>
      <c r="AK388" s="247"/>
      <c r="AL388" s="247"/>
      <c r="AM388" s="247"/>
      <c r="AN388" s="247"/>
      <c r="AO388" s="314"/>
      <c r="BD388" s="387">
        <f t="shared" si="67"/>
        <v>4</v>
      </c>
      <c r="BE388" s="382">
        <f>IF(BD388&gt;0,51,0)</f>
        <v>51</v>
      </c>
      <c r="BG388" s="383">
        <f>IF($BE388&gt;$R$66-3+($BR$335*12),51,0)</f>
        <v>51</v>
      </c>
      <c r="BH388" s="1754">
        <f>BR387</f>
        <v>0</v>
      </c>
      <c r="BI388" s="1754"/>
      <c r="BJ388" s="1754"/>
      <c r="BK388" s="1754"/>
      <c r="BL388" s="1754">
        <f t="shared" si="17"/>
        <v>0</v>
      </c>
      <c r="BM388" s="1754"/>
      <c r="BN388" s="1754"/>
      <c r="BO388" s="1754">
        <f t="shared" si="3"/>
        <v>0</v>
      </c>
      <c r="BP388" s="1754"/>
      <c r="BQ388" s="1754"/>
      <c r="BR388" s="1754">
        <f t="shared" si="68"/>
        <v>0</v>
      </c>
      <c r="BS388" s="1754"/>
      <c r="BT388" s="1754"/>
      <c r="BU388" s="1754"/>
      <c r="BW388" s="383">
        <f>IF($BE388&gt;$R$66-3+($CH$335*12),51,0)</f>
        <v>51</v>
      </c>
      <c r="BX388" s="1754">
        <f>CH387</f>
        <v>0</v>
      </c>
      <c r="BY388" s="1754"/>
      <c r="BZ388" s="1754"/>
      <c r="CA388" s="1754"/>
      <c r="CB388" s="1754">
        <f t="shared" si="18"/>
        <v>0</v>
      </c>
      <c r="CC388" s="1754"/>
      <c r="CD388" s="1754"/>
      <c r="CE388" s="1754">
        <f t="shared" si="5"/>
        <v>0</v>
      </c>
      <c r="CF388" s="1754"/>
      <c r="CG388" s="1754"/>
      <c r="CH388" s="1754">
        <f t="shared" si="6"/>
        <v>0</v>
      </c>
      <c r="CI388" s="1754"/>
      <c r="CJ388" s="1754"/>
      <c r="CK388" s="1754"/>
      <c r="CM388" s="383">
        <f>IF($BE388&gt;$R$66-3+($CX$335*12),51,0)</f>
        <v>51</v>
      </c>
      <c r="CN388" s="1754">
        <f>CX387</f>
        <v>0</v>
      </c>
      <c r="CO388" s="1754"/>
      <c r="CP388" s="1754"/>
      <c r="CQ388" s="1754"/>
      <c r="CR388" s="1754">
        <f t="shared" si="20"/>
        <v>0</v>
      </c>
      <c r="CS388" s="1754"/>
      <c r="CT388" s="1754"/>
      <c r="CU388" s="1754">
        <f t="shared" si="7"/>
        <v>0</v>
      </c>
      <c r="CV388" s="1754"/>
      <c r="CW388" s="1754"/>
      <c r="CX388" s="1754">
        <f t="shared" si="8"/>
        <v>0</v>
      </c>
      <c r="CY388" s="1754"/>
      <c r="CZ388" s="1754"/>
      <c r="DA388" s="1754"/>
      <c r="DC388" s="383">
        <f>IF($BE388&gt;$R$66-3,51,0)</f>
        <v>51</v>
      </c>
      <c r="DD388" s="1754">
        <f>DK387</f>
        <v>0</v>
      </c>
      <c r="DE388" s="1754"/>
      <c r="DF388" s="1754"/>
      <c r="DG388" s="1754"/>
      <c r="DH388" s="1754">
        <f t="shared" si="21"/>
        <v>0</v>
      </c>
      <c r="DI388" s="1754"/>
      <c r="DJ388" s="1754"/>
      <c r="DK388" s="1754">
        <f t="shared" si="9"/>
        <v>0</v>
      </c>
      <c r="DL388" s="1754"/>
      <c r="DM388" s="1754"/>
      <c r="DN388" s="1754"/>
      <c r="DP388" s="383">
        <f t="shared" si="22"/>
        <v>51</v>
      </c>
      <c r="DQ388" s="1754">
        <f t="shared" si="23"/>
        <v>0</v>
      </c>
      <c r="DR388" s="1754"/>
      <c r="DS388" s="1754"/>
      <c r="DT388" s="1754"/>
      <c r="DU388" s="1754">
        <f t="shared" si="44"/>
        <v>0</v>
      </c>
      <c r="DV388" s="1754"/>
      <c r="DW388" s="1754"/>
      <c r="DX388" s="1754">
        <f t="shared" si="49"/>
        <v>0</v>
      </c>
      <c r="DY388" s="1754"/>
      <c r="DZ388" s="1754"/>
      <c r="EA388" s="1754">
        <f t="shared" si="50"/>
        <v>0</v>
      </c>
      <c r="EB388" s="1754"/>
      <c r="EC388" s="1754"/>
      <c r="ED388" s="1754"/>
      <c r="EE388" s="384"/>
      <c r="EF388" s="1750">
        <f t="shared" si="11"/>
        <v>0</v>
      </c>
      <c r="EG388" s="1751"/>
      <c r="EH388" s="1751"/>
      <c r="EI388" s="1751"/>
      <c r="EJ388" s="1752"/>
      <c r="EL388" s="1750">
        <f t="shared" si="55"/>
        <v>0</v>
      </c>
      <c r="EM388" s="1751"/>
      <c r="EN388" s="1751"/>
      <c r="EO388" s="1751"/>
      <c r="EP388" s="1752"/>
      <c r="ER388" s="1750">
        <f t="shared" si="12"/>
        <v>0</v>
      </c>
      <c r="ES388" s="1751"/>
      <c r="ET388" s="1751"/>
      <c r="EU388" s="1751"/>
      <c r="EV388" s="1752"/>
      <c r="EX388" s="1750">
        <f>IF(BE388&gt;0,Einstrahlung!$K$14*Kalkulation!$P$62/100*$AY$29*POWER((100-$P$64)/100,BD388-1),0)</f>
        <v>0</v>
      </c>
      <c r="EY388" s="1751"/>
      <c r="EZ388" s="1751"/>
      <c r="FA388" s="1751"/>
      <c r="FB388" s="1752"/>
      <c r="FD388" s="1750">
        <f t="shared" si="27"/>
        <v>0</v>
      </c>
      <c r="FE388" s="1751"/>
      <c r="FF388" s="1751"/>
      <c r="FG388" s="1751"/>
      <c r="FH388" s="1752"/>
      <c r="FI388" s="385"/>
      <c r="FJ388" s="380">
        <f t="shared" si="40"/>
        <v>0</v>
      </c>
      <c r="FK388" s="385"/>
      <c r="FL388" s="380">
        <f t="shared" si="69"/>
        <v>0</v>
      </c>
      <c r="FM388" s="385"/>
      <c r="FN388" s="380">
        <f t="shared" si="29"/>
        <v>0</v>
      </c>
      <c r="FO388" s="962">
        <f t="shared" si="37"/>
        <v>180</v>
      </c>
      <c r="FP388" s="956">
        <f t="shared" si="13"/>
        <v>0.4</v>
      </c>
      <c r="FQ388" s="380">
        <f t="shared" si="45"/>
        <v>0</v>
      </c>
      <c r="FR388" s="626">
        <f t="shared" si="70"/>
        <v>1</v>
      </c>
      <c r="FT388" s="1819">
        <f t="shared" si="38"/>
        <v>0</v>
      </c>
      <c r="FU388" s="1820"/>
      <c r="FV388" s="1820"/>
      <c r="FW388" s="1820"/>
      <c r="FX388" s="1821"/>
      <c r="FY388" s="1819">
        <f t="shared" si="30"/>
        <v>0</v>
      </c>
      <c r="FZ388" s="1820"/>
      <c r="GA388" s="1820"/>
      <c r="GB388" s="1821"/>
      <c r="GC388" s="1825">
        <f t="shared" si="54"/>
        <v>0</v>
      </c>
      <c r="GD388" s="1826"/>
      <c r="GE388" s="1826"/>
      <c r="GF388" s="1827"/>
      <c r="GH388" s="1750">
        <f t="shared" si="32"/>
        <v>0</v>
      </c>
      <c r="GI388" s="1751"/>
      <c r="GJ388" s="1751"/>
      <c r="GK388" s="1752"/>
      <c r="GL388" s="1750">
        <f t="shared" si="33"/>
        <v>0</v>
      </c>
      <c r="GM388" s="1751"/>
      <c r="GN388" s="1751"/>
      <c r="GO388" s="1752"/>
      <c r="GP388" s="385"/>
      <c r="GQ388" s="1750">
        <f t="shared" si="34"/>
        <v>0</v>
      </c>
      <c r="GR388" s="1751"/>
      <c r="GS388" s="1751"/>
      <c r="GT388" s="1752"/>
      <c r="GU388" s="192">
        <f t="shared" si="43"/>
        <v>1</v>
      </c>
      <c r="GV388" s="192">
        <f>SUM($GU$337:GU388)</f>
        <v>44</v>
      </c>
      <c r="GW388" s="318"/>
      <c r="GZ388" s="380">
        <f t="shared" si="66"/>
        <v>0</v>
      </c>
      <c r="HX388" s="380"/>
    </row>
    <row r="389" spans="4:232" ht="12.75" customHeight="1">
      <c r="D389" s="313"/>
      <c r="E389" s="247"/>
      <c r="F389" s="247"/>
      <c r="G389" s="247"/>
      <c r="H389" s="247"/>
      <c r="I389" s="247"/>
      <c r="J389" s="247"/>
      <c r="K389" s="247"/>
      <c r="L389" s="247"/>
      <c r="M389" s="247"/>
      <c r="N389" s="247"/>
      <c r="O389" s="247"/>
      <c r="P389" s="247"/>
      <c r="Q389" s="247"/>
      <c r="R389" s="247"/>
      <c r="S389" s="247"/>
      <c r="T389" s="247"/>
      <c r="U389" s="247"/>
      <c r="V389" s="247"/>
      <c r="W389" s="247"/>
      <c r="X389" s="247"/>
      <c r="Y389" s="247"/>
      <c r="Z389" s="247"/>
      <c r="AA389" s="247"/>
      <c r="AB389" s="251"/>
      <c r="AD389" s="247"/>
      <c r="AE389" s="247"/>
      <c r="AF389" s="247"/>
      <c r="AG389" s="247"/>
      <c r="AH389" s="247"/>
      <c r="AI389" s="247"/>
      <c r="AJ389" s="247"/>
      <c r="AK389" s="247"/>
      <c r="AL389" s="247"/>
      <c r="AM389" s="247"/>
      <c r="AN389" s="247"/>
      <c r="AO389" s="314"/>
      <c r="BD389" s="387">
        <f t="shared" si="67"/>
        <v>4</v>
      </c>
      <c r="BE389" s="382">
        <f>IF(BD389&gt;0,52,0)</f>
        <v>52</v>
      </c>
      <c r="BG389" s="383">
        <f>IF($BE389&gt;$R$66-3+($BR$335*12),52,0)</f>
        <v>52</v>
      </c>
      <c r="BH389" s="1754">
        <f>IF(BR388&lt;=0,0,BR388)</f>
        <v>0</v>
      </c>
      <c r="BI389" s="1754"/>
      <c r="BJ389" s="1754"/>
      <c r="BK389" s="1754"/>
      <c r="BL389" s="1754">
        <f t="shared" si="17"/>
        <v>0</v>
      </c>
      <c r="BM389" s="1754"/>
      <c r="BN389" s="1754"/>
      <c r="BO389" s="1754">
        <f t="shared" si="3"/>
        <v>0</v>
      </c>
      <c r="BP389" s="1754"/>
      <c r="BQ389" s="1754"/>
      <c r="BR389" s="1754">
        <f t="shared" si="68"/>
        <v>0</v>
      </c>
      <c r="BS389" s="1754"/>
      <c r="BT389" s="1754"/>
      <c r="BU389" s="1754"/>
      <c r="BW389" s="383">
        <f>IF($BE389&gt;$R$66-3+($CH$335*12),52,0)</f>
        <v>52</v>
      </c>
      <c r="BX389" s="1754">
        <f>IF(CH388&lt;=0,0,CH388)</f>
        <v>0</v>
      </c>
      <c r="BY389" s="1754"/>
      <c r="BZ389" s="1754"/>
      <c r="CA389" s="1754"/>
      <c r="CB389" s="1754">
        <f t="shared" si="18"/>
        <v>0</v>
      </c>
      <c r="CC389" s="1754"/>
      <c r="CD389" s="1754"/>
      <c r="CE389" s="1754">
        <f t="shared" si="5"/>
        <v>0</v>
      </c>
      <c r="CF389" s="1754"/>
      <c r="CG389" s="1754"/>
      <c r="CH389" s="1754">
        <f t="shared" si="6"/>
        <v>0</v>
      </c>
      <c r="CI389" s="1754"/>
      <c r="CJ389" s="1754"/>
      <c r="CK389" s="1754"/>
      <c r="CM389" s="383">
        <f>IF($BE389&gt;$R$66-3+($CX$335*12),52,0)</f>
        <v>52</v>
      </c>
      <c r="CN389" s="1754">
        <f>IF(CX388&lt;=0,0,CX388)</f>
        <v>0</v>
      </c>
      <c r="CO389" s="1754"/>
      <c r="CP389" s="1754"/>
      <c r="CQ389" s="1754"/>
      <c r="CR389" s="1754">
        <f t="shared" si="20"/>
        <v>0</v>
      </c>
      <c r="CS389" s="1754"/>
      <c r="CT389" s="1754"/>
      <c r="CU389" s="1754">
        <f t="shared" si="7"/>
        <v>0</v>
      </c>
      <c r="CV389" s="1754"/>
      <c r="CW389" s="1754"/>
      <c r="CX389" s="1754">
        <f t="shared" si="8"/>
        <v>0</v>
      </c>
      <c r="CY389" s="1754"/>
      <c r="CZ389" s="1754"/>
      <c r="DA389" s="1754"/>
      <c r="DC389" s="383">
        <f>IF($BE389&gt;$R$66-3,52,0)</f>
        <v>52</v>
      </c>
      <c r="DD389" s="1754">
        <f>IF(DK388&lt;=0,0,DK388)</f>
        <v>0</v>
      </c>
      <c r="DE389" s="1754"/>
      <c r="DF389" s="1754"/>
      <c r="DG389" s="1754"/>
      <c r="DH389" s="1754">
        <f t="shared" si="21"/>
        <v>0</v>
      </c>
      <c r="DI389" s="1754"/>
      <c r="DJ389" s="1754"/>
      <c r="DK389" s="1754">
        <f t="shared" si="9"/>
        <v>0</v>
      </c>
      <c r="DL389" s="1754"/>
      <c r="DM389" s="1754"/>
      <c r="DN389" s="1754"/>
      <c r="DP389" s="383">
        <f t="shared" si="22"/>
        <v>52</v>
      </c>
      <c r="DQ389" s="1754">
        <f t="shared" si="23"/>
        <v>0</v>
      </c>
      <c r="DR389" s="1754"/>
      <c r="DS389" s="1754"/>
      <c r="DT389" s="1754"/>
      <c r="DU389" s="1754">
        <f t="shared" si="44"/>
        <v>0</v>
      </c>
      <c r="DV389" s="1754"/>
      <c r="DW389" s="1754"/>
      <c r="DX389" s="1754">
        <f t="shared" si="49"/>
        <v>0</v>
      </c>
      <c r="DY389" s="1754"/>
      <c r="DZ389" s="1754"/>
      <c r="EA389" s="1754">
        <f t="shared" si="50"/>
        <v>0</v>
      </c>
      <c r="EB389" s="1754"/>
      <c r="EC389" s="1754"/>
      <c r="ED389" s="1754"/>
      <c r="EE389" s="384"/>
      <c r="EF389" s="1750">
        <f t="shared" si="11"/>
        <v>0</v>
      </c>
      <c r="EG389" s="1751"/>
      <c r="EH389" s="1751"/>
      <c r="EI389" s="1751"/>
      <c r="EJ389" s="1752"/>
      <c r="EL389" s="1750">
        <f t="shared" si="55"/>
        <v>0</v>
      </c>
      <c r="EM389" s="1751"/>
      <c r="EN389" s="1751"/>
      <c r="EO389" s="1751"/>
      <c r="EP389" s="1752"/>
      <c r="ER389" s="1750">
        <f t="shared" si="12"/>
        <v>0</v>
      </c>
      <c r="ES389" s="1751"/>
      <c r="ET389" s="1751"/>
      <c r="EU389" s="1751"/>
      <c r="EV389" s="1752"/>
      <c r="EX389" s="1750">
        <f>IF(BE389&gt;0,Einstrahlung!$K$16*Kalkulation!$P$62/100*$AY$29*POWER((100-$P$64)/100,BD389-1),0)</f>
        <v>0</v>
      </c>
      <c r="EY389" s="1751"/>
      <c r="EZ389" s="1751"/>
      <c r="FA389" s="1751"/>
      <c r="FB389" s="1752"/>
      <c r="FD389" s="1750">
        <f t="shared" si="27"/>
        <v>0</v>
      </c>
      <c r="FE389" s="1751"/>
      <c r="FF389" s="1751"/>
      <c r="FG389" s="1751"/>
      <c r="FH389" s="1752"/>
      <c r="FI389" s="385"/>
      <c r="FJ389" s="380">
        <f t="shared" si="40"/>
        <v>0</v>
      </c>
      <c r="FK389" s="385"/>
      <c r="FL389" s="380">
        <f t="shared" si="69"/>
        <v>0</v>
      </c>
      <c r="FM389" s="385"/>
      <c r="FN389" s="380">
        <f t="shared" si="29"/>
        <v>0</v>
      </c>
      <c r="FO389" s="962">
        <f t="shared" si="37"/>
        <v>181</v>
      </c>
      <c r="FP389" s="956">
        <f t="shared" si="13"/>
        <v>0.4</v>
      </c>
      <c r="FQ389" s="380">
        <f t="shared" si="45"/>
        <v>0</v>
      </c>
      <c r="FR389" s="626">
        <f t="shared" si="70"/>
        <v>1</v>
      </c>
      <c r="FT389" s="1819">
        <f t="shared" si="38"/>
        <v>0</v>
      </c>
      <c r="FU389" s="1820"/>
      <c r="FV389" s="1820"/>
      <c r="FW389" s="1820"/>
      <c r="FX389" s="1821"/>
      <c r="FY389" s="1819">
        <f t="shared" si="30"/>
        <v>0</v>
      </c>
      <c r="FZ389" s="1820"/>
      <c r="GA389" s="1820"/>
      <c r="GB389" s="1821"/>
      <c r="GC389" s="1825">
        <f t="shared" si="54"/>
        <v>0</v>
      </c>
      <c r="GD389" s="1826"/>
      <c r="GE389" s="1826"/>
      <c r="GF389" s="1827"/>
      <c r="GH389" s="1750">
        <f t="shared" si="32"/>
        <v>0</v>
      </c>
      <c r="GI389" s="1751"/>
      <c r="GJ389" s="1751"/>
      <c r="GK389" s="1752"/>
      <c r="GL389" s="1750">
        <f t="shared" si="33"/>
        <v>0</v>
      </c>
      <c r="GM389" s="1751"/>
      <c r="GN389" s="1751"/>
      <c r="GO389" s="1752"/>
      <c r="GP389" s="385"/>
      <c r="GQ389" s="1750">
        <f t="shared" si="34"/>
        <v>0</v>
      </c>
      <c r="GR389" s="1751"/>
      <c r="GS389" s="1751"/>
      <c r="GT389" s="1752"/>
      <c r="GU389" s="192">
        <f t="shared" si="43"/>
        <v>1</v>
      </c>
      <c r="GV389" s="192">
        <f>SUM($GU$337:GU389)</f>
        <v>45</v>
      </c>
      <c r="GW389" s="318"/>
      <c r="GZ389" s="380">
        <f t="shared" si="66"/>
        <v>0</v>
      </c>
      <c r="HX389" s="380"/>
    </row>
    <row r="390" spans="4:232" ht="12.75" customHeight="1">
      <c r="D390" s="313"/>
      <c r="E390" s="247"/>
      <c r="F390" s="247"/>
      <c r="G390" s="247"/>
      <c r="H390" s="247"/>
      <c r="I390" s="247"/>
      <c r="J390" s="247"/>
      <c r="K390" s="247"/>
      <c r="L390" s="247"/>
      <c r="M390" s="247"/>
      <c r="N390" s="247"/>
      <c r="O390" s="247"/>
      <c r="P390" s="247"/>
      <c r="Q390" s="247"/>
      <c r="R390" s="247"/>
      <c r="S390" s="247"/>
      <c r="T390" s="247"/>
      <c r="U390" s="247"/>
      <c r="V390" s="247"/>
      <c r="W390" s="247"/>
      <c r="X390" s="247"/>
      <c r="Y390" s="247"/>
      <c r="Z390" s="247"/>
      <c r="AA390" s="247"/>
      <c r="AB390" s="251"/>
      <c r="AD390" s="247"/>
      <c r="AE390" s="247"/>
      <c r="AF390" s="247"/>
      <c r="AG390" s="247"/>
      <c r="AH390" s="247"/>
      <c r="AI390" s="247"/>
      <c r="AJ390" s="247"/>
      <c r="AK390" s="247"/>
      <c r="AL390" s="247"/>
      <c r="AM390" s="247"/>
      <c r="AN390" s="247"/>
      <c r="AO390" s="314"/>
      <c r="BD390" s="387">
        <f t="shared" si="67"/>
        <v>4</v>
      </c>
      <c r="BE390" s="382">
        <f>IF(BD390&gt;0,53,0)</f>
        <v>53</v>
      </c>
      <c r="BG390" s="383">
        <f>IF($BE390&gt;$R$66-3+($BR$335*12),53,0)</f>
        <v>53</v>
      </c>
      <c r="BH390" s="1754">
        <f t="shared" ref="BH390:BH397" si="71">IF(BR389&lt;=0,0,BR389)</f>
        <v>0</v>
      </c>
      <c r="BI390" s="1754"/>
      <c r="BJ390" s="1754"/>
      <c r="BK390" s="1754"/>
      <c r="BL390" s="1754">
        <f t="shared" si="17"/>
        <v>0</v>
      </c>
      <c r="BM390" s="1754"/>
      <c r="BN390" s="1754"/>
      <c r="BO390" s="1754">
        <f t="shared" si="3"/>
        <v>0</v>
      </c>
      <c r="BP390" s="1754"/>
      <c r="BQ390" s="1754"/>
      <c r="BR390" s="1754">
        <f t="shared" si="68"/>
        <v>0</v>
      </c>
      <c r="BS390" s="1754"/>
      <c r="BT390" s="1754"/>
      <c r="BU390" s="1754"/>
      <c r="BW390" s="383">
        <f>IF($BE390&gt;$R$66-3+($CH$335*12),53,0)</f>
        <v>53</v>
      </c>
      <c r="BX390" s="1754">
        <f t="shared" ref="BX390:BX453" si="72">IF(CH389&lt;=0,0,CH389)</f>
        <v>0</v>
      </c>
      <c r="BY390" s="1754"/>
      <c r="BZ390" s="1754"/>
      <c r="CA390" s="1754"/>
      <c r="CB390" s="1754">
        <f t="shared" si="18"/>
        <v>0</v>
      </c>
      <c r="CC390" s="1754"/>
      <c r="CD390" s="1754"/>
      <c r="CE390" s="1754">
        <f t="shared" si="5"/>
        <v>0</v>
      </c>
      <c r="CF390" s="1754"/>
      <c r="CG390" s="1754"/>
      <c r="CH390" s="1754">
        <f t="shared" si="6"/>
        <v>0</v>
      </c>
      <c r="CI390" s="1754"/>
      <c r="CJ390" s="1754"/>
      <c r="CK390" s="1754"/>
      <c r="CM390" s="383">
        <f>IF($BE390&gt;$R$66-3+($CX$335*12),53,0)</f>
        <v>53</v>
      </c>
      <c r="CN390" s="1754">
        <f t="shared" ref="CN390:CN453" si="73">IF(CX389&lt;=0,0,CX389)</f>
        <v>0</v>
      </c>
      <c r="CO390" s="1754"/>
      <c r="CP390" s="1754"/>
      <c r="CQ390" s="1754"/>
      <c r="CR390" s="1754">
        <f t="shared" si="20"/>
        <v>0</v>
      </c>
      <c r="CS390" s="1754"/>
      <c r="CT390" s="1754"/>
      <c r="CU390" s="1754">
        <f t="shared" si="7"/>
        <v>0</v>
      </c>
      <c r="CV390" s="1754"/>
      <c r="CW390" s="1754"/>
      <c r="CX390" s="1754">
        <f t="shared" si="8"/>
        <v>0</v>
      </c>
      <c r="CY390" s="1754"/>
      <c r="CZ390" s="1754"/>
      <c r="DA390" s="1754"/>
      <c r="DC390" s="383">
        <f>IF($BE390&gt;$R$66-3,53,0)</f>
        <v>53</v>
      </c>
      <c r="DD390" s="1754">
        <f t="shared" ref="DD390:DD453" si="74">IF(DK389&lt;=0,0,DK389)</f>
        <v>0</v>
      </c>
      <c r="DE390" s="1754"/>
      <c r="DF390" s="1754"/>
      <c r="DG390" s="1754"/>
      <c r="DH390" s="1754">
        <f t="shared" si="21"/>
        <v>0</v>
      </c>
      <c r="DI390" s="1754"/>
      <c r="DJ390" s="1754"/>
      <c r="DK390" s="1754">
        <f t="shared" si="9"/>
        <v>0</v>
      </c>
      <c r="DL390" s="1754"/>
      <c r="DM390" s="1754"/>
      <c r="DN390" s="1754"/>
      <c r="DP390" s="383">
        <f t="shared" si="22"/>
        <v>53</v>
      </c>
      <c r="DQ390" s="1754">
        <f t="shared" si="23"/>
        <v>0</v>
      </c>
      <c r="DR390" s="1754"/>
      <c r="DS390" s="1754"/>
      <c r="DT390" s="1754"/>
      <c r="DU390" s="1754">
        <f t="shared" si="44"/>
        <v>0</v>
      </c>
      <c r="DV390" s="1754"/>
      <c r="DW390" s="1754"/>
      <c r="DX390" s="1754">
        <f t="shared" si="49"/>
        <v>0</v>
      </c>
      <c r="DY390" s="1754"/>
      <c r="DZ390" s="1754"/>
      <c r="EA390" s="1754">
        <f t="shared" si="50"/>
        <v>0</v>
      </c>
      <c r="EB390" s="1754"/>
      <c r="EC390" s="1754"/>
      <c r="ED390" s="1754"/>
      <c r="EE390" s="384"/>
      <c r="EF390" s="1750">
        <f t="shared" si="11"/>
        <v>0</v>
      </c>
      <c r="EG390" s="1751"/>
      <c r="EH390" s="1751"/>
      <c r="EI390" s="1751"/>
      <c r="EJ390" s="1752"/>
      <c r="EL390" s="1750">
        <f t="shared" si="55"/>
        <v>0</v>
      </c>
      <c r="EM390" s="1751"/>
      <c r="EN390" s="1751"/>
      <c r="EO390" s="1751"/>
      <c r="EP390" s="1752"/>
      <c r="ER390" s="1750">
        <f t="shared" si="12"/>
        <v>0</v>
      </c>
      <c r="ES390" s="1751"/>
      <c r="ET390" s="1751"/>
      <c r="EU390" s="1751"/>
      <c r="EV390" s="1752"/>
      <c r="EX390" s="1750">
        <f>IF(BE390&gt;0,Einstrahlung!$K$18*Kalkulation!$P$62/100*$AY$29*POWER((100-$P$64)/100,BD390-1),0)</f>
        <v>0</v>
      </c>
      <c r="EY390" s="1751"/>
      <c r="EZ390" s="1751"/>
      <c r="FA390" s="1751"/>
      <c r="FB390" s="1752"/>
      <c r="FD390" s="1750">
        <f t="shared" si="27"/>
        <v>0</v>
      </c>
      <c r="FE390" s="1751"/>
      <c r="FF390" s="1751"/>
      <c r="FG390" s="1751"/>
      <c r="FH390" s="1752"/>
      <c r="FI390" s="385"/>
      <c r="FJ390" s="380">
        <f t="shared" si="40"/>
        <v>0</v>
      </c>
      <c r="FK390" s="385"/>
      <c r="FL390" s="380">
        <f t="shared" si="69"/>
        <v>0</v>
      </c>
      <c r="FM390" s="385"/>
      <c r="FN390" s="380">
        <f t="shared" si="29"/>
        <v>0</v>
      </c>
      <c r="FO390" s="962">
        <f t="shared" si="37"/>
        <v>182</v>
      </c>
      <c r="FP390" s="956">
        <f t="shared" si="13"/>
        <v>0.4</v>
      </c>
      <c r="FQ390" s="380">
        <f t="shared" si="45"/>
        <v>0</v>
      </c>
      <c r="FR390" s="626">
        <f t="shared" si="70"/>
        <v>1</v>
      </c>
      <c r="FT390" s="1819">
        <f t="shared" si="38"/>
        <v>0</v>
      </c>
      <c r="FU390" s="1820"/>
      <c r="FV390" s="1820"/>
      <c r="FW390" s="1820"/>
      <c r="FX390" s="1821"/>
      <c r="FY390" s="1819">
        <f t="shared" si="30"/>
        <v>0</v>
      </c>
      <c r="FZ390" s="1820"/>
      <c r="GA390" s="1820"/>
      <c r="GB390" s="1821"/>
      <c r="GC390" s="1825">
        <f t="shared" si="54"/>
        <v>0</v>
      </c>
      <c r="GD390" s="1826"/>
      <c r="GE390" s="1826"/>
      <c r="GF390" s="1827"/>
      <c r="GH390" s="1750">
        <f t="shared" si="32"/>
        <v>0</v>
      </c>
      <c r="GI390" s="1751"/>
      <c r="GJ390" s="1751"/>
      <c r="GK390" s="1752"/>
      <c r="GL390" s="1750">
        <f t="shared" si="33"/>
        <v>0</v>
      </c>
      <c r="GM390" s="1751"/>
      <c r="GN390" s="1751"/>
      <c r="GO390" s="1752"/>
      <c r="GP390" s="385"/>
      <c r="GQ390" s="1750">
        <f t="shared" si="34"/>
        <v>0</v>
      </c>
      <c r="GR390" s="1751"/>
      <c r="GS390" s="1751"/>
      <c r="GT390" s="1752"/>
      <c r="GU390" s="192">
        <f t="shared" si="43"/>
        <v>1</v>
      </c>
      <c r="GV390" s="192">
        <f>SUM($GU$337:GU390)</f>
        <v>46</v>
      </c>
      <c r="GW390" s="318"/>
      <c r="GZ390" s="380">
        <f t="shared" si="66"/>
        <v>0</v>
      </c>
      <c r="HX390" s="380"/>
    </row>
    <row r="391" spans="4:232" ht="12.75" customHeight="1">
      <c r="D391" s="313"/>
      <c r="E391" s="247"/>
      <c r="F391" s="247"/>
      <c r="G391" s="247"/>
      <c r="H391" s="247"/>
      <c r="I391" s="247"/>
      <c r="J391" s="247"/>
      <c r="K391" s="247"/>
      <c r="L391" s="247"/>
      <c r="M391" s="247"/>
      <c r="N391" s="247"/>
      <c r="O391" s="247"/>
      <c r="P391" s="247"/>
      <c r="Q391" s="247"/>
      <c r="R391" s="247"/>
      <c r="S391" s="247"/>
      <c r="T391" s="247"/>
      <c r="U391" s="247"/>
      <c r="V391" s="247"/>
      <c r="W391" s="247"/>
      <c r="X391" s="247"/>
      <c r="Y391" s="247"/>
      <c r="Z391" s="247"/>
      <c r="AA391" s="247"/>
      <c r="AB391" s="251"/>
      <c r="AD391" s="247"/>
      <c r="AE391" s="247"/>
      <c r="AF391" s="247"/>
      <c r="AG391" s="247"/>
      <c r="AH391" s="247"/>
      <c r="AI391" s="247"/>
      <c r="AJ391" s="247"/>
      <c r="AK391" s="247"/>
      <c r="AL391" s="247"/>
      <c r="AM391" s="247"/>
      <c r="AN391" s="247"/>
      <c r="AO391" s="314"/>
      <c r="BD391" s="387">
        <f t="shared" si="67"/>
        <v>4</v>
      </c>
      <c r="BE391" s="382">
        <f>IF(BD391&gt;0,54,0)</f>
        <v>54</v>
      </c>
      <c r="BG391" s="383">
        <f>IF($BE391&gt;$R$66-3+($BR$335*12),54,0)</f>
        <v>54</v>
      </c>
      <c r="BH391" s="1754">
        <f t="shared" si="71"/>
        <v>0</v>
      </c>
      <c r="BI391" s="1754"/>
      <c r="BJ391" s="1754"/>
      <c r="BK391" s="1754"/>
      <c r="BL391" s="1754">
        <f t="shared" si="17"/>
        <v>0</v>
      </c>
      <c r="BM391" s="1754"/>
      <c r="BN391" s="1754"/>
      <c r="BO391" s="1754">
        <f t="shared" si="3"/>
        <v>0</v>
      </c>
      <c r="BP391" s="1754"/>
      <c r="BQ391" s="1754"/>
      <c r="BR391" s="1754">
        <f t="shared" si="68"/>
        <v>0</v>
      </c>
      <c r="BS391" s="1754"/>
      <c r="BT391" s="1754"/>
      <c r="BU391" s="1754"/>
      <c r="BW391" s="383">
        <f>IF($BE391&gt;$R$66-3+($CH$335*12),54,0)</f>
        <v>54</v>
      </c>
      <c r="BX391" s="1754">
        <f t="shared" si="72"/>
        <v>0</v>
      </c>
      <c r="BY391" s="1754"/>
      <c r="BZ391" s="1754"/>
      <c r="CA391" s="1754"/>
      <c r="CB391" s="1754">
        <f t="shared" si="18"/>
        <v>0</v>
      </c>
      <c r="CC391" s="1754"/>
      <c r="CD391" s="1754"/>
      <c r="CE391" s="1754">
        <f t="shared" si="5"/>
        <v>0</v>
      </c>
      <c r="CF391" s="1754"/>
      <c r="CG391" s="1754"/>
      <c r="CH391" s="1754">
        <f t="shared" si="6"/>
        <v>0</v>
      </c>
      <c r="CI391" s="1754"/>
      <c r="CJ391" s="1754"/>
      <c r="CK391" s="1754"/>
      <c r="CM391" s="383">
        <f>IF($BE391&gt;$R$66-3+($CX$335*12),54,0)</f>
        <v>54</v>
      </c>
      <c r="CN391" s="1754">
        <f t="shared" si="73"/>
        <v>0</v>
      </c>
      <c r="CO391" s="1754"/>
      <c r="CP391" s="1754"/>
      <c r="CQ391" s="1754"/>
      <c r="CR391" s="1754">
        <f t="shared" si="20"/>
        <v>0</v>
      </c>
      <c r="CS391" s="1754"/>
      <c r="CT391" s="1754"/>
      <c r="CU391" s="1754">
        <f t="shared" si="7"/>
        <v>0</v>
      </c>
      <c r="CV391" s="1754"/>
      <c r="CW391" s="1754"/>
      <c r="CX391" s="1754">
        <f t="shared" si="8"/>
        <v>0</v>
      </c>
      <c r="CY391" s="1754"/>
      <c r="CZ391" s="1754"/>
      <c r="DA391" s="1754"/>
      <c r="DC391" s="383">
        <f>IF($BE391&gt;$R$66-3,54,0)</f>
        <v>54</v>
      </c>
      <c r="DD391" s="1754">
        <f t="shared" si="74"/>
        <v>0</v>
      </c>
      <c r="DE391" s="1754"/>
      <c r="DF391" s="1754"/>
      <c r="DG391" s="1754"/>
      <c r="DH391" s="1754">
        <f t="shared" si="21"/>
        <v>0</v>
      </c>
      <c r="DI391" s="1754"/>
      <c r="DJ391" s="1754"/>
      <c r="DK391" s="1754">
        <f t="shared" si="9"/>
        <v>0</v>
      </c>
      <c r="DL391" s="1754"/>
      <c r="DM391" s="1754"/>
      <c r="DN391" s="1754"/>
      <c r="DP391" s="383">
        <f t="shared" si="22"/>
        <v>54</v>
      </c>
      <c r="DQ391" s="1754">
        <f t="shared" si="23"/>
        <v>0</v>
      </c>
      <c r="DR391" s="1754"/>
      <c r="DS391" s="1754"/>
      <c r="DT391" s="1754"/>
      <c r="DU391" s="1754">
        <f t="shared" si="44"/>
        <v>0</v>
      </c>
      <c r="DV391" s="1754"/>
      <c r="DW391" s="1754"/>
      <c r="DX391" s="1754">
        <f t="shared" si="49"/>
        <v>0</v>
      </c>
      <c r="DY391" s="1754"/>
      <c r="DZ391" s="1754"/>
      <c r="EA391" s="1754">
        <f t="shared" si="50"/>
        <v>0</v>
      </c>
      <c r="EB391" s="1754"/>
      <c r="EC391" s="1754"/>
      <c r="ED391" s="1754"/>
      <c r="EE391" s="384"/>
      <c r="EF391" s="1750">
        <f t="shared" si="11"/>
        <v>0</v>
      </c>
      <c r="EG391" s="1751"/>
      <c r="EH391" s="1751"/>
      <c r="EI391" s="1751"/>
      <c r="EJ391" s="1752"/>
      <c r="EL391" s="1750">
        <f t="shared" si="55"/>
        <v>0</v>
      </c>
      <c r="EM391" s="1751"/>
      <c r="EN391" s="1751"/>
      <c r="EO391" s="1751"/>
      <c r="EP391" s="1752"/>
      <c r="ER391" s="1750">
        <f t="shared" si="12"/>
        <v>0</v>
      </c>
      <c r="ES391" s="1751"/>
      <c r="ET391" s="1751"/>
      <c r="EU391" s="1751"/>
      <c r="EV391" s="1752"/>
      <c r="EX391" s="1750">
        <f>IF(BE391&gt;0,Einstrahlung!$K$20*Kalkulation!$P$62/100*$AY$29*POWER((100-$P$64)/100,BD391-1),0)</f>
        <v>0</v>
      </c>
      <c r="EY391" s="1751"/>
      <c r="EZ391" s="1751"/>
      <c r="FA391" s="1751"/>
      <c r="FB391" s="1752"/>
      <c r="FD391" s="1750">
        <f t="shared" si="27"/>
        <v>0</v>
      </c>
      <c r="FE391" s="1751"/>
      <c r="FF391" s="1751"/>
      <c r="FG391" s="1751"/>
      <c r="FH391" s="1752"/>
      <c r="FI391" s="385"/>
      <c r="FJ391" s="380">
        <f t="shared" si="40"/>
        <v>0</v>
      </c>
      <c r="FK391" s="385"/>
      <c r="FL391" s="380">
        <f t="shared" si="69"/>
        <v>0</v>
      </c>
      <c r="FM391" s="385"/>
      <c r="FN391" s="380">
        <f t="shared" si="29"/>
        <v>0</v>
      </c>
      <c r="FO391" s="962">
        <f t="shared" si="37"/>
        <v>183</v>
      </c>
      <c r="FP391" s="956">
        <f t="shared" si="13"/>
        <v>0.4</v>
      </c>
      <c r="FQ391" s="380">
        <f t="shared" si="45"/>
        <v>0</v>
      </c>
      <c r="FR391" s="626">
        <f t="shared" si="70"/>
        <v>1</v>
      </c>
      <c r="FT391" s="1819">
        <f t="shared" si="38"/>
        <v>0</v>
      </c>
      <c r="FU391" s="1820"/>
      <c r="FV391" s="1820"/>
      <c r="FW391" s="1820"/>
      <c r="FX391" s="1821"/>
      <c r="FY391" s="1819">
        <f t="shared" si="30"/>
        <v>0</v>
      </c>
      <c r="FZ391" s="1820"/>
      <c r="GA391" s="1820"/>
      <c r="GB391" s="1821"/>
      <c r="GC391" s="1825">
        <f t="shared" si="54"/>
        <v>0</v>
      </c>
      <c r="GD391" s="1826"/>
      <c r="GE391" s="1826"/>
      <c r="GF391" s="1827"/>
      <c r="GH391" s="1750">
        <f t="shared" si="32"/>
        <v>0</v>
      </c>
      <c r="GI391" s="1751"/>
      <c r="GJ391" s="1751"/>
      <c r="GK391" s="1752"/>
      <c r="GL391" s="1750">
        <f t="shared" si="33"/>
        <v>0</v>
      </c>
      <c r="GM391" s="1751"/>
      <c r="GN391" s="1751"/>
      <c r="GO391" s="1752"/>
      <c r="GP391" s="385"/>
      <c r="GQ391" s="1750">
        <f t="shared" si="34"/>
        <v>0</v>
      </c>
      <c r="GR391" s="1751"/>
      <c r="GS391" s="1751"/>
      <c r="GT391" s="1752"/>
      <c r="GU391" s="192">
        <f t="shared" si="43"/>
        <v>1</v>
      </c>
      <c r="GV391" s="192">
        <f>SUM($GU$337:GU391)</f>
        <v>47</v>
      </c>
      <c r="GW391" s="318"/>
      <c r="GZ391" s="380">
        <f t="shared" si="66"/>
        <v>0</v>
      </c>
      <c r="HX391" s="380"/>
    </row>
    <row r="392" spans="4:232" ht="12.75" customHeight="1">
      <c r="D392" s="313"/>
      <c r="E392" s="247"/>
      <c r="F392" s="247"/>
      <c r="G392" s="247"/>
      <c r="H392" s="247"/>
      <c r="I392" s="247"/>
      <c r="J392" s="247"/>
      <c r="K392" s="247"/>
      <c r="L392" s="247"/>
      <c r="M392" s="247"/>
      <c r="N392" s="247"/>
      <c r="O392" s="247"/>
      <c r="P392" s="247"/>
      <c r="Q392" s="247"/>
      <c r="R392" s="247"/>
      <c r="S392" s="247"/>
      <c r="T392" s="247"/>
      <c r="U392" s="247"/>
      <c r="V392" s="247"/>
      <c r="W392" s="247"/>
      <c r="X392" s="247"/>
      <c r="Y392" s="247"/>
      <c r="Z392" s="247"/>
      <c r="AA392" s="247"/>
      <c r="AB392" s="251"/>
      <c r="AD392" s="247"/>
      <c r="AE392" s="247"/>
      <c r="AF392" s="247"/>
      <c r="AG392" s="247"/>
      <c r="AH392" s="247"/>
      <c r="AI392" s="247"/>
      <c r="AJ392" s="247"/>
      <c r="AK392" s="247"/>
      <c r="AL392" s="247"/>
      <c r="AM392" s="247"/>
      <c r="AN392" s="247"/>
      <c r="AO392" s="314"/>
      <c r="BD392" s="387">
        <f t="shared" si="67"/>
        <v>4</v>
      </c>
      <c r="BE392" s="382">
        <f>IF(BD392&gt;0,55,0)</f>
        <v>55</v>
      </c>
      <c r="BG392" s="383">
        <f>IF($BE392&gt;$R$66-3+($BR$335*12),55,0)</f>
        <v>55</v>
      </c>
      <c r="BH392" s="1754">
        <f t="shared" si="71"/>
        <v>0</v>
      </c>
      <c r="BI392" s="1754"/>
      <c r="BJ392" s="1754"/>
      <c r="BK392" s="1754"/>
      <c r="BL392" s="1754">
        <f t="shared" si="17"/>
        <v>0</v>
      </c>
      <c r="BM392" s="1754"/>
      <c r="BN392" s="1754"/>
      <c r="BO392" s="1754">
        <f t="shared" si="3"/>
        <v>0</v>
      </c>
      <c r="BP392" s="1754"/>
      <c r="BQ392" s="1754"/>
      <c r="BR392" s="1754">
        <f t="shared" si="68"/>
        <v>0</v>
      </c>
      <c r="BS392" s="1754"/>
      <c r="BT392" s="1754"/>
      <c r="BU392" s="1754"/>
      <c r="BW392" s="383">
        <f>IF($BE392&gt;$R$66-3+($CH$335*12),55,0)</f>
        <v>55</v>
      </c>
      <c r="BX392" s="1754">
        <f t="shared" si="72"/>
        <v>0</v>
      </c>
      <c r="BY392" s="1754"/>
      <c r="BZ392" s="1754"/>
      <c r="CA392" s="1754"/>
      <c r="CB392" s="1754">
        <f t="shared" si="18"/>
        <v>0</v>
      </c>
      <c r="CC392" s="1754"/>
      <c r="CD392" s="1754"/>
      <c r="CE392" s="1754">
        <f t="shared" si="5"/>
        <v>0</v>
      </c>
      <c r="CF392" s="1754"/>
      <c r="CG392" s="1754"/>
      <c r="CH392" s="1754">
        <f t="shared" si="6"/>
        <v>0</v>
      </c>
      <c r="CI392" s="1754"/>
      <c r="CJ392" s="1754"/>
      <c r="CK392" s="1754"/>
      <c r="CM392" s="383">
        <f>IF($BE392&gt;$R$66-3+($CX$335*12),55,0)</f>
        <v>55</v>
      </c>
      <c r="CN392" s="1754">
        <f t="shared" si="73"/>
        <v>0</v>
      </c>
      <c r="CO392" s="1754"/>
      <c r="CP392" s="1754"/>
      <c r="CQ392" s="1754"/>
      <c r="CR392" s="1754">
        <f t="shared" si="20"/>
        <v>0</v>
      </c>
      <c r="CS392" s="1754"/>
      <c r="CT392" s="1754"/>
      <c r="CU392" s="1754">
        <f t="shared" si="7"/>
        <v>0</v>
      </c>
      <c r="CV392" s="1754"/>
      <c r="CW392" s="1754"/>
      <c r="CX392" s="1754">
        <f t="shared" si="8"/>
        <v>0</v>
      </c>
      <c r="CY392" s="1754"/>
      <c r="CZ392" s="1754"/>
      <c r="DA392" s="1754"/>
      <c r="DC392" s="383">
        <f>IF($BE392&gt;$R$66-3,55,0)</f>
        <v>55</v>
      </c>
      <c r="DD392" s="1754">
        <f t="shared" si="74"/>
        <v>0</v>
      </c>
      <c r="DE392" s="1754"/>
      <c r="DF392" s="1754"/>
      <c r="DG392" s="1754"/>
      <c r="DH392" s="1754">
        <f t="shared" si="21"/>
        <v>0</v>
      </c>
      <c r="DI392" s="1754"/>
      <c r="DJ392" s="1754"/>
      <c r="DK392" s="1754">
        <f t="shared" si="9"/>
        <v>0</v>
      </c>
      <c r="DL392" s="1754"/>
      <c r="DM392" s="1754"/>
      <c r="DN392" s="1754"/>
      <c r="DP392" s="383">
        <f t="shared" si="22"/>
        <v>55</v>
      </c>
      <c r="DQ392" s="1754">
        <f t="shared" si="23"/>
        <v>0</v>
      </c>
      <c r="DR392" s="1754"/>
      <c r="DS392" s="1754"/>
      <c r="DT392" s="1754"/>
      <c r="DU392" s="1754">
        <f t="shared" si="44"/>
        <v>0</v>
      </c>
      <c r="DV392" s="1754"/>
      <c r="DW392" s="1754"/>
      <c r="DX392" s="1754">
        <f t="shared" si="49"/>
        <v>0</v>
      </c>
      <c r="DY392" s="1754"/>
      <c r="DZ392" s="1754"/>
      <c r="EA392" s="1754">
        <f t="shared" si="50"/>
        <v>0</v>
      </c>
      <c r="EB392" s="1754"/>
      <c r="EC392" s="1754"/>
      <c r="ED392" s="1754"/>
      <c r="EE392" s="384"/>
      <c r="EF392" s="1750">
        <f t="shared" si="11"/>
        <v>0</v>
      </c>
      <c r="EG392" s="1751"/>
      <c r="EH392" s="1751"/>
      <c r="EI392" s="1751"/>
      <c r="EJ392" s="1752"/>
      <c r="EL392" s="1750">
        <f t="shared" si="55"/>
        <v>0</v>
      </c>
      <c r="EM392" s="1751"/>
      <c r="EN392" s="1751"/>
      <c r="EO392" s="1751"/>
      <c r="EP392" s="1752"/>
      <c r="ER392" s="1750">
        <f t="shared" si="12"/>
        <v>0</v>
      </c>
      <c r="ES392" s="1751"/>
      <c r="ET392" s="1751"/>
      <c r="EU392" s="1751"/>
      <c r="EV392" s="1752"/>
      <c r="EX392" s="1750">
        <f>IF(BE392&gt;0,Einstrahlung!$K$22*Kalkulation!$P$62/100*$AY$29*POWER((100-$P$64)/100,BD392-1),0)</f>
        <v>0</v>
      </c>
      <c r="EY392" s="1751"/>
      <c r="EZ392" s="1751"/>
      <c r="FA392" s="1751"/>
      <c r="FB392" s="1752"/>
      <c r="FD392" s="1750">
        <f t="shared" si="27"/>
        <v>0</v>
      </c>
      <c r="FE392" s="1751"/>
      <c r="FF392" s="1751"/>
      <c r="FG392" s="1751"/>
      <c r="FH392" s="1752"/>
      <c r="FI392" s="385"/>
      <c r="FJ392" s="380">
        <f t="shared" si="40"/>
        <v>0</v>
      </c>
      <c r="FK392" s="385"/>
      <c r="FL392" s="380">
        <f t="shared" si="69"/>
        <v>0</v>
      </c>
      <c r="FM392" s="385"/>
      <c r="FN392" s="380">
        <f t="shared" si="29"/>
        <v>0</v>
      </c>
      <c r="FO392" s="962">
        <f t="shared" si="37"/>
        <v>184</v>
      </c>
      <c r="FP392" s="956">
        <f t="shared" si="13"/>
        <v>0.4</v>
      </c>
      <c r="FQ392" s="380">
        <f t="shared" si="45"/>
        <v>0</v>
      </c>
      <c r="FR392" s="626">
        <f t="shared" si="70"/>
        <v>1</v>
      </c>
      <c r="FT392" s="1819">
        <f t="shared" si="38"/>
        <v>0</v>
      </c>
      <c r="FU392" s="1820"/>
      <c r="FV392" s="1820"/>
      <c r="FW392" s="1820"/>
      <c r="FX392" s="1821"/>
      <c r="FY392" s="1819">
        <f t="shared" si="30"/>
        <v>0</v>
      </c>
      <c r="FZ392" s="1820"/>
      <c r="GA392" s="1820"/>
      <c r="GB392" s="1821"/>
      <c r="GC392" s="1825">
        <f t="shared" si="54"/>
        <v>0</v>
      </c>
      <c r="GD392" s="1826"/>
      <c r="GE392" s="1826"/>
      <c r="GF392" s="1827"/>
      <c r="GH392" s="1750">
        <f t="shared" si="32"/>
        <v>0</v>
      </c>
      <c r="GI392" s="1751"/>
      <c r="GJ392" s="1751"/>
      <c r="GK392" s="1752"/>
      <c r="GL392" s="1750">
        <f t="shared" si="33"/>
        <v>0</v>
      </c>
      <c r="GM392" s="1751"/>
      <c r="GN392" s="1751"/>
      <c r="GO392" s="1752"/>
      <c r="GP392" s="385"/>
      <c r="GQ392" s="1750">
        <f t="shared" si="34"/>
        <v>0</v>
      </c>
      <c r="GR392" s="1751"/>
      <c r="GS392" s="1751"/>
      <c r="GT392" s="1752"/>
      <c r="GU392" s="192">
        <f t="shared" si="43"/>
        <v>1</v>
      </c>
      <c r="GV392" s="192">
        <f>SUM($GU$337:GU392)</f>
        <v>48</v>
      </c>
      <c r="GW392" s="318"/>
      <c r="GZ392" s="380">
        <f t="shared" si="66"/>
        <v>0</v>
      </c>
      <c r="HX392" s="380"/>
    </row>
    <row r="393" spans="4:232" ht="12.75" customHeight="1">
      <c r="D393" s="313"/>
      <c r="E393" s="247"/>
      <c r="F393" s="247"/>
      <c r="G393" s="247"/>
      <c r="H393" s="247"/>
      <c r="I393" s="247"/>
      <c r="J393" s="247"/>
      <c r="K393" s="247"/>
      <c r="L393" s="247"/>
      <c r="M393" s="247"/>
      <c r="N393" s="247"/>
      <c r="O393" s="247"/>
      <c r="P393" s="247"/>
      <c r="Q393" s="247"/>
      <c r="R393" s="247"/>
      <c r="S393" s="247"/>
      <c r="T393" s="247"/>
      <c r="U393" s="247"/>
      <c r="V393" s="247"/>
      <c r="W393" s="247"/>
      <c r="X393" s="247"/>
      <c r="Y393" s="247"/>
      <c r="Z393" s="247"/>
      <c r="AA393" s="247"/>
      <c r="AB393" s="251"/>
      <c r="AD393" s="247"/>
      <c r="AE393" s="247"/>
      <c r="AF393" s="247"/>
      <c r="AG393" s="247"/>
      <c r="AH393" s="247"/>
      <c r="AI393" s="247"/>
      <c r="AJ393" s="247"/>
      <c r="AK393" s="247"/>
      <c r="AL393" s="247"/>
      <c r="AM393" s="247"/>
      <c r="AN393" s="247"/>
      <c r="AO393" s="314"/>
      <c r="BD393" s="387">
        <f t="shared" si="67"/>
        <v>4</v>
      </c>
      <c r="BE393" s="382">
        <f>IF(BD393&gt;0,56,0)</f>
        <v>56</v>
      </c>
      <c r="BG393" s="383">
        <f>IF($BE393&gt;$R$66-3+($BR$335*12),56,0)</f>
        <v>56</v>
      </c>
      <c r="BH393" s="1754">
        <f t="shared" si="71"/>
        <v>0</v>
      </c>
      <c r="BI393" s="1754"/>
      <c r="BJ393" s="1754"/>
      <c r="BK393" s="1754"/>
      <c r="BL393" s="1754">
        <f t="shared" si="17"/>
        <v>0</v>
      </c>
      <c r="BM393" s="1754"/>
      <c r="BN393" s="1754"/>
      <c r="BO393" s="1754">
        <f t="shared" si="3"/>
        <v>0</v>
      </c>
      <c r="BP393" s="1754"/>
      <c r="BQ393" s="1754"/>
      <c r="BR393" s="1754">
        <f t="shared" si="68"/>
        <v>0</v>
      </c>
      <c r="BS393" s="1754"/>
      <c r="BT393" s="1754"/>
      <c r="BU393" s="1754"/>
      <c r="BW393" s="383">
        <f>IF($BE393&gt;$R$66-3+($CH$335*12),56,0)</f>
        <v>56</v>
      </c>
      <c r="BX393" s="1754">
        <f t="shared" si="72"/>
        <v>0</v>
      </c>
      <c r="BY393" s="1754"/>
      <c r="BZ393" s="1754"/>
      <c r="CA393" s="1754"/>
      <c r="CB393" s="1754">
        <f t="shared" si="18"/>
        <v>0</v>
      </c>
      <c r="CC393" s="1754"/>
      <c r="CD393" s="1754"/>
      <c r="CE393" s="1754">
        <f t="shared" si="5"/>
        <v>0</v>
      </c>
      <c r="CF393" s="1754"/>
      <c r="CG393" s="1754"/>
      <c r="CH393" s="1754">
        <f t="shared" si="6"/>
        <v>0</v>
      </c>
      <c r="CI393" s="1754"/>
      <c r="CJ393" s="1754"/>
      <c r="CK393" s="1754"/>
      <c r="CM393" s="383">
        <f>IF($BE393&gt;$R$66-3+($CX$335*12),56,0)</f>
        <v>56</v>
      </c>
      <c r="CN393" s="1754">
        <f t="shared" si="73"/>
        <v>0</v>
      </c>
      <c r="CO393" s="1754"/>
      <c r="CP393" s="1754"/>
      <c r="CQ393" s="1754"/>
      <c r="CR393" s="1754">
        <f t="shared" si="20"/>
        <v>0</v>
      </c>
      <c r="CS393" s="1754"/>
      <c r="CT393" s="1754"/>
      <c r="CU393" s="1754">
        <f t="shared" si="7"/>
        <v>0</v>
      </c>
      <c r="CV393" s="1754"/>
      <c r="CW393" s="1754"/>
      <c r="CX393" s="1754">
        <f t="shared" si="8"/>
        <v>0</v>
      </c>
      <c r="CY393" s="1754"/>
      <c r="CZ393" s="1754"/>
      <c r="DA393" s="1754"/>
      <c r="DC393" s="383">
        <f>IF($BE393&gt;$R$66-3,56,0)</f>
        <v>56</v>
      </c>
      <c r="DD393" s="1754">
        <f t="shared" si="74"/>
        <v>0</v>
      </c>
      <c r="DE393" s="1754"/>
      <c r="DF393" s="1754"/>
      <c r="DG393" s="1754"/>
      <c r="DH393" s="1754">
        <f t="shared" si="21"/>
        <v>0</v>
      </c>
      <c r="DI393" s="1754"/>
      <c r="DJ393" s="1754"/>
      <c r="DK393" s="1754">
        <f t="shared" si="9"/>
        <v>0</v>
      </c>
      <c r="DL393" s="1754"/>
      <c r="DM393" s="1754"/>
      <c r="DN393" s="1754"/>
      <c r="DP393" s="383">
        <f t="shared" si="22"/>
        <v>56</v>
      </c>
      <c r="DQ393" s="1754">
        <f t="shared" si="23"/>
        <v>0</v>
      </c>
      <c r="DR393" s="1754"/>
      <c r="DS393" s="1754"/>
      <c r="DT393" s="1754"/>
      <c r="DU393" s="1754">
        <f t="shared" si="44"/>
        <v>0</v>
      </c>
      <c r="DV393" s="1754"/>
      <c r="DW393" s="1754"/>
      <c r="DX393" s="1754">
        <f t="shared" si="49"/>
        <v>0</v>
      </c>
      <c r="DY393" s="1754"/>
      <c r="DZ393" s="1754"/>
      <c r="EA393" s="1754">
        <f t="shared" si="50"/>
        <v>0</v>
      </c>
      <c r="EB393" s="1754"/>
      <c r="EC393" s="1754"/>
      <c r="ED393" s="1754"/>
      <c r="EE393" s="384"/>
      <c r="EF393" s="1750">
        <f t="shared" si="11"/>
        <v>0</v>
      </c>
      <c r="EG393" s="1751"/>
      <c r="EH393" s="1751"/>
      <c r="EI393" s="1751"/>
      <c r="EJ393" s="1752"/>
      <c r="EL393" s="1750">
        <f t="shared" si="55"/>
        <v>0</v>
      </c>
      <c r="EM393" s="1751"/>
      <c r="EN393" s="1751"/>
      <c r="EO393" s="1751"/>
      <c r="EP393" s="1752"/>
      <c r="ER393" s="1750">
        <f t="shared" si="12"/>
        <v>0</v>
      </c>
      <c r="ES393" s="1751"/>
      <c r="ET393" s="1751"/>
      <c r="EU393" s="1751"/>
      <c r="EV393" s="1752"/>
      <c r="EX393" s="1750">
        <f>IF(BE393&gt;0,Einstrahlung!$K$24*Kalkulation!$P$62/100*$AY$29*POWER((100-$P$64)/100,BD393-1),0)</f>
        <v>0</v>
      </c>
      <c r="EY393" s="1751"/>
      <c r="EZ393" s="1751"/>
      <c r="FA393" s="1751"/>
      <c r="FB393" s="1752"/>
      <c r="FD393" s="1750">
        <f t="shared" si="27"/>
        <v>0</v>
      </c>
      <c r="FE393" s="1751"/>
      <c r="FF393" s="1751"/>
      <c r="FG393" s="1751"/>
      <c r="FH393" s="1752"/>
      <c r="FI393" s="385"/>
      <c r="FJ393" s="380">
        <f t="shared" si="40"/>
        <v>0</v>
      </c>
      <c r="FK393" s="385"/>
      <c r="FL393" s="380">
        <f t="shared" si="69"/>
        <v>0</v>
      </c>
      <c r="FM393" s="385"/>
      <c r="FN393" s="380">
        <f t="shared" si="29"/>
        <v>0</v>
      </c>
      <c r="FO393" s="962">
        <f t="shared" si="37"/>
        <v>185</v>
      </c>
      <c r="FP393" s="956">
        <f t="shared" si="13"/>
        <v>0.4</v>
      </c>
      <c r="FQ393" s="380">
        <f t="shared" si="45"/>
        <v>0</v>
      </c>
      <c r="FR393" s="626">
        <f t="shared" si="70"/>
        <v>1</v>
      </c>
      <c r="FT393" s="1819">
        <f t="shared" si="38"/>
        <v>0</v>
      </c>
      <c r="FU393" s="1820"/>
      <c r="FV393" s="1820"/>
      <c r="FW393" s="1820"/>
      <c r="FX393" s="1821"/>
      <c r="FY393" s="1819">
        <f t="shared" si="30"/>
        <v>0</v>
      </c>
      <c r="FZ393" s="1820"/>
      <c r="GA393" s="1820"/>
      <c r="GB393" s="1821"/>
      <c r="GC393" s="1825">
        <f t="shared" si="54"/>
        <v>0</v>
      </c>
      <c r="GD393" s="1826"/>
      <c r="GE393" s="1826"/>
      <c r="GF393" s="1827"/>
      <c r="GH393" s="1750">
        <f t="shared" si="32"/>
        <v>0</v>
      </c>
      <c r="GI393" s="1751"/>
      <c r="GJ393" s="1751"/>
      <c r="GK393" s="1752"/>
      <c r="GL393" s="1750">
        <f t="shared" si="33"/>
        <v>0</v>
      </c>
      <c r="GM393" s="1751"/>
      <c r="GN393" s="1751"/>
      <c r="GO393" s="1752"/>
      <c r="GP393" s="385"/>
      <c r="GQ393" s="1750">
        <f t="shared" si="34"/>
        <v>0</v>
      </c>
      <c r="GR393" s="1751"/>
      <c r="GS393" s="1751"/>
      <c r="GT393" s="1752"/>
      <c r="GU393" s="192">
        <f t="shared" si="43"/>
        <v>1</v>
      </c>
      <c r="GV393" s="192">
        <f>SUM($GU$337:GU393)</f>
        <v>49</v>
      </c>
      <c r="GW393" s="318"/>
      <c r="GZ393" s="380">
        <f t="shared" si="66"/>
        <v>0</v>
      </c>
      <c r="HX393" s="380"/>
    </row>
    <row r="394" spans="4:232" ht="12.75" customHeight="1">
      <c r="D394" s="313"/>
      <c r="E394" s="247"/>
      <c r="F394" s="247"/>
      <c r="G394" s="247"/>
      <c r="H394" s="247"/>
      <c r="I394" s="247"/>
      <c r="J394" s="247"/>
      <c r="K394" s="247"/>
      <c r="L394" s="247"/>
      <c r="M394" s="247"/>
      <c r="N394" s="247"/>
      <c r="O394" s="247"/>
      <c r="P394" s="247"/>
      <c r="Q394" s="247"/>
      <c r="R394" s="247"/>
      <c r="S394" s="247"/>
      <c r="T394" s="247"/>
      <c r="U394" s="247"/>
      <c r="V394" s="247"/>
      <c r="W394" s="247"/>
      <c r="X394" s="247"/>
      <c r="Y394" s="247"/>
      <c r="Z394" s="247"/>
      <c r="AA394" s="247"/>
      <c r="AB394" s="251"/>
      <c r="AD394" s="247"/>
      <c r="AE394" s="247"/>
      <c r="AF394" s="247"/>
      <c r="AG394" s="247"/>
      <c r="AH394" s="247"/>
      <c r="AI394" s="247"/>
      <c r="AJ394" s="247"/>
      <c r="AK394" s="247"/>
      <c r="AL394" s="247"/>
      <c r="AM394" s="247"/>
      <c r="AN394" s="247"/>
      <c r="AO394" s="314"/>
      <c r="BD394" s="387">
        <f t="shared" si="67"/>
        <v>4</v>
      </c>
      <c r="BE394" s="382">
        <f>IF(BD394&gt;0,57,0)</f>
        <v>57</v>
      </c>
      <c r="BG394" s="383">
        <f>IF($BE394&gt;$R$66-3+($BR$335*12),57,0)</f>
        <v>57</v>
      </c>
      <c r="BH394" s="1754">
        <f t="shared" si="71"/>
        <v>0</v>
      </c>
      <c r="BI394" s="1754"/>
      <c r="BJ394" s="1754"/>
      <c r="BK394" s="1754"/>
      <c r="BL394" s="1754">
        <f t="shared" si="17"/>
        <v>0</v>
      </c>
      <c r="BM394" s="1754"/>
      <c r="BN394" s="1754"/>
      <c r="BO394" s="1754">
        <f t="shared" si="3"/>
        <v>0</v>
      </c>
      <c r="BP394" s="1754"/>
      <c r="BQ394" s="1754"/>
      <c r="BR394" s="1754">
        <f t="shared" si="68"/>
        <v>0</v>
      </c>
      <c r="BS394" s="1754"/>
      <c r="BT394" s="1754"/>
      <c r="BU394" s="1754"/>
      <c r="BW394" s="383">
        <f>IF($BE394&gt;$R$66-3+($CH$335*12),57,0)</f>
        <v>57</v>
      </c>
      <c r="BX394" s="1754">
        <f t="shared" si="72"/>
        <v>0</v>
      </c>
      <c r="BY394" s="1754"/>
      <c r="BZ394" s="1754"/>
      <c r="CA394" s="1754"/>
      <c r="CB394" s="1754">
        <f t="shared" si="18"/>
        <v>0</v>
      </c>
      <c r="CC394" s="1754"/>
      <c r="CD394" s="1754"/>
      <c r="CE394" s="1754">
        <f t="shared" si="5"/>
        <v>0</v>
      </c>
      <c r="CF394" s="1754"/>
      <c r="CG394" s="1754"/>
      <c r="CH394" s="1754">
        <f t="shared" si="6"/>
        <v>0</v>
      </c>
      <c r="CI394" s="1754"/>
      <c r="CJ394" s="1754"/>
      <c r="CK394" s="1754"/>
      <c r="CM394" s="383">
        <f>IF($BE394&gt;$R$66-3+($CX$335*12),57,0)</f>
        <v>57</v>
      </c>
      <c r="CN394" s="1754">
        <f t="shared" si="73"/>
        <v>0</v>
      </c>
      <c r="CO394" s="1754"/>
      <c r="CP394" s="1754"/>
      <c r="CQ394" s="1754"/>
      <c r="CR394" s="1754">
        <f t="shared" si="20"/>
        <v>0</v>
      </c>
      <c r="CS394" s="1754"/>
      <c r="CT394" s="1754"/>
      <c r="CU394" s="1754">
        <f t="shared" si="7"/>
        <v>0</v>
      </c>
      <c r="CV394" s="1754"/>
      <c r="CW394" s="1754"/>
      <c r="CX394" s="1754">
        <f t="shared" si="8"/>
        <v>0</v>
      </c>
      <c r="CY394" s="1754"/>
      <c r="CZ394" s="1754"/>
      <c r="DA394" s="1754"/>
      <c r="DC394" s="383">
        <f>IF($BE394&gt;$R$66-3,57,0)</f>
        <v>57</v>
      </c>
      <c r="DD394" s="1754">
        <f t="shared" si="74"/>
        <v>0</v>
      </c>
      <c r="DE394" s="1754"/>
      <c r="DF394" s="1754"/>
      <c r="DG394" s="1754"/>
      <c r="DH394" s="1754">
        <f t="shared" si="21"/>
        <v>0</v>
      </c>
      <c r="DI394" s="1754"/>
      <c r="DJ394" s="1754"/>
      <c r="DK394" s="1754">
        <f t="shared" si="9"/>
        <v>0</v>
      </c>
      <c r="DL394" s="1754"/>
      <c r="DM394" s="1754"/>
      <c r="DN394" s="1754"/>
      <c r="DP394" s="383">
        <f t="shared" si="22"/>
        <v>57</v>
      </c>
      <c r="DQ394" s="1754">
        <f t="shared" si="23"/>
        <v>0</v>
      </c>
      <c r="DR394" s="1754"/>
      <c r="DS394" s="1754"/>
      <c r="DT394" s="1754"/>
      <c r="DU394" s="1754">
        <f t="shared" si="44"/>
        <v>0</v>
      </c>
      <c r="DV394" s="1754"/>
      <c r="DW394" s="1754"/>
      <c r="DX394" s="1754">
        <f t="shared" si="49"/>
        <v>0</v>
      </c>
      <c r="DY394" s="1754"/>
      <c r="DZ394" s="1754"/>
      <c r="EA394" s="1754">
        <f t="shared" si="50"/>
        <v>0</v>
      </c>
      <c r="EB394" s="1754"/>
      <c r="EC394" s="1754"/>
      <c r="ED394" s="1754"/>
      <c r="EE394" s="384"/>
      <c r="EF394" s="1750">
        <f t="shared" si="11"/>
        <v>0</v>
      </c>
      <c r="EG394" s="1751"/>
      <c r="EH394" s="1751"/>
      <c r="EI394" s="1751"/>
      <c r="EJ394" s="1752"/>
      <c r="EL394" s="1750">
        <f t="shared" si="55"/>
        <v>0</v>
      </c>
      <c r="EM394" s="1751"/>
      <c r="EN394" s="1751"/>
      <c r="EO394" s="1751"/>
      <c r="EP394" s="1752"/>
      <c r="ER394" s="1750">
        <f t="shared" si="12"/>
        <v>0</v>
      </c>
      <c r="ES394" s="1751"/>
      <c r="ET394" s="1751"/>
      <c r="EU394" s="1751"/>
      <c r="EV394" s="1752"/>
      <c r="EX394" s="1750">
        <f>IF(BE394&gt;0,Einstrahlung!$K$26*Kalkulation!$P$62/100*$AY$29*POWER((100-$P$64)/100,BD394-1),0)</f>
        <v>0</v>
      </c>
      <c r="EY394" s="1751"/>
      <c r="EZ394" s="1751"/>
      <c r="FA394" s="1751"/>
      <c r="FB394" s="1752"/>
      <c r="FD394" s="1750">
        <f t="shared" si="27"/>
        <v>0</v>
      </c>
      <c r="FE394" s="1751"/>
      <c r="FF394" s="1751"/>
      <c r="FG394" s="1751"/>
      <c r="FH394" s="1752"/>
      <c r="FI394" s="385"/>
      <c r="FJ394" s="380">
        <f t="shared" si="40"/>
        <v>0</v>
      </c>
      <c r="FK394" s="385"/>
      <c r="FL394" s="380">
        <f t="shared" si="69"/>
        <v>0</v>
      </c>
      <c r="FM394" s="385"/>
      <c r="FN394" s="380">
        <f t="shared" si="29"/>
        <v>0</v>
      </c>
      <c r="FO394" s="962">
        <f t="shared" si="37"/>
        <v>186</v>
      </c>
      <c r="FP394" s="956">
        <f t="shared" si="13"/>
        <v>0.4</v>
      </c>
      <c r="FQ394" s="380">
        <f t="shared" si="45"/>
        <v>0</v>
      </c>
      <c r="FR394" s="626">
        <f t="shared" si="70"/>
        <v>1</v>
      </c>
      <c r="FT394" s="1819">
        <f t="shared" si="38"/>
        <v>0</v>
      </c>
      <c r="FU394" s="1820"/>
      <c r="FV394" s="1820"/>
      <c r="FW394" s="1820"/>
      <c r="FX394" s="1821"/>
      <c r="FY394" s="1819">
        <f t="shared" si="30"/>
        <v>0</v>
      </c>
      <c r="FZ394" s="1820"/>
      <c r="GA394" s="1820"/>
      <c r="GB394" s="1821"/>
      <c r="GC394" s="1825">
        <f t="shared" si="54"/>
        <v>0</v>
      </c>
      <c r="GD394" s="1826"/>
      <c r="GE394" s="1826"/>
      <c r="GF394" s="1827"/>
      <c r="GH394" s="1750">
        <f t="shared" si="32"/>
        <v>0</v>
      </c>
      <c r="GI394" s="1751"/>
      <c r="GJ394" s="1751"/>
      <c r="GK394" s="1752"/>
      <c r="GL394" s="1750">
        <f t="shared" si="33"/>
        <v>0</v>
      </c>
      <c r="GM394" s="1751"/>
      <c r="GN394" s="1751"/>
      <c r="GO394" s="1752"/>
      <c r="GP394" s="385"/>
      <c r="GQ394" s="1750">
        <f t="shared" si="34"/>
        <v>0</v>
      </c>
      <c r="GR394" s="1751"/>
      <c r="GS394" s="1751"/>
      <c r="GT394" s="1752"/>
      <c r="GU394" s="192">
        <f t="shared" si="43"/>
        <v>1</v>
      </c>
      <c r="GV394" s="192">
        <f>SUM($GU$337:GU394)</f>
        <v>50</v>
      </c>
      <c r="GW394" s="318"/>
      <c r="GZ394" s="380">
        <f t="shared" si="66"/>
        <v>0</v>
      </c>
      <c r="HX394" s="380"/>
    </row>
    <row r="395" spans="4:232" ht="12.75" customHeight="1">
      <c r="D395" s="313"/>
      <c r="E395" s="247"/>
      <c r="F395" s="247"/>
      <c r="G395" s="247"/>
      <c r="H395" s="247"/>
      <c r="I395" s="247"/>
      <c r="J395" s="247"/>
      <c r="K395" s="247"/>
      <c r="L395" s="247"/>
      <c r="M395" s="247"/>
      <c r="N395" s="247"/>
      <c r="O395" s="247"/>
      <c r="P395" s="247"/>
      <c r="Q395" s="247"/>
      <c r="R395" s="247"/>
      <c r="S395" s="247"/>
      <c r="T395" s="247"/>
      <c r="U395" s="247"/>
      <c r="V395" s="247"/>
      <c r="W395" s="247"/>
      <c r="X395" s="247"/>
      <c r="Y395" s="247"/>
      <c r="Z395" s="247"/>
      <c r="AA395" s="247"/>
      <c r="AB395" s="251"/>
      <c r="AD395" s="247"/>
      <c r="AE395" s="247"/>
      <c r="AF395" s="247"/>
      <c r="AG395" s="247"/>
      <c r="AH395" s="247"/>
      <c r="AI395" s="247"/>
      <c r="AJ395" s="247"/>
      <c r="AK395" s="247"/>
      <c r="AL395" s="247"/>
      <c r="AM395" s="247"/>
      <c r="AN395" s="247"/>
      <c r="AO395" s="314"/>
      <c r="BD395" s="387">
        <f t="shared" si="67"/>
        <v>4</v>
      </c>
      <c r="BE395" s="382">
        <f>IF(BD395&gt;0,58,0)</f>
        <v>58</v>
      </c>
      <c r="BG395" s="383">
        <f>IF($BE395&gt;$R$66-3+($BR$335*12),58,0)</f>
        <v>58</v>
      </c>
      <c r="BH395" s="1754">
        <f t="shared" si="71"/>
        <v>0</v>
      </c>
      <c r="BI395" s="1754"/>
      <c r="BJ395" s="1754"/>
      <c r="BK395" s="1754"/>
      <c r="BL395" s="1754">
        <f t="shared" si="17"/>
        <v>0</v>
      </c>
      <c r="BM395" s="1754"/>
      <c r="BN395" s="1754"/>
      <c r="BO395" s="1754">
        <f t="shared" si="3"/>
        <v>0</v>
      </c>
      <c r="BP395" s="1754"/>
      <c r="BQ395" s="1754"/>
      <c r="BR395" s="1754">
        <f t="shared" si="68"/>
        <v>0</v>
      </c>
      <c r="BS395" s="1754"/>
      <c r="BT395" s="1754"/>
      <c r="BU395" s="1754"/>
      <c r="BW395" s="383">
        <f>IF($BE395&gt;$R$66-3+($CH$335*12),58,0)</f>
        <v>58</v>
      </c>
      <c r="BX395" s="1754">
        <f t="shared" si="72"/>
        <v>0</v>
      </c>
      <c r="BY395" s="1754"/>
      <c r="BZ395" s="1754"/>
      <c r="CA395" s="1754"/>
      <c r="CB395" s="1754">
        <f t="shared" si="18"/>
        <v>0</v>
      </c>
      <c r="CC395" s="1754"/>
      <c r="CD395" s="1754"/>
      <c r="CE395" s="1754">
        <f t="shared" si="5"/>
        <v>0</v>
      </c>
      <c r="CF395" s="1754"/>
      <c r="CG395" s="1754"/>
      <c r="CH395" s="1754">
        <f t="shared" si="6"/>
        <v>0</v>
      </c>
      <c r="CI395" s="1754"/>
      <c r="CJ395" s="1754"/>
      <c r="CK395" s="1754"/>
      <c r="CM395" s="383">
        <f>IF($BE395&gt;$R$66-3+($CX$335*12),58,0)</f>
        <v>58</v>
      </c>
      <c r="CN395" s="1754">
        <f t="shared" si="73"/>
        <v>0</v>
      </c>
      <c r="CO395" s="1754"/>
      <c r="CP395" s="1754"/>
      <c r="CQ395" s="1754"/>
      <c r="CR395" s="1754">
        <f t="shared" si="20"/>
        <v>0</v>
      </c>
      <c r="CS395" s="1754"/>
      <c r="CT395" s="1754"/>
      <c r="CU395" s="1754">
        <f t="shared" si="7"/>
        <v>0</v>
      </c>
      <c r="CV395" s="1754"/>
      <c r="CW395" s="1754"/>
      <c r="CX395" s="1754">
        <f t="shared" si="8"/>
        <v>0</v>
      </c>
      <c r="CY395" s="1754"/>
      <c r="CZ395" s="1754"/>
      <c r="DA395" s="1754"/>
      <c r="DC395" s="383">
        <f>IF($BE395&gt;$R$66-3,58,0)</f>
        <v>58</v>
      </c>
      <c r="DD395" s="1754">
        <f t="shared" si="74"/>
        <v>0</v>
      </c>
      <c r="DE395" s="1754"/>
      <c r="DF395" s="1754"/>
      <c r="DG395" s="1754"/>
      <c r="DH395" s="1754">
        <f t="shared" si="21"/>
        <v>0</v>
      </c>
      <c r="DI395" s="1754"/>
      <c r="DJ395" s="1754"/>
      <c r="DK395" s="1754">
        <f t="shared" si="9"/>
        <v>0</v>
      </c>
      <c r="DL395" s="1754"/>
      <c r="DM395" s="1754"/>
      <c r="DN395" s="1754"/>
      <c r="DP395" s="383">
        <f t="shared" si="22"/>
        <v>58</v>
      </c>
      <c r="DQ395" s="1754">
        <f t="shared" si="23"/>
        <v>0</v>
      </c>
      <c r="DR395" s="1754"/>
      <c r="DS395" s="1754"/>
      <c r="DT395" s="1754"/>
      <c r="DU395" s="1754">
        <f t="shared" si="44"/>
        <v>0</v>
      </c>
      <c r="DV395" s="1754"/>
      <c r="DW395" s="1754"/>
      <c r="DX395" s="1754">
        <f t="shared" si="49"/>
        <v>0</v>
      </c>
      <c r="DY395" s="1754"/>
      <c r="DZ395" s="1754"/>
      <c r="EA395" s="1754">
        <f t="shared" si="50"/>
        <v>0</v>
      </c>
      <c r="EB395" s="1754"/>
      <c r="EC395" s="1754"/>
      <c r="ED395" s="1754"/>
      <c r="EE395" s="384"/>
      <c r="EF395" s="1750">
        <f t="shared" si="11"/>
        <v>0</v>
      </c>
      <c r="EG395" s="1751"/>
      <c r="EH395" s="1751"/>
      <c r="EI395" s="1751"/>
      <c r="EJ395" s="1752"/>
      <c r="EL395" s="1750">
        <f t="shared" si="55"/>
        <v>0</v>
      </c>
      <c r="EM395" s="1751"/>
      <c r="EN395" s="1751"/>
      <c r="EO395" s="1751"/>
      <c r="EP395" s="1752"/>
      <c r="ER395" s="1750">
        <f t="shared" si="12"/>
        <v>0</v>
      </c>
      <c r="ES395" s="1751"/>
      <c r="ET395" s="1751"/>
      <c r="EU395" s="1751"/>
      <c r="EV395" s="1752"/>
      <c r="EX395" s="1750">
        <f>IF(BE395&gt;0,Einstrahlung!$K$28*Kalkulation!$P$62/100*$AY$29*POWER((100-$P$64)/100,BD395-1),0)</f>
        <v>0</v>
      </c>
      <c r="EY395" s="1751"/>
      <c r="EZ395" s="1751"/>
      <c r="FA395" s="1751"/>
      <c r="FB395" s="1752"/>
      <c r="FD395" s="1750">
        <f t="shared" si="27"/>
        <v>0</v>
      </c>
      <c r="FE395" s="1751"/>
      <c r="FF395" s="1751"/>
      <c r="FG395" s="1751"/>
      <c r="FH395" s="1752"/>
      <c r="FI395" s="385"/>
      <c r="FJ395" s="380">
        <f t="shared" si="40"/>
        <v>0</v>
      </c>
      <c r="FK395" s="385"/>
      <c r="FL395" s="380">
        <f t="shared" si="69"/>
        <v>0</v>
      </c>
      <c r="FM395" s="385"/>
      <c r="FN395" s="380">
        <f t="shared" si="29"/>
        <v>0</v>
      </c>
      <c r="FO395" s="962">
        <f t="shared" si="37"/>
        <v>187</v>
      </c>
      <c r="FP395" s="956">
        <f t="shared" si="13"/>
        <v>0.4</v>
      </c>
      <c r="FQ395" s="380">
        <f t="shared" si="45"/>
        <v>0</v>
      </c>
      <c r="FR395" s="626">
        <f t="shared" si="70"/>
        <v>1</v>
      </c>
      <c r="FT395" s="1819">
        <f t="shared" si="38"/>
        <v>0</v>
      </c>
      <c r="FU395" s="1820"/>
      <c r="FV395" s="1820"/>
      <c r="FW395" s="1820"/>
      <c r="FX395" s="1821"/>
      <c r="FY395" s="1819">
        <f t="shared" si="30"/>
        <v>0</v>
      </c>
      <c r="FZ395" s="1820"/>
      <c r="GA395" s="1820"/>
      <c r="GB395" s="1821"/>
      <c r="GC395" s="1825">
        <f t="shared" si="54"/>
        <v>0</v>
      </c>
      <c r="GD395" s="1826"/>
      <c r="GE395" s="1826"/>
      <c r="GF395" s="1827"/>
      <c r="GH395" s="1750">
        <f t="shared" si="32"/>
        <v>0</v>
      </c>
      <c r="GI395" s="1751"/>
      <c r="GJ395" s="1751"/>
      <c r="GK395" s="1752"/>
      <c r="GL395" s="1750">
        <f t="shared" si="33"/>
        <v>0</v>
      </c>
      <c r="GM395" s="1751"/>
      <c r="GN395" s="1751"/>
      <c r="GO395" s="1752"/>
      <c r="GP395" s="385"/>
      <c r="GQ395" s="1750">
        <f t="shared" si="34"/>
        <v>0</v>
      </c>
      <c r="GR395" s="1751"/>
      <c r="GS395" s="1751"/>
      <c r="GT395" s="1752"/>
      <c r="GU395" s="192">
        <f t="shared" si="43"/>
        <v>1</v>
      </c>
      <c r="GV395" s="192">
        <f>SUM($GU$337:GU395)</f>
        <v>51</v>
      </c>
      <c r="GW395" s="318"/>
      <c r="GZ395" s="380">
        <f t="shared" si="66"/>
        <v>0</v>
      </c>
      <c r="HX395" s="380"/>
    </row>
    <row r="396" spans="4:232" ht="12.75" customHeight="1">
      <c r="D396" s="313"/>
      <c r="E396" s="247"/>
      <c r="F396" s="247"/>
      <c r="G396" s="247"/>
      <c r="H396" s="247"/>
      <c r="I396" s="247"/>
      <c r="J396" s="247"/>
      <c r="K396" s="247"/>
      <c r="L396" s="247"/>
      <c r="M396" s="247"/>
      <c r="N396" s="247"/>
      <c r="O396" s="247"/>
      <c r="P396" s="247"/>
      <c r="Q396" s="247"/>
      <c r="R396" s="247"/>
      <c r="S396" s="247"/>
      <c r="T396" s="247"/>
      <c r="U396" s="247"/>
      <c r="V396" s="247"/>
      <c r="W396" s="247"/>
      <c r="X396" s="247"/>
      <c r="Y396" s="247"/>
      <c r="Z396" s="247"/>
      <c r="AA396" s="247"/>
      <c r="AB396" s="251"/>
      <c r="AD396" s="247"/>
      <c r="AE396" s="247"/>
      <c r="AF396" s="247"/>
      <c r="AG396" s="247"/>
      <c r="AH396" s="247"/>
      <c r="AI396" s="247"/>
      <c r="AJ396" s="247"/>
      <c r="AK396" s="247"/>
      <c r="AL396" s="247"/>
      <c r="AM396" s="247"/>
      <c r="AN396" s="247"/>
      <c r="AO396" s="314"/>
      <c r="BD396" s="387">
        <f t="shared" si="67"/>
        <v>4</v>
      </c>
      <c r="BE396" s="382">
        <f>IF(BD396&gt;0,59,0)</f>
        <v>59</v>
      </c>
      <c r="BG396" s="383">
        <f>IF($BE396&gt;$R$66-3+($BR$335*12),59,0)</f>
        <v>59</v>
      </c>
      <c r="BH396" s="1754">
        <f t="shared" si="71"/>
        <v>0</v>
      </c>
      <c r="BI396" s="1754"/>
      <c r="BJ396" s="1754"/>
      <c r="BK396" s="1754"/>
      <c r="BL396" s="1754">
        <f t="shared" si="17"/>
        <v>0</v>
      </c>
      <c r="BM396" s="1754"/>
      <c r="BN396" s="1754"/>
      <c r="BO396" s="1754">
        <f t="shared" si="3"/>
        <v>0</v>
      </c>
      <c r="BP396" s="1754"/>
      <c r="BQ396" s="1754"/>
      <c r="BR396" s="1754">
        <f t="shared" si="68"/>
        <v>0</v>
      </c>
      <c r="BS396" s="1754"/>
      <c r="BT396" s="1754"/>
      <c r="BU396" s="1754"/>
      <c r="BW396" s="383">
        <f>IF($BE396&gt;$R$66-3+($CH$335*12),59,0)</f>
        <v>59</v>
      </c>
      <c r="BX396" s="1754">
        <f t="shared" si="72"/>
        <v>0</v>
      </c>
      <c r="BY396" s="1754"/>
      <c r="BZ396" s="1754"/>
      <c r="CA396" s="1754"/>
      <c r="CB396" s="1754">
        <f t="shared" si="18"/>
        <v>0</v>
      </c>
      <c r="CC396" s="1754"/>
      <c r="CD396" s="1754"/>
      <c r="CE396" s="1754">
        <f t="shared" si="5"/>
        <v>0</v>
      </c>
      <c r="CF396" s="1754"/>
      <c r="CG396" s="1754"/>
      <c r="CH396" s="1754">
        <f t="shared" si="6"/>
        <v>0</v>
      </c>
      <c r="CI396" s="1754"/>
      <c r="CJ396" s="1754"/>
      <c r="CK396" s="1754"/>
      <c r="CM396" s="383">
        <f>IF($BE396&gt;$R$66-3+($CX$335*12),59,0)</f>
        <v>59</v>
      </c>
      <c r="CN396" s="1754">
        <f t="shared" si="73"/>
        <v>0</v>
      </c>
      <c r="CO396" s="1754"/>
      <c r="CP396" s="1754"/>
      <c r="CQ396" s="1754"/>
      <c r="CR396" s="1754">
        <f t="shared" si="20"/>
        <v>0</v>
      </c>
      <c r="CS396" s="1754"/>
      <c r="CT396" s="1754"/>
      <c r="CU396" s="1754">
        <f t="shared" si="7"/>
        <v>0</v>
      </c>
      <c r="CV396" s="1754"/>
      <c r="CW396" s="1754"/>
      <c r="CX396" s="1754">
        <f t="shared" si="8"/>
        <v>0</v>
      </c>
      <c r="CY396" s="1754"/>
      <c r="CZ396" s="1754"/>
      <c r="DA396" s="1754"/>
      <c r="DC396" s="383">
        <f>IF($BE396&gt;$R$66-3,59,0)</f>
        <v>59</v>
      </c>
      <c r="DD396" s="1754">
        <f t="shared" si="74"/>
        <v>0</v>
      </c>
      <c r="DE396" s="1754"/>
      <c r="DF396" s="1754"/>
      <c r="DG396" s="1754"/>
      <c r="DH396" s="1754">
        <f t="shared" si="21"/>
        <v>0</v>
      </c>
      <c r="DI396" s="1754"/>
      <c r="DJ396" s="1754"/>
      <c r="DK396" s="1754">
        <f t="shared" si="9"/>
        <v>0</v>
      </c>
      <c r="DL396" s="1754"/>
      <c r="DM396" s="1754"/>
      <c r="DN396" s="1754"/>
      <c r="DP396" s="383">
        <f t="shared" si="22"/>
        <v>59</v>
      </c>
      <c r="DQ396" s="1754">
        <f t="shared" si="23"/>
        <v>0</v>
      </c>
      <c r="DR396" s="1754"/>
      <c r="DS396" s="1754"/>
      <c r="DT396" s="1754"/>
      <c r="DU396" s="1754">
        <f t="shared" si="44"/>
        <v>0</v>
      </c>
      <c r="DV396" s="1754"/>
      <c r="DW396" s="1754"/>
      <c r="DX396" s="1754">
        <f t="shared" si="49"/>
        <v>0</v>
      </c>
      <c r="DY396" s="1754"/>
      <c r="DZ396" s="1754"/>
      <c r="EA396" s="1754">
        <f t="shared" si="50"/>
        <v>0</v>
      </c>
      <c r="EB396" s="1754"/>
      <c r="EC396" s="1754"/>
      <c r="ED396" s="1754"/>
      <c r="EE396" s="384"/>
      <c r="EF396" s="1750">
        <f t="shared" si="11"/>
        <v>0</v>
      </c>
      <c r="EG396" s="1751"/>
      <c r="EH396" s="1751"/>
      <c r="EI396" s="1751"/>
      <c r="EJ396" s="1752"/>
      <c r="EL396" s="1750">
        <f t="shared" si="55"/>
        <v>0</v>
      </c>
      <c r="EM396" s="1751"/>
      <c r="EN396" s="1751"/>
      <c r="EO396" s="1751"/>
      <c r="EP396" s="1752"/>
      <c r="ER396" s="1750">
        <f t="shared" si="12"/>
        <v>0</v>
      </c>
      <c r="ES396" s="1751"/>
      <c r="ET396" s="1751"/>
      <c r="EU396" s="1751"/>
      <c r="EV396" s="1752"/>
      <c r="EX396" s="1750">
        <f>IF(BE396&gt;0,Einstrahlung!$K$30*Kalkulation!$P$62/100*$AY$29*POWER((100-$P$64)/100,BD396-1),0)</f>
        <v>0</v>
      </c>
      <c r="EY396" s="1751"/>
      <c r="EZ396" s="1751"/>
      <c r="FA396" s="1751"/>
      <c r="FB396" s="1752"/>
      <c r="FD396" s="1750">
        <f t="shared" si="27"/>
        <v>0</v>
      </c>
      <c r="FE396" s="1751"/>
      <c r="FF396" s="1751"/>
      <c r="FG396" s="1751"/>
      <c r="FH396" s="1752"/>
      <c r="FI396" s="385"/>
      <c r="FJ396" s="380">
        <f t="shared" si="40"/>
        <v>0</v>
      </c>
      <c r="FK396" s="385"/>
      <c r="FL396" s="380">
        <f t="shared" si="69"/>
        <v>0</v>
      </c>
      <c r="FM396" s="385"/>
      <c r="FN396" s="380">
        <f t="shared" si="29"/>
        <v>0</v>
      </c>
      <c r="FO396" s="962">
        <f t="shared" si="37"/>
        <v>188</v>
      </c>
      <c r="FP396" s="956">
        <f t="shared" si="13"/>
        <v>0.4</v>
      </c>
      <c r="FQ396" s="380">
        <f t="shared" si="45"/>
        <v>0</v>
      </c>
      <c r="FR396" s="626">
        <f t="shared" si="70"/>
        <v>1</v>
      </c>
      <c r="FT396" s="1819">
        <f t="shared" si="38"/>
        <v>0</v>
      </c>
      <c r="FU396" s="1820"/>
      <c r="FV396" s="1820"/>
      <c r="FW396" s="1820"/>
      <c r="FX396" s="1821"/>
      <c r="FY396" s="1819">
        <f t="shared" si="30"/>
        <v>0</v>
      </c>
      <c r="FZ396" s="1820"/>
      <c r="GA396" s="1820"/>
      <c r="GB396" s="1821"/>
      <c r="GC396" s="1825">
        <f t="shared" si="54"/>
        <v>0</v>
      </c>
      <c r="GD396" s="1826"/>
      <c r="GE396" s="1826"/>
      <c r="GF396" s="1827"/>
      <c r="GH396" s="1750">
        <f t="shared" si="32"/>
        <v>0</v>
      </c>
      <c r="GI396" s="1751"/>
      <c r="GJ396" s="1751"/>
      <c r="GK396" s="1752"/>
      <c r="GL396" s="1750">
        <f t="shared" si="33"/>
        <v>0</v>
      </c>
      <c r="GM396" s="1751"/>
      <c r="GN396" s="1751"/>
      <c r="GO396" s="1752"/>
      <c r="GP396" s="385"/>
      <c r="GQ396" s="1750">
        <f t="shared" si="34"/>
        <v>0</v>
      </c>
      <c r="GR396" s="1751"/>
      <c r="GS396" s="1751"/>
      <c r="GT396" s="1752"/>
      <c r="GU396" s="192">
        <f t="shared" si="43"/>
        <v>1</v>
      </c>
      <c r="GV396" s="192">
        <f>SUM($GU$337:GU396)</f>
        <v>52</v>
      </c>
      <c r="GW396" s="318"/>
      <c r="GZ396" s="380">
        <f t="shared" si="66"/>
        <v>0</v>
      </c>
      <c r="HX396" s="380"/>
    </row>
    <row r="397" spans="4:232" ht="12.75" customHeight="1" thickBot="1">
      <c r="D397" s="324"/>
      <c r="E397" s="402"/>
      <c r="F397" s="402"/>
      <c r="G397" s="402"/>
      <c r="H397" s="402"/>
      <c r="I397" s="402"/>
      <c r="J397" s="402"/>
      <c r="K397" s="402"/>
      <c r="L397" s="402"/>
      <c r="M397" s="402"/>
      <c r="N397" s="402"/>
      <c r="O397" s="402"/>
      <c r="P397" s="402"/>
      <c r="Q397" s="402"/>
      <c r="R397" s="402"/>
      <c r="S397" s="402"/>
      <c r="T397" s="402"/>
      <c r="U397" s="402"/>
      <c r="V397" s="402"/>
      <c r="W397" s="402"/>
      <c r="X397" s="402"/>
      <c r="Y397" s="402"/>
      <c r="Z397" s="402"/>
      <c r="AA397" s="402"/>
      <c r="AB397" s="404"/>
      <c r="AC397" s="404"/>
      <c r="AD397" s="402"/>
      <c r="AE397" s="402"/>
      <c r="AF397" s="402"/>
      <c r="AG397" s="402"/>
      <c r="AH397" s="402"/>
      <c r="AI397" s="402"/>
      <c r="AJ397" s="402"/>
      <c r="AK397" s="402"/>
      <c r="AL397" s="402"/>
      <c r="AM397" s="402"/>
      <c r="AN397" s="402"/>
      <c r="AO397" s="528"/>
      <c r="BD397" s="389">
        <f t="shared" si="67"/>
        <v>4</v>
      </c>
      <c r="BE397" s="390">
        <f>IF(BD397&gt;0,60,0)</f>
        <v>60</v>
      </c>
      <c r="BG397" s="391">
        <f>IF($BE397&gt;$R$66-3+($BR$335*12),60,0)</f>
        <v>60</v>
      </c>
      <c r="BH397" s="1753">
        <f t="shared" si="71"/>
        <v>0</v>
      </c>
      <c r="BI397" s="1753"/>
      <c r="BJ397" s="1753"/>
      <c r="BK397" s="1753"/>
      <c r="BL397" s="1753">
        <f t="shared" si="17"/>
        <v>0</v>
      </c>
      <c r="BM397" s="1753"/>
      <c r="BN397" s="1753"/>
      <c r="BO397" s="1753">
        <f t="shared" si="3"/>
        <v>0</v>
      </c>
      <c r="BP397" s="1753"/>
      <c r="BQ397" s="1753"/>
      <c r="BR397" s="1753">
        <f t="shared" si="68"/>
        <v>0</v>
      </c>
      <c r="BS397" s="1753"/>
      <c r="BT397" s="1753"/>
      <c r="BU397" s="1753"/>
      <c r="BW397" s="391">
        <f>IF($BE397&gt;$R$66-3+($CH$335*12),60,0)</f>
        <v>60</v>
      </c>
      <c r="BX397" s="1753">
        <f t="shared" si="72"/>
        <v>0</v>
      </c>
      <c r="BY397" s="1753"/>
      <c r="BZ397" s="1753"/>
      <c r="CA397" s="1753"/>
      <c r="CB397" s="1753">
        <f t="shared" si="18"/>
        <v>0</v>
      </c>
      <c r="CC397" s="1753"/>
      <c r="CD397" s="1753"/>
      <c r="CE397" s="1753">
        <f t="shared" si="5"/>
        <v>0</v>
      </c>
      <c r="CF397" s="1753"/>
      <c r="CG397" s="1753"/>
      <c r="CH397" s="1753">
        <f t="shared" si="6"/>
        <v>0</v>
      </c>
      <c r="CI397" s="1753"/>
      <c r="CJ397" s="1753"/>
      <c r="CK397" s="1753"/>
      <c r="CM397" s="391">
        <f>IF($BE397&gt;$R$66-3+($CX$335*12),60,0)</f>
        <v>60</v>
      </c>
      <c r="CN397" s="1753">
        <f t="shared" si="73"/>
        <v>0</v>
      </c>
      <c r="CO397" s="1753"/>
      <c r="CP397" s="1753"/>
      <c r="CQ397" s="1753"/>
      <c r="CR397" s="1753">
        <f t="shared" si="20"/>
        <v>0</v>
      </c>
      <c r="CS397" s="1753"/>
      <c r="CT397" s="1753"/>
      <c r="CU397" s="1753">
        <f t="shared" si="7"/>
        <v>0</v>
      </c>
      <c r="CV397" s="1753"/>
      <c r="CW397" s="1753"/>
      <c r="CX397" s="1753">
        <f t="shared" si="8"/>
        <v>0</v>
      </c>
      <c r="CY397" s="1753"/>
      <c r="CZ397" s="1753"/>
      <c r="DA397" s="1753"/>
      <c r="DC397" s="391">
        <f>IF($BE397&gt;$R$66-3,60,0)</f>
        <v>60</v>
      </c>
      <c r="DD397" s="1753">
        <f t="shared" si="74"/>
        <v>0</v>
      </c>
      <c r="DE397" s="1753"/>
      <c r="DF397" s="1753"/>
      <c r="DG397" s="1753"/>
      <c r="DH397" s="1753">
        <f t="shared" si="21"/>
        <v>0</v>
      </c>
      <c r="DI397" s="1753"/>
      <c r="DJ397" s="1753"/>
      <c r="DK397" s="1753">
        <f t="shared" si="9"/>
        <v>0</v>
      </c>
      <c r="DL397" s="1753"/>
      <c r="DM397" s="1753"/>
      <c r="DN397" s="1753"/>
      <c r="DP397" s="391">
        <f t="shared" si="22"/>
        <v>60</v>
      </c>
      <c r="DQ397" s="1753">
        <f t="shared" si="23"/>
        <v>0</v>
      </c>
      <c r="DR397" s="1753"/>
      <c r="DS397" s="1753"/>
      <c r="DT397" s="1753"/>
      <c r="DU397" s="1753">
        <f t="shared" si="44"/>
        <v>0</v>
      </c>
      <c r="DV397" s="1753"/>
      <c r="DW397" s="1753"/>
      <c r="DX397" s="1753">
        <f t="shared" si="49"/>
        <v>0</v>
      </c>
      <c r="DY397" s="1753"/>
      <c r="DZ397" s="1753"/>
      <c r="EA397" s="1753">
        <f t="shared" si="50"/>
        <v>0</v>
      </c>
      <c r="EB397" s="1753"/>
      <c r="EC397" s="1753"/>
      <c r="ED397" s="1753"/>
      <c r="EE397" s="384"/>
      <c r="EF397" s="1744">
        <f t="shared" si="11"/>
        <v>0</v>
      </c>
      <c r="EG397" s="1745"/>
      <c r="EH397" s="1745"/>
      <c r="EI397" s="1745"/>
      <c r="EJ397" s="1746"/>
      <c r="EL397" s="1744">
        <f t="shared" si="55"/>
        <v>0</v>
      </c>
      <c r="EM397" s="1745"/>
      <c r="EN397" s="1745"/>
      <c r="EO397" s="1745"/>
      <c r="EP397" s="1746"/>
      <c r="ER397" s="1744">
        <f t="shared" si="12"/>
        <v>0</v>
      </c>
      <c r="ES397" s="1745"/>
      <c r="ET397" s="1745"/>
      <c r="EU397" s="1745"/>
      <c r="EV397" s="1746"/>
      <c r="EX397" s="1744">
        <f>IF(BE397&gt;0,Einstrahlung!$K$32*Kalkulation!$P$62/100*$AY$29*POWER((100-$P$64)/100,BD397-1),0)</f>
        <v>0</v>
      </c>
      <c r="EY397" s="1745"/>
      <c r="EZ397" s="1745"/>
      <c r="FA397" s="1745"/>
      <c r="FB397" s="1746"/>
      <c r="FD397" s="1744">
        <f t="shared" si="27"/>
        <v>0</v>
      </c>
      <c r="FE397" s="1745"/>
      <c r="FF397" s="1745"/>
      <c r="FG397" s="1745"/>
      <c r="FH397" s="1746"/>
      <c r="FI397" s="385"/>
      <c r="FJ397" s="453">
        <f t="shared" si="40"/>
        <v>0</v>
      </c>
      <c r="FK397" s="385"/>
      <c r="FL397" s="453">
        <f t="shared" si="69"/>
        <v>0</v>
      </c>
      <c r="FM397" s="385"/>
      <c r="FN397" s="453">
        <f t="shared" si="29"/>
        <v>0</v>
      </c>
      <c r="FO397" s="962">
        <f t="shared" si="37"/>
        <v>189</v>
      </c>
      <c r="FP397" s="956">
        <f t="shared" si="13"/>
        <v>0.4</v>
      </c>
      <c r="FQ397" s="453">
        <f t="shared" si="45"/>
        <v>0</v>
      </c>
      <c r="FR397" s="957">
        <f>POWER(1+$FQ$333,FS397)</f>
        <v>1</v>
      </c>
      <c r="FS397" s="617">
        <f>FS385+1</f>
        <v>4</v>
      </c>
      <c r="FT397" s="1822">
        <f t="shared" si="38"/>
        <v>0</v>
      </c>
      <c r="FU397" s="1823"/>
      <c r="FV397" s="1823"/>
      <c r="FW397" s="1823"/>
      <c r="FX397" s="1824"/>
      <c r="FY397" s="1822">
        <f t="shared" si="30"/>
        <v>0</v>
      </c>
      <c r="FZ397" s="1823"/>
      <c r="GA397" s="1823"/>
      <c r="GB397" s="1824"/>
      <c r="GC397" s="1831">
        <f t="shared" si="54"/>
        <v>0</v>
      </c>
      <c r="GD397" s="1832"/>
      <c r="GE397" s="1832"/>
      <c r="GF397" s="1833"/>
      <c r="GH397" s="1744">
        <f t="shared" si="32"/>
        <v>0</v>
      </c>
      <c r="GI397" s="1745"/>
      <c r="GJ397" s="1745"/>
      <c r="GK397" s="1746"/>
      <c r="GL397" s="1744">
        <f t="shared" si="33"/>
        <v>0</v>
      </c>
      <c r="GM397" s="1745"/>
      <c r="GN397" s="1745"/>
      <c r="GO397" s="1746"/>
      <c r="GP397" s="385"/>
      <c r="GQ397" s="1744">
        <f t="shared" si="34"/>
        <v>0</v>
      </c>
      <c r="GR397" s="1745"/>
      <c r="GS397" s="1745"/>
      <c r="GT397" s="1746"/>
      <c r="GU397" s="192">
        <f t="shared" si="43"/>
        <v>1</v>
      </c>
      <c r="GV397" s="192">
        <f>SUM($GU$337:GU397)</f>
        <v>53</v>
      </c>
      <c r="GW397" s="318"/>
      <c r="HA397" s="380">
        <f t="shared" ref="HA397:HA408" si="75">IF(GV397=60,SUM(GQ386:GT397),0)</f>
        <v>0</v>
      </c>
      <c r="HX397" s="380"/>
    </row>
    <row r="398" spans="4:232" ht="12.75" customHeight="1">
      <c r="D398" s="313"/>
      <c r="E398" s="247"/>
      <c r="F398" s="400" t="str">
        <f>Q496</f>
        <v>Zur Finanzierung wurden keine Darlehen eingesetzt.</v>
      </c>
      <c r="G398" s="247"/>
      <c r="H398" s="247"/>
      <c r="I398" s="247"/>
      <c r="J398" s="247"/>
      <c r="K398" s="247"/>
      <c r="L398" s="247"/>
      <c r="M398" s="247"/>
      <c r="N398" s="247"/>
      <c r="O398" s="247"/>
      <c r="P398" s="247"/>
      <c r="Q398" s="247"/>
      <c r="R398" s="247"/>
      <c r="S398" s="247"/>
      <c r="T398" s="247"/>
      <c r="U398" s="247"/>
      <c r="V398" s="247"/>
      <c r="W398" s="247"/>
      <c r="X398" s="247"/>
      <c r="Y398" s="247"/>
      <c r="Z398" s="247"/>
      <c r="AA398" s="247"/>
      <c r="AB398" s="251"/>
      <c r="AD398" s="247"/>
      <c r="AE398" s="247"/>
      <c r="AF398" s="247"/>
      <c r="AG398" s="247"/>
      <c r="AH398" s="247"/>
      <c r="AI398" s="247"/>
      <c r="AJ398" s="247"/>
      <c r="AK398" s="247"/>
      <c r="AL398" s="247"/>
      <c r="AM398" s="247"/>
      <c r="AN398" s="247"/>
      <c r="AO398" s="314"/>
      <c r="BD398" s="381">
        <f t="shared" ref="BD398:BD409" si="76">IF($V$21&gt;0,5,0)</f>
        <v>5</v>
      </c>
      <c r="BE398" s="382">
        <f>IF(BD398&gt;0,61,0)</f>
        <v>61</v>
      </c>
      <c r="BG398" s="395">
        <f>IF($BE398&gt;$R$66-3+($BR$335*12),61,0)</f>
        <v>61</v>
      </c>
      <c r="BH398" s="1754">
        <f t="shared" ref="BH398:BH409" si="77">IF(BR397&lt;=0,0,BR397)</f>
        <v>0</v>
      </c>
      <c r="BI398" s="1754"/>
      <c r="BJ398" s="1754"/>
      <c r="BK398" s="1754"/>
      <c r="BL398" s="1754">
        <f t="shared" si="17"/>
        <v>0</v>
      </c>
      <c r="BM398" s="1754"/>
      <c r="BN398" s="1754"/>
      <c r="BO398" s="1754">
        <f t="shared" si="3"/>
        <v>0</v>
      </c>
      <c r="BP398" s="1754"/>
      <c r="BQ398" s="1754"/>
      <c r="BR398" s="1754">
        <f t="shared" ref="BR398:BR409" si="78">BH398-BL398</f>
        <v>0</v>
      </c>
      <c r="BS398" s="1754"/>
      <c r="BT398" s="1754"/>
      <c r="BU398" s="1754"/>
      <c r="BW398" s="395">
        <f>IF($BE398&gt;$R$66-3+($CH$335*12),61,0)</f>
        <v>61</v>
      </c>
      <c r="BX398" s="1754">
        <f t="shared" si="72"/>
        <v>0</v>
      </c>
      <c r="BY398" s="1754"/>
      <c r="BZ398" s="1754"/>
      <c r="CA398" s="1754"/>
      <c r="CB398" s="1754">
        <f t="shared" si="18"/>
        <v>0</v>
      </c>
      <c r="CC398" s="1754"/>
      <c r="CD398" s="1754"/>
      <c r="CE398" s="1754">
        <f t="shared" si="5"/>
        <v>0</v>
      </c>
      <c r="CF398" s="1754"/>
      <c r="CG398" s="1754"/>
      <c r="CH398" s="1754">
        <f t="shared" si="6"/>
        <v>0</v>
      </c>
      <c r="CI398" s="1754"/>
      <c r="CJ398" s="1754"/>
      <c r="CK398" s="1754"/>
      <c r="CM398" s="395">
        <f>IF($BE398&gt;$R$66-3+($CX$335*12),61,0)</f>
        <v>61</v>
      </c>
      <c r="CN398" s="1754">
        <f t="shared" si="73"/>
        <v>0</v>
      </c>
      <c r="CO398" s="1754"/>
      <c r="CP398" s="1754"/>
      <c r="CQ398" s="1754"/>
      <c r="CR398" s="1754">
        <f t="shared" si="20"/>
        <v>0</v>
      </c>
      <c r="CS398" s="1754"/>
      <c r="CT398" s="1754"/>
      <c r="CU398" s="1754">
        <f t="shared" si="7"/>
        <v>0</v>
      </c>
      <c r="CV398" s="1754"/>
      <c r="CW398" s="1754"/>
      <c r="CX398" s="1754">
        <f t="shared" si="8"/>
        <v>0</v>
      </c>
      <c r="CY398" s="1754"/>
      <c r="CZ398" s="1754"/>
      <c r="DA398" s="1754"/>
      <c r="DC398" s="395">
        <f>IF($BE398&gt;$R$66-3,61,0)</f>
        <v>61</v>
      </c>
      <c r="DD398" s="1754">
        <f t="shared" si="74"/>
        <v>0</v>
      </c>
      <c r="DE398" s="1754"/>
      <c r="DF398" s="1754"/>
      <c r="DG398" s="1754"/>
      <c r="DH398" s="1754">
        <f t="shared" si="21"/>
        <v>0</v>
      </c>
      <c r="DI398" s="1754"/>
      <c r="DJ398" s="1754"/>
      <c r="DK398" s="1754">
        <f t="shared" si="9"/>
        <v>0</v>
      </c>
      <c r="DL398" s="1754"/>
      <c r="DM398" s="1754"/>
      <c r="DN398" s="1754"/>
      <c r="DP398" s="395">
        <f t="shared" si="22"/>
        <v>61</v>
      </c>
      <c r="DQ398" s="1754">
        <f t="shared" si="23"/>
        <v>0</v>
      </c>
      <c r="DR398" s="1754"/>
      <c r="DS398" s="1754"/>
      <c r="DT398" s="1754"/>
      <c r="DU398" s="1754">
        <f t="shared" si="44"/>
        <v>0</v>
      </c>
      <c r="DV398" s="1754"/>
      <c r="DW398" s="1754"/>
      <c r="DX398" s="1754">
        <f t="shared" si="49"/>
        <v>0</v>
      </c>
      <c r="DY398" s="1754"/>
      <c r="DZ398" s="1754"/>
      <c r="EA398" s="1754">
        <f t="shared" si="50"/>
        <v>0</v>
      </c>
      <c r="EB398" s="1754"/>
      <c r="EC398" s="1754"/>
      <c r="ED398" s="1754"/>
      <c r="EE398" s="384"/>
      <c r="EF398" s="1750">
        <f t="shared" si="11"/>
        <v>0</v>
      </c>
      <c r="EG398" s="1751"/>
      <c r="EH398" s="1751"/>
      <c r="EI398" s="1751"/>
      <c r="EJ398" s="1752"/>
      <c r="EL398" s="1750">
        <f t="shared" si="55"/>
        <v>0</v>
      </c>
      <c r="EM398" s="1751"/>
      <c r="EN398" s="1751"/>
      <c r="EO398" s="1751"/>
      <c r="EP398" s="1752"/>
      <c r="ER398" s="1750">
        <f t="shared" si="12"/>
        <v>0</v>
      </c>
      <c r="ES398" s="1751"/>
      <c r="ET398" s="1751"/>
      <c r="EU398" s="1751"/>
      <c r="EV398" s="1752"/>
      <c r="EX398" s="1750">
        <f>IF(BE398&gt;0,Einstrahlung!$K$10*Kalkulation!$P$62/100*$AY$29*POWER((100-$P$64)/100,BD398-1),0)</f>
        <v>0</v>
      </c>
      <c r="EY398" s="1751"/>
      <c r="EZ398" s="1751"/>
      <c r="FA398" s="1751"/>
      <c r="FB398" s="1752"/>
      <c r="FD398" s="1750">
        <f t="shared" si="27"/>
        <v>0</v>
      </c>
      <c r="FE398" s="1751"/>
      <c r="FF398" s="1751"/>
      <c r="FG398" s="1751"/>
      <c r="FH398" s="1752"/>
      <c r="FI398" s="385"/>
      <c r="FJ398" s="380">
        <f t="shared" si="40"/>
        <v>0</v>
      </c>
      <c r="FK398" s="385"/>
      <c r="FL398" s="380">
        <f>IF(BE398&gt;0,IF($FL$336&gt;SUM($EX$398:$FB$409),SUM($EX$398:$FB$409)/12,$FL$336/12),0)</f>
        <v>0</v>
      </c>
      <c r="FM398" s="385"/>
      <c r="FN398" s="380">
        <f t="shared" si="29"/>
        <v>0</v>
      </c>
      <c r="FO398" s="962">
        <f t="shared" si="37"/>
        <v>190</v>
      </c>
      <c r="FP398" s="956">
        <f t="shared" si="13"/>
        <v>0.4</v>
      </c>
      <c r="FQ398" s="380">
        <f t="shared" si="45"/>
        <v>0</v>
      </c>
      <c r="FR398" s="626">
        <f>IF(AND(GV398&gt;48,GV398&lt;=60),$FR$397,IF(AND(GV398&gt;60,GV398&lt;=72),$FR$409,0))</f>
        <v>1</v>
      </c>
      <c r="FT398" s="1819">
        <f t="shared" si="38"/>
        <v>0</v>
      </c>
      <c r="FU398" s="1820"/>
      <c r="FV398" s="1820"/>
      <c r="FW398" s="1820"/>
      <c r="FX398" s="1821"/>
      <c r="FY398" s="1819">
        <f t="shared" si="30"/>
        <v>0</v>
      </c>
      <c r="FZ398" s="1820"/>
      <c r="GA398" s="1820"/>
      <c r="GB398" s="1821"/>
      <c r="GC398" s="1825">
        <f t="shared" si="54"/>
        <v>0</v>
      </c>
      <c r="GD398" s="1826"/>
      <c r="GE398" s="1826"/>
      <c r="GF398" s="1827"/>
      <c r="GH398" s="1750">
        <f t="shared" si="32"/>
        <v>0</v>
      </c>
      <c r="GI398" s="1751"/>
      <c r="GJ398" s="1751"/>
      <c r="GK398" s="1751"/>
      <c r="GL398" s="1750">
        <f t="shared" si="33"/>
        <v>0</v>
      </c>
      <c r="GM398" s="1751"/>
      <c r="GN398" s="1751"/>
      <c r="GO398" s="1752"/>
      <c r="GP398" s="385"/>
      <c r="GQ398" s="1865">
        <f t="shared" si="34"/>
        <v>0</v>
      </c>
      <c r="GR398" s="1866"/>
      <c r="GS398" s="1866"/>
      <c r="GT398" s="1867"/>
      <c r="GU398" s="192">
        <f t="shared" si="43"/>
        <v>1</v>
      </c>
      <c r="GV398" s="192">
        <f>SUM($GU$337:GU398)</f>
        <v>54</v>
      </c>
      <c r="GW398" s="318"/>
      <c r="HA398" s="380">
        <f t="shared" si="75"/>
        <v>0</v>
      </c>
      <c r="HX398" s="380"/>
    </row>
    <row r="399" spans="4:232" ht="12.75" customHeight="1">
      <c r="D399" s="313"/>
      <c r="E399" s="247"/>
      <c r="F399" s="247"/>
      <c r="G399" s="401" t="str">
        <f>Q499</f>
        <v/>
      </c>
      <c r="H399" s="247"/>
      <c r="I399" s="247"/>
      <c r="J399" s="247"/>
      <c r="K399" s="247"/>
      <c r="L399" s="247"/>
      <c r="M399" s="247"/>
      <c r="N399" s="247"/>
      <c r="O399" s="247"/>
      <c r="P399" s="247"/>
      <c r="Q399" s="247"/>
      <c r="R399" s="247"/>
      <c r="S399" s="247"/>
      <c r="T399" s="247"/>
      <c r="U399" s="247"/>
      <c r="V399" s="247"/>
      <c r="W399" s="247"/>
      <c r="X399" s="247"/>
      <c r="Y399" s="247"/>
      <c r="Z399" s="247"/>
      <c r="AA399" s="247"/>
      <c r="AB399" s="251"/>
      <c r="AD399" s="247"/>
      <c r="AE399" s="247"/>
      <c r="AF399" s="247"/>
      <c r="AG399" s="247"/>
      <c r="AH399" s="247"/>
      <c r="AI399" s="247"/>
      <c r="AJ399" s="247"/>
      <c r="AK399" s="247"/>
      <c r="AL399" s="247"/>
      <c r="AM399" s="247"/>
      <c r="AN399" s="247"/>
      <c r="AO399" s="314"/>
      <c r="BD399" s="387">
        <f t="shared" si="76"/>
        <v>5</v>
      </c>
      <c r="BE399" s="382">
        <f>IF(BD399&gt;0,62,0)</f>
        <v>62</v>
      </c>
      <c r="BG399" s="383">
        <f>IF($BE399&gt;$R$66-3+($BR$335*12),62,0)</f>
        <v>62</v>
      </c>
      <c r="BH399" s="1754">
        <f t="shared" si="77"/>
        <v>0</v>
      </c>
      <c r="BI399" s="1754"/>
      <c r="BJ399" s="1754"/>
      <c r="BK399" s="1754"/>
      <c r="BL399" s="1754">
        <f t="shared" si="17"/>
        <v>0</v>
      </c>
      <c r="BM399" s="1754"/>
      <c r="BN399" s="1754"/>
      <c r="BO399" s="1754">
        <f t="shared" si="3"/>
        <v>0</v>
      </c>
      <c r="BP399" s="1754"/>
      <c r="BQ399" s="1754"/>
      <c r="BR399" s="1754">
        <f t="shared" si="78"/>
        <v>0</v>
      </c>
      <c r="BS399" s="1754"/>
      <c r="BT399" s="1754"/>
      <c r="BU399" s="1754"/>
      <c r="BW399" s="383">
        <f>IF($BE399&gt;$R$66-3+($CH$335*12),62,0)</f>
        <v>62</v>
      </c>
      <c r="BX399" s="1754">
        <f t="shared" si="72"/>
        <v>0</v>
      </c>
      <c r="BY399" s="1754"/>
      <c r="BZ399" s="1754"/>
      <c r="CA399" s="1754"/>
      <c r="CB399" s="1754">
        <f t="shared" si="18"/>
        <v>0</v>
      </c>
      <c r="CC399" s="1754"/>
      <c r="CD399" s="1754"/>
      <c r="CE399" s="1754">
        <f t="shared" si="5"/>
        <v>0</v>
      </c>
      <c r="CF399" s="1754"/>
      <c r="CG399" s="1754"/>
      <c r="CH399" s="1754">
        <f t="shared" si="6"/>
        <v>0</v>
      </c>
      <c r="CI399" s="1754"/>
      <c r="CJ399" s="1754"/>
      <c r="CK399" s="1754"/>
      <c r="CM399" s="383">
        <f>IF($BE399&gt;$R$66-3+($CX$335*12),62,0)</f>
        <v>62</v>
      </c>
      <c r="CN399" s="1754">
        <f t="shared" si="73"/>
        <v>0</v>
      </c>
      <c r="CO399" s="1754"/>
      <c r="CP399" s="1754"/>
      <c r="CQ399" s="1754"/>
      <c r="CR399" s="1754">
        <f t="shared" si="20"/>
        <v>0</v>
      </c>
      <c r="CS399" s="1754"/>
      <c r="CT399" s="1754"/>
      <c r="CU399" s="1754">
        <f t="shared" si="7"/>
        <v>0</v>
      </c>
      <c r="CV399" s="1754"/>
      <c r="CW399" s="1754"/>
      <c r="CX399" s="1754">
        <f t="shared" si="8"/>
        <v>0</v>
      </c>
      <c r="CY399" s="1754"/>
      <c r="CZ399" s="1754"/>
      <c r="DA399" s="1754"/>
      <c r="DC399" s="383">
        <f>IF($BE399&gt;$R$66-3,62,0)</f>
        <v>62</v>
      </c>
      <c r="DD399" s="1754">
        <f t="shared" si="74"/>
        <v>0</v>
      </c>
      <c r="DE399" s="1754"/>
      <c r="DF399" s="1754"/>
      <c r="DG399" s="1754"/>
      <c r="DH399" s="1754">
        <f t="shared" si="21"/>
        <v>0</v>
      </c>
      <c r="DI399" s="1754"/>
      <c r="DJ399" s="1754"/>
      <c r="DK399" s="1754">
        <f t="shared" si="9"/>
        <v>0</v>
      </c>
      <c r="DL399" s="1754"/>
      <c r="DM399" s="1754"/>
      <c r="DN399" s="1754"/>
      <c r="DP399" s="383">
        <f t="shared" si="22"/>
        <v>62</v>
      </c>
      <c r="DQ399" s="1754">
        <f t="shared" si="23"/>
        <v>0</v>
      </c>
      <c r="DR399" s="1754"/>
      <c r="DS399" s="1754"/>
      <c r="DT399" s="1754"/>
      <c r="DU399" s="1754">
        <f t="shared" si="44"/>
        <v>0</v>
      </c>
      <c r="DV399" s="1754"/>
      <c r="DW399" s="1754"/>
      <c r="DX399" s="1754">
        <f t="shared" si="49"/>
        <v>0</v>
      </c>
      <c r="DY399" s="1754"/>
      <c r="DZ399" s="1754"/>
      <c r="EA399" s="1754">
        <f t="shared" si="50"/>
        <v>0</v>
      </c>
      <c r="EB399" s="1754"/>
      <c r="EC399" s="1754"/>
      <c r="ED399" s="1754"/>
      <c r="EE399" s="384"/>
      <c r="EF399" s="1750">
        <f t="shared" si="11"/>
        <v>0</v>
      </c>
      <c r="EG399" s="1751"/>
      <c r="EH399" s="1751"/>
      <c r="EI399" s="1751"/>
      <c r="EJ399" s="1752"/>
      <c r="EL399" s="1750">
        <f t="shared" si="55"/>
        <v>0</v>
      </c>
      <c r="EM399" s="1751"/>
      <c r="EN399" s="1751"/>
      <c r="EO399" s="1751"/>
      <c r="EP399" s="1752"/>
      <c r="ER399" s="1750">
        <f t="shared" si="12"/>
        <v>0</v>
      </c>
      <c r="ES399" s="1751"/>
      <c r="ET399" s="1751"/>
      <c r="EU399" s="1751"/>
      <c r="EV399" s="1752"/>
      <c r="EX399" s="1750">
        <f>IF(BE399&gt;0,Einstrahlung!$K$12*Kalkulation!$P$62/100*$AY$29*POWER((100-$P$64)/100,BD399-1),0)</f>
        <v>0</v>
      </c>
      <c r="EY399" s="1751"/>
      <c r="EZ399" s="1751"/>
      <c r="FA399" s="1751"/>
      <c r="FB399" s="1752"/>
      <c r="FD399" s="1750">
        <f t="shared" si="27"/>
        <v>0</v>
      </c>
      <c r="FE399" s="1751"/>
      <c r="FF399" s="1751"/>
      <c r="FG399" s="1751"/>
      <c r="FH399" s="1752"/>
      <c r="FI399" s="385"/>
      <c r="FJ399" s="380">
        <f t="shared" si="40"/>
        <v>0</v>
      </c>
      <c r="FK399" s="385"/>
      <c r="FL399" s="380">
        <f t="shared" ref="FL399:FL409" si="79">IF(BE399&gt;0,IF($FL$336&gt;SUM($EX$398:$FB$409),SUM($EX$398:$FB$409)/12,$FL$336/12),0)</f>
        <v>0</v>
      </c>
      <c r="FM399" s="385"/>
      <c r="FN399" s="380">
        <f t="shared" si="29"/>
        <v>0</v>
      </c>
      <c r="FO399" s="962">
        <f t="shared" si="37"/>
        <v>191</v>
      </c>
      <c r="FP399" s="956">
        <f t="shared" si="13"/>
        <v>0.4</v>
      </c>
      <c r="FQ399" s="380">
        <f t="shared" si="45"/>
        <v>0</v>
      </c>
      <c r="FR399" s="626">
        <f t="shared" ref="FR399:FR408" si="80">IF(AND(GV399&gt;48,GV399&lt;=60),$FR$397,IF(AND(GV399&gt;60,GV399&lt;=72),$FR$409,0))</f>
        <v>1</v>
      </c>
      <c r="FT399" s="1819">
        <f t="shared" si="38"/>
        <v>0</v>
      </c>
      <c r="FU399" s="1820"/>
      <c r="FV399" s="1820"/>
      <c r="FW399" s="1820"/>
      <c r="FX399" s="1821"/>
      <c r="FY399" s="1819">
        <f t="shared" si="30"/>
        <v>0</v>
      </c>
      <c r="FZ399" s="1820"/>
      <c r="GA399" s="1820"/>
      <c r="GB399" s="1821"/>
      <c r="GC399" s="1825">
        <f t="shared" si="54"/>
        <v>0</v>
      </c>
      <c r="GD399" s="1826"/>
      <c r="GE399" s="1826"/>
      <c r="GF399" s="1827"/>
      <c r="GH399" s="1750">
        <f t="shared" si="32"/>
        <v>0</v>
      </c>
      <c r="GI399" s="1751"/>
      <c r="GJ399" s="1751"/>
      <c r="GK399" s="1752"/>
      <c r="GL399" s="1750">
        <f t="shared" si="33"/>
        <v>0</v>
      </c>
      <c r="GM399" s="1751"/>
      <c r="GN399" s="1751"/>
      <c r="GO399" s="1752"/>
      <c r="GP399" s="385"/>
      <c r="GQ399" s="1750">
        <f t="shared" si="34"/>
        <v>0</v>
      </c>
      <c r="GR399" s="1751"/>
      <c r="GS399" s="1751"/>
      <c r="GT399" s="1752"/>
      <c r="GU399" s="192">
        <f t="shared" si="43"/>
        <v>1</v>
      </c>
      <c r="GV399" s="192">
        <f>SUM($GU$337:GU399)</f>
        <v>55</v>
      </c>
      <c r="GW399" s="318"/>
      <c r="HA399" s="380">
        <f t="shared" si="75"/>
        <v>0</v>
      </c>
      <c r="HX399" s="380"/>
    </row>
    <row r="400" spans="4:232" ht="12.75" customHeight="1">
      <c r="D400" s="313"/>
      <c r="E400" s="247"/>
      <c r="F400" s="247"/>
      <c r="G400" s="401" t="str">
        <f>Q509</f>
        <v/>
      </c>
      <c r="H400" s="247"/>
      <c r="I400" s="247"/>
      <c r="J400" s="247"/>
      <c r="K400" s="247"/>
      <c r="L400" s="247"/>
      <c r="M400" s="247"/>
      <c r="N400" s="247"/>
      <c r="O400" s="247"/>
      <c r="P400" s="247"/>
      <c r="Q400" s="247"/>
      <c r="R400" s="247"/>
      <c r="S400" s="247"/>
      <c r="T400" s="247"/>
      <c r="U400" s="247"/>
      <c r="V400" s="247"/>
      <c r="W400" s="247"/>
      <c r="X400" s="247"/>
      <c r="Y400" s="247"/>
      <c r="Z400" s="247"/>
      <c r="AA400" s="247"/>
      <c r="AB400" s="251"/>
      <c r="AD400" s="247"/>
      <c r="AE400" s="247"/>
      <c r="AF400" s="247"/>
      <c r="AG400" s="247"/>
      <c r="AH400" s="247"/>
      <c r="AI400" s="247"/>
      <c r="AJ400" s="247"/>
      <c r="AK400" s="247"/>
      <c r="AL400" s="247"/>
      <c r="AM400" s="247"/>
      <c r="AN400" s="247"/>
      <c r="AO400" s="314"/>
      <c r="BD400" s="387">
        <f t="shared" si="76"/>
        <v>5</v>
      </c>
      <c r="BE400" s="382">
        <f>IF(BD400&gt;0,63,0)</f>
        <v>63</v>
      </c>
      <c r="BG400" s="383">
        <f>IF($BE400&gt;$R$66-3+($BR$335*12),63,0)</f>
        <v>63</v>
      </c>
      <c r="BH400" s="1754">
        <f t="shared" si="77"/>
        <v>0</v>
      </c>
      <c r="BI400" s="1754"/>
      <c r="BJ400" s="1754"/>
      <c r="BK400" s="1754"/>
      <c r="BL400" s="1754">
        <f t="shared" si="17"/>
        <v>0</v>
      </c>
      <c r="BM400" s="1754"/>
      <c r="BN400" s="1754"/>
      <c r="BO400" s="1754">
        <f t="shared" si="3"/>
        <v>0</v>
      </c>
      <c r="BP400" s="1754"/>
      <c r="BQ400" s="1754"/>
      <c r="BR400" s="1754">
        <f t="shared" si="78"/>
        <v>0</v>
      </c>
      <c r="BS400" s="1754"/>
      <c r="BT400" s="1754"/>
      <c r="BU400" s="1754"/>
      <c r="BW400" s="383">
        <f>IF($BE400&gt;$R$66-3+($CH$335*12),63,0)</f>
        <v>63</v>
      </c>
      <c r="BX400" s="1754">
        <f t="shared" si="72"/>
        <v>0</v>
      </c>
      <c r="BY400" s="1754"/>
      <c r="BZ400" s="1754"/>
      <c r="CA400" s="1754"/>
      <c r="CB400" s="1754">
        <f t="shared" si="18"/>
        <v>0</v>
      </c>
      <c r="CC400" s="1754"/>
      <c r="CD400" s="1754"/>
      <c r="CE400" s="1754">
        <f t="shared" si="5"/>
        <v>0</v>
      </c>
      <c r="CF400" s="1754"/>
      <c r="CG400" s="1754"/>
      <c r="CH400" s="1754">
        <f t="shared" si="6"/>
        <v>0</v>
      </c>
      <c r="CI400" s="1754"/>
      <c r="CJ400" s="1754"/>
      <c r="CK400" s="1754"/>
      <c r="CM400" s="383">
        <f>IF($BE400&gt;$R$66-3+($CX$335*12),63,0)</f>
        <v>63</v>
      </c>
      <c r="CN400" s="1754">
        <f t="shared" si="73"/>
        <v>0</v>
      </c>
      <c r="CO400" s="1754"/>
      <c r="CP400" s="1754"/>
      <c r="CQ400" s="1754"/>
      <c r="CR400" s="1754">
        <f t="shared" si="20"/>
        <v>0</v>
      </c>
      <c r="CS400" s="1754"/>
      <c r="CT400" s="1754"/>
      <c r="CU400" s="1754">
        <f t="shared" si="7"/>
        <v>0</v>
      </c>
      <c r="CV400" s="1754"/>
      <c r="CW400" s="1754"/>
      <c r="CX400" s="1754">
        <f t="shared" si="8"/>
        <v>0</v>
      </c>
      <c r="CY400" s="1754"/>
      <c r="CZ400" s="1754"/>
      <c r="DA400" s="1754"/>
      <c r="DC400" s="383">
        <f>IF($BE400&gt;$R$66-3,63,0)</f>
        <v>63</v>
      </c>
      <c r="DD400" s="1754">
        <f t="shared" si="74"/>
        <v>0</v>
      </c>
      <c r="DE400" s="1754"/>
      <c r="DF400" s="1754"/>
      <c r="DG400" s="1754"/>
      <c r="DH400" s="1754">
        <f t="shared" si="21"/>
        <v>0</v>
      </c>
      <c r="DI400" s="1754"/>
      <c r="DJ400" s="1754"/>
      <c r="DK400" s="1754">
        <f t="shared" si="9"/>
        <v>0</v>
      </c>
      <c r="DL400" s="1754"/>
      <c r="DM400" s="1754"/>
      <c r="DN400" s="1754"/>
      <c r="DP400" s="383">
        <f t="shared" si="22"/>
        <v>63</v>
      </c>
      <c r="DQ400" s="1754">
        <f t="shared" si="23"/>
        <v>0</v>
      </c>
      <c r="DR400" s="1754"/>
      <c r="DS400" s="1754"/>
      <c r="DT400" s="1754"/>
      <c r="DU400" s="1754">
        <f t="shared" si="44"/>
        <v>0</v>
      </c>
      <c r="DV400" s="1754"/>
      <c r="DW400" s="1754"/>
      <c r="DX400" s="1754">
        <f t="shared" si="49"/>
        <v>0</v>
      </c>
      <c r="DY400" s="1754"/>
      <c r="DZ400" s="1754"/>
      <c r="EA400" s="1754">
        <f t="shared" si="50"/>
        <v>0</v>
      </c>
      <c r="EB400" s="1754"/>
      <c r="EC400" s="1754"/>
      <c r="ED400" s="1754"/>
      <c r="EE400" s="384"/>
      <c r="EF400" s="1750">
        <f t="shared" si="11"/>
        <v>0</v>
      </c>
      <c r="EG400" s="1751"/>
      <c r="EH400" s="1751"/>
      <c r="EI400" s="1751"/>
      <c r="EJ400" s="1752"/>
      <c r="EL400" s="1750">
        <f t="shared" si="55"/>
        <v>0</v>
      </c>
      <c r="EM400" s="1751"/>
      <c r="EN400" s="1751"/>
      <c r="EO400" s="1751"/>
      <c r="EP400" s="1752"/>
      <c r="ER400" s="1750">
        <f t="shared" si="12"/>
        <v>0</v>
      </c>
      <c r="ES400" s="1751"/>
      <c r="ET400" s="1751"/>
      <c r="EU400" s="1751"/>
      <c r="EV400" s="1752"/>
      <c r="EX400" s="1750">
        <f>IF(BE400&gt;0,Einstrahlung!$K$14*Kalkulation!$P$62/100*$AY$29*POWER((100-$P$64)/100,BD400-1),0)</f>
        <v>0</v>
      </c>
      <c r="EY400" s="1751"/>
      <c r="EZ400" s="1751"/>
      <c r="FA400" s="1751"/>
      <c r="FB400" s="1752"/>
      <c r="FD400" s="1750">
        <f t="shared" si="27"/>
        <v>0</v>
      </c>
      <c r="FE400" s="1751"/>
      <c r="FF400" s="1751"/>
      <c r="FG400" s="1751"/>
      <c r="FH400" s="1752"/>
      <c r="FI400" s="385"/>
      <c r="FJ400" s="380">
        <f t="shared" si="40"/>
        <v>0</v>
      </c>
      <c r="FK400" s="385"/>
      <c r="FL400" s="380">
        <f t="shared" si="79"/>
        <v>0</v>
      </c>
      <c r="FM400" s="385"/>
      <c r="FN400" s="380">
        <f t="shared" si="29"/>
        <v>0</v>
      </c>
      <c r="FO400" s="962">
        <f t="shared" si="37"/>
        <v>192</v>
      </c>
      <c r="FP400" s="956">
        <f t="shared" si="13"/>
        <v>0.4</v>
      </c>
      <c r="FQ400" s="380">
        <f t="shared" si="45"/>
        <v>0</v>
      </c>
      <c r="FR400" s="626">
        <f t="shared" si="80"/>
        <v>1</v>
      </c>
      <c r="FT400" s="1819">
        <f t="shared" si="38"/>
        <v>0</v>
      </c>
      <c r="FU400" s="1820"/>
      <c r="FV400" s="1820"/>
      <c r="FW400" s="1820"/>
      <c r="FX400" s="1821"/>
      <c r="FY400" s="1819">
        <f t="shared" si="30"/>
        <v>0</v>
      </c>
      <c r="FZ400" s="1820"/>
      <c r="GA400" s="1820"/>
      <c r="GB400" s="1821"/>
      <c r="GC400" s="1825">
        <f t="shared" si="54"/>
        <v>0</v>
      </c>
      <c r="GD400" s="1826"/>
      <c r="GE400" s="1826"/>
      <c r="GF400" s="1827"/>
      <c r="GH400" s="1750">
        <f t="shared" si="32"/>
        <v>0</v>
      </c>
      <c r="GI400" s="1751"/>
      <c r="GJ400" s="1751"/>
      <c r="GK400" s="1752"/>
      <c r="GL400" s="1750">
        <f t="shared" si="33"/>
        <v>0</v>
      </c>
      <c r="GM400" s="1751"/>
      <c r="GN400" s="1751"/>
      <c r="GO400" s="1752"/>
      <c r="GP400" s="385"/>
      <c r="GQ400" s="1750">
        <f t="shared" si="34"/>
        <v>0</v>
      </c>
      <c r="GR400" s="1751"/>
      <c r="GS400" s="1751"/>
      <c r="GT400" s="1752"/>
      <c r="GU400" s="192">
        <f t="shared" si="43"/>
        <v>1</v>
      </c>
      <c r="GV400" s="192">
        <f>SUM($GU$337:GU400)</f>
        <v>56</v>
      </c>
      <c r="GW400" s="318"/>
      <c r="HA400" s="380">
        <f t="shared" si="75"/>
        <v>0</v>
      </c>
      <c r="HX400" s="380"/>
    </row>
    <row r="401" spans="4:232" ht="12.75" customHeight="1">
      <c r="D401" s="313"/>
      <c r="E401" s="247"/>
      <c r="F401" s="247"/>
      <c r="G401" s="401" t="str">
        <f>Q519</f>
        <v/>
      </c>
      <c r="H401" s="247"/>
      <c r="I401" s="247"/>
      <c r="J401" s="247"/>
      <c r="K401" s="247"/>
      <c r="L401" s="247"/>
      <c r="M401" s="247"/>
      <c r="N401" s="247"/>
      <c r="O401" s="247"/>
      <c r="P401" s="247"/>
      <c r="Q401" s="247"/>
      <c r="R401" s="247"/>
      <c r="S401" s="247"/>
      <c r="T401" s="247"/>
      <c r="U401" s="247"/>
      <c r="V401" s="247"/>
      <c r="W401" s="247"/>
      <c r="X401" s="247"/>
      <c r="Y401" s="247"/>
      <c r="Z401" s="247"/>
      <c r="AA401" s="247"/>
      <c r="AB401" s="251"/>
      <c r="AD401" s="247"/>
      <c r="AE401" s="247"/>
      <c r="AF401" s="247"/>
      <c r="AG401" s="247"/>
      <c r="AH401" s="247"/>
      <c r="AI401" s="247"/>
      <c r="AJ401" s="247"/>
      <c r="AK401" s="247"/>
      <c r="AL401" s="247"/>
      <c r="AM401" s="247"/>
      <c r="AN401" s="247"/>
      <c r="AO401" s="314"/>
      <c r="BD401" s="387">
        <f t="shared" si="76"/>
        <v>5</v>
      </c>
      <c r="BE401" s="382">
        <f>IF(BD401&gt;0,64,0)</f>
        <v>64</v>
      </c>
      <c r="BG401" s="383">
        <f>IF($BE401&gt;$R$66-3+($BR$335*12),64,0)</f>
        <v>64</v>
      </c>
      <c r="BH401" s="1754">
        <f t="shared" si="77"/>
        <v>0</v>
      </c>
      <c r="BI401" s="1754"/>
      <c r="BJ401" s="1754"/>
      <c r="BK401" s="1754"/>
      <c r="BL401" s="1754">
        <f t="shared" si="17"/>
        <v>0</v>
      </c>
      <c r="BM401" s="1754"/>
      <c r="BN401" s="1754"/>
      <c r="BO401" s="1754">
        <f t="shared" si="3"/>
        <v>0</v>
      </c>
      <c r="BP401" s="1754"/>
      <c r="BQ401" s="1754"/>
      <c r="BR401" s="1754">
        <f t="shared" si="78"/>
        <v>0</v>
      </c>
      <c r="BS401" s="1754"/>
      <c r="BT401" s="1754"/>
      <c r="BU401" s="1754"/>
      <c r="BW401" s="383">
        <f>IF($BE401&gt;$R$66-3+($CH$335*12),64,0)</f>
        <v>64</v>
      </c>
      <c r="BX401" s="1754">
        <f t="shared" si="72"/>
        <v>0</v>
      </c>
      <c r="BY401" s="1754"/>
      <c r="BZ401" s="1754"/>
      <c r="CA401" s="1754"/>
      <c r="CB401" s="1754">
        <f t="shared" si="18"/>
        <v>0</v>
      </c>
      <c r="CC401" s="1754"/>
      <c r="CD401" s="1754"/>
      <c r="CE401" s="1754">
        <f t="shared" si="5"/>
        <v>0</v>
      </c>
      <c r="CF401" s="1754"/>
      <c r="CG401" s="1754"/>
      <c r="CH401" s="1754">
        <f t="shared" si="6"/>
        <v>0</v>
      </c>
      <c r="CI401" s="1754"/>
      <c r="CJ401" s="1754"/>
      <c r="CK401" s="1754"/>
      <c r="CM401" s="383">
        <f>IF($BE401&gt;$R$66-3+($CX$335*12),64,0)</f>
        <v>64</v>
      </c>
      <c r="CN401" s="1754">
        <f t="shared" si="73"/>
        <v>0</v>
      </c>
      <c r="CO401" s="1754"/>
      <c r="CP401" s="1754"/>
      <c r="CQ401" s="1754"/>
      <c r="CR401" s="1754">
        <f t="shared" si="20"/>
        <v>0</v>
      </c>
      <c r="CS401" s="1754"/>
      <c r="CT401" s="1754"/>
      <c r="CU401" s="1754">
        <f t="shared" si="7"/>
        <v>0</v>
      </c>
      <c r="CV401" s="1754"/>
      <c r="CW401" s="1754"/>
      <c r="CX401" s="1754">
        <f t="shared" si="8"/>
        <v>0</v>
      </c>
      <c r="CY401" s="1754"/>
      <c r="CZ401" s="1754"/>
      <c r="DA401" s="1754"/>
      <c r="DC401" s="383">
        <f>IF($BE401&gt;$R$66-3,64,0)</f>
        <v>64</v>
      </c>
      <c r="DD401" s="1754">
        <f t="shared" si="74"/>
        <v>0</v>
      </c>
      <c r="DE401" s="1754"/>
      <c r="DF401" s="1754"/>
      <c r="DG401" s="1754"/>
      <c r="DH401" s="1754">
        <f t="shared" si="21"/>
        <v>0</v>
      </c>
      <c r="DI401" s="1754"/>
      <c r="DJ401" s="1754"/>
      <c r="DK401" s="1754">
        <f t="shared" si="9"/>
        <v>0</v>
      </c>
      <c r="DL401" s="1754"/>
      <c r="DM401" s="1754"/>
      <c r="DN401" s="1754"/>
      <c r="DP401" s="383">
        <f t="shared" si="22"/>
        <v>64</v>
      </c>
      <c r="DQ401" s="1754">
        <f t="shared" si="23"/>
        <v>0</v>
      </c>
      <c r="DR401" s="1754"/>
      <c r="DS401" s="1754"/>
      <c r="DT401" s="1754"/>
      <c r="DU401" s="1754">
        <f t="shared" si="44"/>
        <v>0</v>
      </c>
      <c r="DV401" s="1754"/>
      <c r="DW401" s="1754"/>
      <c r="DX401" s="1754">
        <f t="shared" si="49"/>
        <v>0</v>
      </c>
      <c r="DY401" s="1754"/>
      <c r="DZ401" s="1754"/>
      <c r="EA401" s="1754">
        <f t="shared" si="50"/>
        <v>0</v>
      </c>
      <c r="EB401" s="1754"/>
      <c r="EC401" s="1754"/>
      <c r="ED401" s="1754"/>
      <c r="EE401" s="384"/>
      <c r="EF401" s="1750">
        <f t="shared" si="11"/>
        <v>0</v>
      </c>
      <c r="EG401" s="1751"/>
      <c r="EH401" s="1751"/>
      <c r="EI401" s="1751"/>
      <c r="EJ401" s="1752"/>
      <c r="EL401" s="1750">
        <f t="shared" si="55"/>
        <v>0</v>
      </c>
      <c r="EM401" s="1751"/>
      <c r="EN401" s="1751"/>
      <c r="EO401" s="1751"/>
      <c r="EP401" s="1752"/>
      <c r="ER401" s="1750">
        <f t="shared" si="12"/>
        <v>0</v>
      </c>
      <c r="ES401" s="1751"/>
      <c r="ET401" s="1751"/>
      <c r="EU401" s="1751"/>
      <c r="EV401" s="1752"/>
      <c r="EX401" s="1750">
        <f>IF(BE401&gt;0,Einstrahlung!$K$16*Kalkulation!$P$62/100*$AY$29*POWER((100-$P$64)/100,BD401-1),0)</f>
        <v>0</v>
      </c>
      <c r="EY401" s="1751"/>
      <c r="EZ401" s="1751"/>
      <c r="FA401" s="1751"/>
      <c r="FB401" s="1752"/>
      <c r="FD401" s="1750">
        <f t="shared" si="27"/>
        <v>0</v>
      </c>
      <c r="FE401" s="1751"/>
      <c r="FF401" s="1751"/>
      <c r="FG401" s="1751"/>
      <c r="FH401" s="1752"/>
      <c r="FI401" s="385"/>
      <c r="FJ401" s="380">
        <f t="shared" si="40"/>
        <v>0</v>
      </c>
      <c r="FK401" s="385"/>
      <c r="FL401" s="380">
        <f t="shared" si="79"/>
        <v>0</v>
      </c>
      <c r="FM401" s="385"/>
      <c r="FN401" s="380">
        <f t="shared" si="29"/>
        <v>0</v>
      </c>
      <c r="FO401" s="962">
        <f t="shared" si="37"/>
        <v>193</v>
      </c>
      <c r="FP401" s="956">
        <f t="shared" si="13"/>
        <v>0.4</v>
      </c>
      <c r="FQ401" s="380">
        <f t="shared" si="45"/>
        <v>0</v>
      </c>
      <c r="FR401" s="626">
        <f t="shared" si="80"/>
        <v>1</v>
      </c>
      <c r="FT401" s="1819">
        <f t="shared" si="38"/>
        <v>0</v>
      </c>
      <c r="FU401" s="1820"/>
      <c r="FV401" s="1820"/>
      <c r="FW401" s="1820"/>
      <c r="FX401" s="1821"/>
      <c r="FY401" s="1819">
        <f t="shared" si="30"/>
        <v>0</v>
      </c>
      <c r="FZ401" s="1820"/>
      <c r="GA401" s="1820"/>
      <c r="GB401" s="1821"/>
      <c r="GC401" s="1825">
        <f t="shared" si="54"/>
        <v>0</v>
      </c>
      <c r="GD401" s="1826"/>
      <c r="GE401" s="1826"/>
      <c r="GF401" s="1827"/>
      <c r="GH401" s="1750">
        <f t="shared" si="32"/>
        <v>0</v>
      </c>
      <c r="GI401" s="1751"/>
      <c r="GJ401" s="1751"/>
      <c r="GK401" s="1752"/>
      <c r="GL401" s="1750">
        <f t="shared" si="33"/>
        <v>0</v>
      </c>
      <c r="GM401" s="1751"/>
      <c r="GN401" s="1751"/>
      <c r="GO401" s="1752"/>
      <c r="GP401" s="385"/>
      <c r="GQ401" s="1750">
        <f t="shared" si="34"/>
        <v>0</v>
      </c>
      <c r="GR401" s="1751"/>
      <c r="GS401" s="1751"/>
      <c r="GT401" s="1752"/>
      <c r="GU401" s="192">
        <f t="shared" si="43"/>
        <v>1</v>
      </c>
      <c r="GV401" s="192">
        <f>SUM($GU$337:GU401)</f>
        <v>57</v>
      </c>
      <c r="GW401" s="318"/>
      <c r="HA401" s="380">
        <f t="shared" si="75"/>
        <v>0</v>
      </c>
      <c r="HX401" s="380"/>
    </row>
    <row r="402" spans="4:232">
      <c r="D402" s="313"/>
      <c r="E402" s="247"/>
      <c r="F402" s="247"/>
      <c r="G402" s="401" t="str">
        <f>Q529</f>
        <v/>
      </c>
      <c r="H402" s="247"/>
      <c r="I402" s="247"/>
      <c r="J402" s="247"/>
      <c r="K402" s="247"/>
      <c r="L402" s="247"/>
      <c r="M402" s="247"/>
      <c r="N402" s="247"/>
      <c r="O402" s="247"/>
      <c r="P402" s="247"/>
      <c r="Q402" s="247"/>
      <c r="R402" s="247"/>
      <c r="S402" s="247"/>
      <c r="T402" s="247"/>
      <c r="U402" s="247"/>
      <c r="V402" s="247"/>
      <c r="W402" s="247"/>
      <c r="X402" s="247"/>
      <c r="Y402" s="247"/>
      <c r="Z402" s="247"/>
      <c r="AA402" s="247"/>
      <c r="AB402" s="251"/>
      <c r="AD402" s="247"/>
      <c r="AE402" s="247"/>
      <c r="AF402" s="247"/>
      <c r="AG402" s="247"/>
      <c r="AH402" s="247"/>
      <c r="AI402" s="247"/>
      <c r="AJ402" s="247"/>
      <c r="AK402" s="247"/>
      <c r="AL402" s="247"/>
      <c r="AM402" s="247"/>
      <c r="AN402" s="247"/>
      <c r="AO402" s="314"/>
      <c r="BD402" s="387">
        <f t="shared" si="76"/>
        <v>5</v>
      </c>
      <c r="BE402" s="382">
        <f>IF(BD402&gt;0,65,0)</f>
        <v>65</v>
      </c>
      <c r="BG402" s="383">
        <f>IF($BE402&gt;$R$66-3+($BR$335*12),65,0)</f>
        <v>65</v>
      </c>
      <c r="BH402" s="1754">
        <f t="shared" si="77"/>
        <v>0</v>
      </c>
      <c r="BI402" s="1754"/>
      <c r="BJ402" s="1754"/>
      <c r="BK402" s="1754"/>
      <c r="BL402" s="1754">
        <f t="shared" si="17"/>
        <v>0</v>
      </c>
      <c r="BM402" s="1754"/>
      <c r="BN402" s="1754"/>
      <c r="BO402" s="1754">
        <f t="shared" ref="BO402:BO465" si="81">IF($BE402&gt;0,BH402*$BI$335/(100*12),0)</f>
        <v>0</v>
      </c>
      <c r="BP402" s="1754"/>
      <c r="BQ402" s="1754"/>
      <c r="BR402" s="1754">
        <f t="shared" si="78"/>
        <v>0</v>
      </c>
      <c r="BS402" s="1754"/>
      <c r="BT402" s="1754"/>
      <c r="BU402" s="1754"/>
      <c r="BW402" s="383">
        <f>IF($BE402&gt;$R$66-3+($CH$335*12),65,0)</f>
        <v>65</v>
      </c>
      <c r="BX402" s="1754">
        <f t="shared" si="72"/>
        <v>0</v>
      </c>
      <c r="BY402" s="1754"/>
      <c r="BZ402" s="1754"/>
      <c r="CA402" s="1754"/>
      <c r="CB402" s="1754">
        <f t="shared" si="18"/>
        <v>0</v>
      </c>
      <c r="CC402" s="1754"/>
      <c r="CD402" s="1754"/>
      <c r="CE402" s="1754">
        <f t="shared" ref="CE402:CE465" si="82">IF($BE402&gt;0,BX402*$BY$335/(100*12),0)</f>
        <v>0</v>
      </c>
      <c r="CF402" s="1754"/>
      <c r="CG402" s="1754"/>
      <c r="CH402" s="1754">
        <f t="shared" ref="CH402:CH465" si="83">BX402-CB402</f>
        <v>0</v>
      </c>
      <c r="CI402" s="1754"/>
      <c r="CJ402" s="1754"/>
      <c r="CK402" s="1754"/>
      <c r="CM402" s="383">
        <f>IF($BE402&gt;$R$66-3+($CX$335*12),65,0)</f>
        <v>65</v>
      </c>
      <c r="CN402" s="1754">
        <f t="shared" si="73"/>
        <v>0</v>
      </c>
      <c r="CO402" s="1754"/>
      <c r="CP402" s="1754"/>
      <c r="CQ402" s="1754"/>
      <c r="CR402" s="1754">
        <f t="shared" si="20"/>
        <v>0</v>
      </c>
      <c r="CS402" s="1754"/>
      <c r="CT402" s="1754"/>
      <c r="CU402" s="1754">
        <f t="shared" ref="CU402:CU465" si="84">IF($BE402&gt;0,CN402*$CO$335/(100*12),0)</f>
        <v>0</v>
      </c>
      <c r="CV402" s="1754"/>
      <c r="CW402" s="1754"/>
      <c r="CX402" s="1754">
        <f t="shared" ref="CX402:CX465" si="85">CN402-CR402</f>
        <v>0</v>
      </c>
      <c r="CY402" s="1754"/>
      <c r="CZ402" s="1754"/>
      <c r="DA402" s="1754"/>
      <c r="DC402" s="383">
        <f>IF($BE402&gt;$R$66-3,65,0)</f>
        <v>65</v>
      </c>
      <c r="DD402" s="1754">
        <f t="shared" si="74"/>
        <v>0</v>
      </c>
      <c r="DE402" s="1754"/>
      <c r="DF402" s="1754"/>
      <c r="DG402" s="1754"/>
      <c r="DH402" s="1754">
        <f t="shared" si="21"/>
        <v>0</v>
      </c>
      <c r="DI402" s="1754"/>
      <c r="DJ402" s="1754"/>
      <c r="DK402" s="1754">
        <f t="shared" ref="DK402:DK465" si="86">IF(EA402&gt;(DD402),0,DD402)</f>
        <v>0</v>
      </c>
      <c r="DL402" s="1754"/>
      <c r="DM402" s="1754"/>
      <c r="DN402" s="1754"/>
      <c r="DP402" s="383">
        <f t="shared" si="22"/>
        <v>65</v>
      </c>
      <c r="DQ402" s="1754">
        <f t="shared" si="23"/>
        <v>0</v>
      </c>
      <c r="DR402" s="1754"/>
      <c r="DS402" s="1754"/>
      <c r="DT402" s="1754"/>
      <c r="DU402" s="1754">
        <f t="shared" si="44"/>
        <v>0</v>
      </c>
      <c r="DV402" s="1754"/>
      <c r="DW402" s="1754"/>
      <c r="DX402" s="1754">
        <f t="shared" si="49"/>
        <v>0</v>
      </c>
      <c r="DY402" s="1754"/>
      <c r="DZ402" s="1754"/>
      <c r="EA402" s="1754">
        <f t="shared" si="50"/>
        <v>0</v>
      </c>
      <c r="EB402" s="1754"/>
      <c r="EC402" s="1754"/>
      <c r="ED402" s="1754"/>
      <c r="EE402" s="384"/>
      <c r="EF402" s="1750">
        <f t="shared" ref="EF402:EF465" si="87">IF($BE402&gt;0,$AB$187/12,0)</f>
        <v>0</v>
      </c>
      <c r="EG402" s="1751"/>
      <c r="EH402" s="1751"/>
      <c r="EI402" s="1751"/>
      <c r="EJ402" s="1752"/>
      <c r="EL402" s="1750">
        <f t="shared" si="55"/>
        <v>0</v>
      </c>
      <c r="EM402" s="1751"/>
      <c r="EN402" s="1751"/>
      <c r="EO402" s="1751"/>
      <c r="EP402" s="1752"/>
      <c r="ER402" s="1750">
        <f t="shared" ref="ER402:ER465" si="88">IF($BE402&gt;0,($AB$197+$AB$203)/12,0)</f>
        <v>0</v>
      </c>
      <c r="ES402" s="1751"/>
      <c r="ET402" s="1751"/>
      <c r="EU402" s="1751"/>
      <c r="EV402" s="1752"/>
      <c r="EX402" s="1750">
        <f>IF(BE402&gt;0,Einstrahlung!$K$18*Kalkulation!$P$62/100*$AY$29*POWER((100-$P$64)/100,BD402-1),0)</f>
        <v>0</v>
      </c>
      <c r="EY402" s="1751"/>
      <c r="EZ402" s="1751"/>
      <c r="FA402" s="1751"/>
      <c r="FB402" s="1752"/>
      <c r="FD402" s="1750">
        <f t="shared" si="27"/>
        <v>0</v>
      </c>
      <c r="FE402" s="1751"/>
      <c r="FF402" s="1751"/>
      <c r="FG402" s="1751"/>
      <c r="FH402" s="1752"/>
      <c r="FI402" s="385"/>
      <c r="FJ402" s="380">
        <f t="shared" si="40"/>
        <v>0</v>
      </c>
      <c r="FK402" s="385"/>
      <c r="FL402" s="380">
        <f t="shared" si="79"/>
        <v>0</v>
      </c>
      <c r="FM402" s="385"/>
      <c r="FN402" s="380">
        <f t="shared" si="29"/>
        <v>0</v>
      </c>
      <c r="FO402" s="962">
        <f t="shared" si="37"/>
        <v>194</v>
      </c>
      <c r="FP402" s="956">
        <f t="shared" ref="FP402:FP465" si="89">IF($B$118&lt;41,0,IF(FO402&lt;58,$BI$147,IF(AND(FO402&gt;57,FO402&lt;70),$BI$143,IF(FO402&gt;69,$BI$141,0))))</f>
        <v>0.4</v>
      </c>
      <c r="FQ402" s="380">
        <f t="shared" si="45"/>
        <v>0</v>
      </c>
      <c r="FR402" s="626">
        <f t="shared" si="80"/>
        <v>1</v>
      </c>
      <c r="FT402" s="1819">
        <f t="shared" si="38"/>
        <v>0</v>
      </c>
      <c r="FU402" s="1820"/>
      <c r="FV402" s="1820"/>
      <c r="FW402" s="1820"/>
      <c r="FX402" s="1821"/>
      <c r="FY402" s="1819">
        <f t="shared" si="30"/>
        <v>0</v>
      </c>
      <c r="FZ402" s="1820"/>
      <c r="GA402" s="1820"/>
      <c r="GB402" s="1821"/>
      <c r="GC402" s="1825">
        <f t="shared" si="54"/>
        <v>0</v>
      </c>
      <c r="GD402" s="1826"/>
      <c r="GE402" s="1826"/>
      <c r="GF402" s="1827"/>
      <c r="GH402" s="1750">
        <f t="shared" si="32"/>
        <v>0</v>
      </c>
      <c r="GI402" s="1751"/>
      <c r="GJ402" s="1751"/>
      <c r="GK402" s="1752"/>
      <c r="GL402" s="1750">
        <f t="shared" si="33"/>
        <v>0</v>
      </c>
      <c r="GM402" s="1751"/>
      <c r="GN402" s="1751"/>
      <c r="GO402" s="1752"/>
      <c r="GP402" s="385"/>
      <c r="GQ402" s="1750">
        <f t="shared" si="34"/>
        <v>0</v>
      </c>
      <c r="GR402" s="1751"/>
      <c r="GS402" s="1751"/>
      <c r="GT402" s="1752"/>
      <c r="GU402" s="192">
        <f t="shared" si="43"/>
        <v>1</v>
      </c>
      <c r="GV402" s="192">
        <f>SUM($GU$337:GU402)</f>
        <v>58</v>
      </c>
      <c r="GW402" s="318"/>
      <c r="HA402" s="380">
        <f t="shared" si="75"/>
        <v>0</v>
      </c>
      <c r="HX402" s="380"/>
    </row>
    <row r="403" spans="4:232">
      <c r="D403" s="324"/>
      <c r="E403" s="402"/>
      <c r="F403" s="402"/>
      <c r="G403" s="403" t="str">
        <f>Q534</f>
        <v/>
      </c>
      <c r="H403" s="402"/>
      <c r="I403" s="402"/>
      <c r="J403" s="402"/>
      <c r="K403" s="402"/>
      <c r="L403" s="402"/>
      <c r="M403" s="402"/>
      <c r="N403" s="402"/>
      <c r="O403" s="402"/>
      <c r="P403" s="402"/>
      <c r="Q403" s="402"/>
      <c r="R403" s="402"/>
      <c r="S403" s="402"/>
      <c r="T403" s="402"/>
      <c r="U403" s="402"/>
      <c r="V403" s="402"/>
      <c r="W403" s="402"/>
      <c r="X403" s="402"/>
      <c r="Y403" s="402"/>
      <c r="Z403" s="402"/>
      <c r="AA403" s="402"/>
      <c r="AB403" s="404"/>
      <c r="AC403" s="404"/>
      <c r="AD403" s="402"/>
      <c r="AE403" s="402"/>
      <c r="AF403" s="402"/>
      <c r="AG403" s="402"/>
      <c r="AH403" s="402"/>
      <c r="AI403" s="402"/>
      <c r="AJ403" s="402"/>
      <c r="AK403" s="402"/>
      <c r="AL403" s="402"/>
      <c r="AM403" s="402"/>
      <c r="AN403" s="402"/>
      <c r="AO403" s="405"/>
      <c r="BD403" s="387">
        <f t="shared" si="76"/>
        <v>5</v>
      </c>
      <c r="BE403" s="382">
        <f>IF(BD403&gt;0,66,0)</f>
        <v>66</v>
      </c>
      <c r="BG403" s="383">
        <f>IF($BE403&gt;$R$66-3+($BR$335*12),66,0)</f>
        <v>66</v>
      </c>
      <c r="BH403" s="1754">
        <f t="shared" si="77"/>
        <v>0</v>
      </c>
      <c r="BI403" s="1754"/>
      <c r="BJ403" s="1754"/>
      <c r="BK403" s="1754"/>
      <c r="BL403" s="1754">
        <f t="shared" ref="BL403:BL466" si="90">IF(BH403&lt;=BL402,BH403,IF(BG403&gt;0,IF($BG$334="R",$BR$332/(($BR$333-$X$92)*12),$BR$334/12-BO403),0))</f>
        <v>0</v>
      </c>
      <c r="BM403" s="1754"/>
      <c r="BN403" s="1754"/>
      <c r="BO403" s="1754">
        <f t="shared" si="81"/>
        <v>0</v>
      </c>
      <c r="BP403" s="1754"/>
      <c r="BQ403" s="1754"/>
      <c r="BR403" s="1754">
        <f t="shared" si="78"/>
        <v>0</v>
      </c>
      <c r="BS403" s="1754"/>
      <c r="BT403" s="1754"/>
      <c r="BU403" s="1754"/>
      <c r="BW403" s="383">
        <f>IF($BE403&gt;$R$66-3+($CH$335*12),66,0)</f>
        <v>66</v>
      </c>
      <c r="BX403" s="1754">
        <f t="shared" si="72"/>
        <v>0</v>
      </c>
      <c r="BY403" s="1754"/>
      <c r="BZ403" s="1754"/>
      <c r="CA403" s="1754"/>
      <c r="CB403" s="1754">
        <f t="shared" ref="CB403:CB466" si="91">IF(BX403&lt;=CB402,BX403,IF(BW403&gt;0,IF($BW$334="R",$CH$332/(($CH$333-$X$94)*12),$CH$334/12-CE403),0))</f>
        <v>0</v>
      </c>
      <c r="CC403" s="1754"/>
      <c r="CD403" s="1754"/>
      <c r="CE403" s="1754">
        <f t="shared" si="82"/>
        <v>0</v>
      </c>
      <c r="CF403" s="1754"/>
      <c r="CG403" s="1754"/>
      <c r="CH403" s="1754">
        <f t="shared" si="83"/>
        <v>0</v>
      </c>
      <c r="CI403" s="1754"/>
      <c r="CJ403" s="1754"/>
      <c r="CK403" s="1754"/>
      <c r="CM403" s="383">
        <f>IF($BE403&gt;$R$66-3+($CX$335*12),66,0)</f>
        <v>66</v>
      </c>
      <c r="CN403" s="1754">
        <f t="shared" si="73"/>
        <v>0</v>
      </c>
      <c r="CO403" s="1754"/>
      <c r="CP403" s="1754"/>
      <c r="CQ403" s="1754"/>
      <c r="CR403" s="1754">
        <f t="shared" ref="CR403:CR466" si="92">IF(CN403&lt;=CR402,CN403,IF(CM403&gt;0,IF($CM$334="R",$CX$332/(($CX$333-$X$96)*12),$CX$334/12-CU403),0))</f>
        <v>0</v>
      </c>
      <c r="CS403" s="1754"/>
      <c r="CT403" s="1754"/>
      <c r="CU403" s="1754">
        <f t="shared" si="84"/>
        <v>0</v>
      </c>
      <c r="CV403" s="1754"/>
      <c r="CW403" s="1754"/>
      <c r="CX403" s="1754">
        <f t="shared" si="85"/>
        <v>0</v>
      </c>
      <c r="CY403" s="1754"/>
      <c r="CZ403" s="1754"/>
      <c r="DA403" s="1754"/>
      <c r="DC403" s="383">
        <f>IF($BE403&gt;$R$66-3,66,0)</f>
        <v>66</v>
      </c>
      <c r="DD403" s="1754">
        <f t="shared" si="74"/>
        <v>0</v>
      </c>
      <c r="DE403" s="1754"/>
      <c r="DF403" s="1754"/>
      <c r="DG403" s="1754"/>
      <c r="DH403" s="1754">
        <f t="shared" ref="DH403:DH466" si="93">IF($BE403&gt;0,DD403*$DE$335/(100*12),0)</f>
        <v>0</v>
      </c>
      <c r="DI403" s="1754"/>
      <c r="DJ403" s="1754"/>
      <c r="DK403" s="1754">
        <f t="shared" si="86"/>
        <v>0</v>
      </c>
      <c r="DL403" s="1754"/>
      <c r="DM403" s="1754"/>
      <c r="DN403" s="1754"/>
      <c r="DP403" s="383">
        <f t="shared" ref="DP403:DP466" si="94">DC403</f>
        <v>66</v>
      </c>
      <c r="DQ403" s="1754">
        <f t="shared" ref="DQ403:DQ466" si="95">IF(DD403=0,0,IF(EA402&lt;=0,0,EA402))</f>
        <v>0</v>
      </c>
      <c r="DR403" s="1754"/>
      <c r="DS403" s="1754"/>
      <c r="DT403" s="1754"/>
      <c r="DU403" s="1754">
        <f t="shared" si="44"/>
        <v>0</v>
      </c>
      <c r="DV403" s="1754"/>
      <c r="DW403" s="1754"/>
      <c r="DX403" s="1754">
        <f t="shared" si="49"/>
        <v>0</v>
      </c>
      <c r="DY403" s="1754"/>
      <c r="DZ403" s="1754"/>
      <c r="EA403" s="1754">
        <f t="shared" si="50"/>
        <v>0</v>
      </c>
      <c r="EB403" s="1754"/>
      <c r="EC403" s="1754"/>
      <c r="ED403" s="1754"/>
      <c r="EE403" s="384"/>
      <c r="EF403" s="1750">
        <f t="shared" si="87"/>
        <v>0</v>
      </c>
      <c r="EG403" s="1751"/>
      <c r="EH403" s="1751"/>
      <c r="EI403" s="1751"/>
      <c r="EJ403" s="1752"/>
      <c r="EL403" s="1750">
        <f t="shared" si="55"/>
        <v>0</v>
      </c>
      <c r="EM403" s="1751"/>
      <c r="EN403" s="1751"/>
      <c r="EO403" s="1751"/>
      <c r="EP403" s="1752"/>
      <c r="ER403" s="1750">
        <f t="shared" si="88"/>
        <v>0</v>
      </c>
      <c r="ES403" s="1751"/>
      <c r="ET403" s="1751"/>
      <c r="EU403" s="1751"/>
      <c r="EV403" s="1752"/>
      <c r="EX403" s="1750">
        <f>IF(BE403&gt;0,Einstrahlung!$K$20*Kalkulation!$P$62/100*$AY$29*POWER((100-$P$64)/100,BD403-1),0)</f>
        <v>0</v>
      </c>
      <c r="EY403" s="1751"/>
      <c r="EZ403" s="1751"/>
      <c r="FA403" s="1751"/>
      <c r="FB403" s="1752"/>
      <c r="FD403" s="1750">
        <f t="shared" ref="FD403:FD466" si="96">((FJ403*$BS$147/100*$AZ$151)+(FJ403*$BS$149/100*$AZ$153)+(FJ403*$BS$151/100*$AZ$155)+(FJ403*$BS$153/100*$AZ$157)+(FJ403*$BS$155/100*$AZ$159))</f>
        <v>0</v>
      </c>
      <c r="FE403" s="1751"/>
      <c r="FF403" s="1751"/>
      <c r="FG403" s="1751"/>
      <c r="FH403" s="1752"/>
      <c r="FI403" s="385"/>
      <c r="FJ403" s="380">
        <f t="shared" si="40"/>
        <v>0</v>
      </c>
      <c r="FK403" s="385"/>
      <c r="FL403" s="380">
        <f t="shared" si="79"/>
        <v>0</v>
      </c>
      <c r="FM403" s="385"/>
      <c r="FN403" s="380">
        <f t="shared" ref="FN403:FN466" si="97">FL403*$FN$336</f>
        <v>0</v>
      </c>
      <c r="FO403" s="962">
        <f t="shared" si="37"/>
        <v>195</v>
      </c>
      <c r="FP403" s="956">
        <f t="shared" si="89"/>
        <v>0.4</v>
      </c>
      <c r="FQ403" s="380">
        <f t="shared" si="45"/>
        <v>0</v>
      </c>
      <c r="FR403" s="626">
        <f t="shared" si="80"/>
        <v>1</v>
      </c>
      <c r="FT403" s="1819">
        <f t="shared" si="38"/>
        <v>0</v>
      </c>
      <c r="FU403" s="1820"/>
      <c r="FV403" s="1820"/>
      <c r="FW403" s="1820"/>
      <c r="FX403" s="1821"/>
      <c r="FY403" s="1819">
        <f t="shared" ref="FY403:FY466" si="98">IF(BE403=0,0,IF((FT402+FT403)/2&lt;0,(FT403+FT402)/2*$AD$239/12/100,(FT403+FT402)/2*$AD$238/12/100))</f>
        <v>0</v>
      </c>
      <c r="FZ403" s="1820"/>
      <c r="GA403" s="1820"/>
      <c r="GB403" s="1821"/>
      <c r="GC403" s="1825">
        <f t="shared" si="54"/>
        <v>0</v>
      </c>
      <c r="GD403" s="1826"/>
      <c r="GE403" s="1826"/>
      <c r="GF403" s="1827"/>
      <c r="GH403" s="1750">
        <f t="shared" ref="GH403:GH466" si="99">BL403+CB403+CR403+DU403</f>
        <v>0</v>
      </c>
      <c r="GI403" s="1751"/>
      <c r="GJ403" s="1751"/>
      <c r="GK403" s="1752"/>
      <c r="GL403" s="1750">
        <f t="shared" ref="GL403:GL466" si="100">BO403+CE403+CU403+DH403</f>
        <v>0</v>
      </c>
      <c r="GM403" s="1751"/>
      <c r="GN403" s="1751"/>
      <c r="GO403" s="1752"/>
      <c r="GP403" s="385"/>
      <c r="GQ403" s="1750">
        <f t="shared" ref="GQ403:GQ466" si="101">FD403+FQ403+EF403+EL403+ER403+IF(FY403&gt;0,0,FY403)</f>
        <v>0</v>
      </c>
      <c r="GR403" s="1751"/>
      <c r="GS403" s="1751"/>
      <c r="GT403" s="1752"/>
      <c r="GU403" s="192">
        <f t="shared" si="43"/>
        <v>1</v>
      </c>
      <c r="GV403" s="192">
        <f>SUM($GU$337:GU403)</f>
        <v>59</v>
      </c>
      <c r="GW403" s="318"/>
      <c r="HA403" s="380">
        <f t="shared" si="75"/>
        <v>0</v>
      </c>
      <c r="HX403" s="380"/>
    </row>
    <row r="404" spans="4:232">
      <c r="BD404" s="387">
        <f t="shared" si="76"/>
        <v>5</v>
      </c>
      <c r="BE404" s="382">
        <f>IF(BD404&gt;0,67,0)</f>
        <v>67</v>
      </c>
      <c r="BG404" s="383">
        <f>IF($BE404&gt;$R$66-3+($BR$335*12),67,0)</f>
        <v>67</v>
      </c>
      <c r="BH404" s="1754">
        <f t="shared" si="77"/>
        <v>0</v>
      </c>
      <c r="BI404" s="1754"/>
      <c r="BJ404" s="1754"/>
      <c r="BK404" s="1754"/>
      <c r="BL404" s="1754">
        <f t="shared" si="90"/>
        <v>0</v>
      </c>
      <c r="BM404" s="1754"/>
      <c r="BN404" s="1754"/>
      <c r="BO404" s="1754">
        <f t="shared" si="81"/>
        <v>0</v>
      </c>
      <c r="BP404" s="1754"/>
      <c r="BQ404" s="1754"/>
      <c r="BR404" s="1754">
        <f t="shared" si="78"/>
        <v>0</v>
      </c>
      <c r="BS404" s="1754"/>
      <c r="BT404" s="1754"/>
      <c r="BU404" s="1754"/>
      <c r="BW404" s="383">
        <f>IF($BE404&gt;$R$66-3+($CH$335*12),67,0)</f>
        <v>67</v>
      </c>
      <c r="BX404" s="1754">
        <f t="shared" si="72"/>
        <v>0</v>
      </c>
      <c r="BY404" s="1754"/>
      <c r="BZ404" s="1754"/>
      <c r="CA404" s="1754"/>
      <c r="CB404" s="1754">
        <f t="shared" si="91"/>
        <v>0</v>
      </c>
      <c r="CC404" s="1754"/>
      <c r="CD404" s="1754"/>
      <c r="CE404" s="1754">
        <f t="shared" si="82"/>
        <v>0</v>
      </c>
      <c r="CF404" s="1754"/>
      <c r="CG404" s="1754"/>
      <c r="CH404" s="1754">
        <f t="shared" si="83"/>
        <v>0</v>
      </c>
      <c r="CI404" s="1754"/>
      <c r="CJ404" s="1754"/>
      <c r="CK404" s="1754"/>
      <c r="CM404" s="383">
        <f>IF($BE404&gt;$R$66-3+($CX$335*12),67,0)</f>
        <v>67</v>
      </c>
      <c r="CN404" s="1754">
        <f t="shared" si="73"/>
        <v>0</v>
      </c>
      <c r="CO404" s="1754"/>
      <c r="CP404" s="1754"/>
      <c r="CQ404" s="1754"/>
      <c r="CR404" s="1754">
        <f t="shared" si="92"/>
        <v>0</v>
      </c>
      <c r="CS404" s="1754"/>
      <c r="CT404" s="1754"/>
      <c r="CU404" s="1754">
        <f t="shared" si="84"/>
        <v>0</v>
      </c>
      <c r="CV404" s="1754"/>
      <c r="CW404" s="1754"/>
      <c r="CX404" s="1754">
        <f t="shared" si="85"/>
        <v>0</v>
      </c>
      <c r="CY404" s="1754"/>
      <c r="CZ404" s="1754"/>
      <c r="DA404" s="1754"/>
      <c r="DC404" s="383">
        <f>IF($BE404&gt;$R$66-3,67,0)</f>
        <v>67</v>
      </c>
      <c r="DD404" s="1754">
        <f t="shared" si="74"/>
        <v>0</v>
      </c>
      <c r="DE404" s="1754"/>
      <c r="DF404" s="1754"/>
      <c r="DG404" s="1754"/>
      <c r="DH404" s="1754">
        <f t="shared" si="93"/>
        <v>0</v>
      </c>
      <c r="DI404" s="1754"/>
      <c r="DJ404" s="1754"/>
      <c r="DK404" s="1754">
        <f t="shared" si="86"/>
        <v>0</v>
      </c>
      <c r="DL404" s="1754"/>
      <c r="DM404" s="1754"/>
      <c r="DN404" s="1754"/>
      <c r="DP404" s="383">
        <f t="shared" si="94"/>
        <v>67</v>
      </c>
      <c r="DQ404" s="1754">
        <f t="shared" si="95"/>
        <v>0</v>
      </c>
      <c r="DR404" s="1754"/>
      <c r="DS404" s="1754"/>
      <c r="DT404" s="1754"/>
      <c r="DU404" s="1754">
        <f t="shared" si="44"/>
        <v>0</v>
      </c>
      <c r="DV404" s="1754"/>
      <c r="DW404" s="1754"/>
      <c r="DX404" s="1754">
        <f t="shared" si="49"/>
        <v>0</v>
      </c>
      <c r="DY404" s="1754"/>
      <c r="DZ404" s="1754"/>
      <c r="EA404" s="1754">
        <f t="shared" si="50"/>
        <v>0</v>
      </c>
      <c r="EB404" s="1754"/>
      <c r="EC404" s="1754"/>
      <c r="ED404" s="1754"/>
      <c r="EE404" s="384"/>
      <c r="EF404" s="1750">
        <f t="shared" si="87"/>
        <v>0</v>
      </c>
      <c r="EG404" s="1751"/>
      <c r="EH404" s="1751"/>
      <c r="EI404" s="1751"/>
      <c r="EJ404" s="1752"/>
      <c r="EL404" s="1750">
        <f t="shared" si="55"/>
        <v>0</v>
      </c>
      <c r="EM404" s="1751"/>
      <c r="EN404" s="1751"/>
      <c r="EO404" s="1751"/>
      <c r="EP404" s="1752"/>
      <c r="ER404" s="1750">
        <f t="shared" si="88"/>
        <v>0</v>
      </c>
      <c r="ES404" s="1751"/>
      <c r="ET404" s="1751"/>
      <c r="EU404" s="1751"/>
      <c r="EV404" s="1752"/>
      <c r="EX404" s="1750">
        <f>IF(BE404&gt;0,Einstrahlung!$K$22*Kalkulation!$P$62/100*$AY$29*POWER((100-$P$64)/100,BD404-1),0)</f>
        <v>0</v>
      </c>
      <c r="EY404" s="1751"/>
      <c r="EZ404" s="1751"/>
      <c r="FA404" s="1751"/>
      <c r="FB404" s="1752"/>
      <c r="FD404" s="1750">
        <f t="shared" si="96"/>
        <v>0</v>
      </c>
      <c r="FE404" s="1751"/>
      <c r="FF404" s="1751"/>
      <c r="FG404" s="1751"/>
      <c r="FH404" s="1752"/>
      <c r="FI404" s="385"/>
      <c r="FJ404" s="380">
        <f t="shared" si="40"/>
        <v>0</v>
      </c>
      <c r="FK404" s="385"/>
      <c r="FL404" s="380">
        <f t="shared" si="79"/>
        <v>0</v>
      </c>
      <c r="FM404" s="385"/>
      <c r="FN404" s="380">
        <f t="shared" si="97"/>
        <v>0</v>
      </c>
      <c r="FO404" s="962">
        <f t="shared" ref="FO404:FO467" si="102">FO403+1</f>
        <v>196</v>
      </c>
      <c r="FP404" s="956">
        <f t="shared" si="89"/>
        <v>0.4</v>
      </c>
      <c r="FQ404" s="380">
        <f t="shared" si="45"/>
        <v>0</v>
      </c>
      <c r="FR404" s="626">
        <f t="shared" si="80"/>
        <v>1</v>
      </c>
      <c r="FT404" s="1819">
        <f t="shared" ref="FT404:FT467" si="103">GC403+(FD404+FQ404)-(GH404+GL404)+(EF404+EL404+ER404)</f>
        <v>0</v>
      </c>
      <c r="FU404" s="1820"/>
      <c r="FV404" s="1820"/>
      <c r="FW404" s="1820"/>
      <c r="FX404" s="1821"/>
      <c r="FY404" s="1819">
        <f t="shared" si="98"/>
        <v>0</v>
      </c>
      <c r="FZ404" s="1820"/>
      <c r="GA404" s="1820"/>
      <c r="GB404" s="1821"/>
      <c r="GC404" s="1825">
        <f t="shared" si="54"/>
        <v>0</v>
      </c>
      <c r="GD404" s="1826"/>
      <c r="GE404" s="1826"/>
      <c r="GF404" s="1827"/>
      <c r="GH404" s="1750">
        <f t="shared" si="99"/>
        <v>0</v>
      </c>
      <c r="GI404" s="1751"/>
      <c r="GJ404" s="1751"/>
      <c r="GK404" s="1752"/>
      <c r="GL404" s="1750">
        <f t="shared" si="100"/>
        <v>0</v>
      </c>
      <c r="GM404" s="1751"/>
      <c r="GN404" s="1751"/>
      <c r="GO404" s="1752"/>
      <c r="GP404" s="385"/>
      <c r="GQ404" s="1750">
        <f t="shared" si="101"/>
        <v>0</v>
      </c>
      <c r="GR404" s="1751"/>
      <c r="GS404" s="1751"/>
      <c r="GT404" s="1752"/>
      <c r="GU404" s="192">
        <f t="shared" si="43"/>
        <v>1</v>
      </c>
      <c r="GV404" s="192">
        <f>SUM($GU$337:GU404)</f>
        <v>60</v>
      </c>
      <c r="GW404" s="318"/>
      <c r="HA404" s="380">
        <f t="shared" si="75"/>
        <v>0</v>
      </c>
      <c r="HX404" s="380"/>
    </row>
    <row r="405" spans="4:232">
      <c r="BD405" s="387">
        <f t="shared" si="76"/>
        <v>5</v>
      </c>
      <c r="BE405" s="382">
        <f>IF(BD405&gt;0,68,0)</f>
        <v>68</v>
      </c>
      <c r="BG405" s="383">
        <f>IF($BE405&gt;$R$66-3+($BR$335*12),68,0)</f>
        <v>68</v>
      </c>
      <c r="BH405" s="1754">
        <f t="shared" si="77"/>
        <v>0</v>
      </c>
      <c r="BI405" s="1754"/>
      <c r="BJ405" s="1754"/>
      <c r="BK405" s="1754"/>
      <c r="BL405" s="1754">
        <f t="shared" si="90"/>
        <v>0</v>
      </c>
      <c r="BM405" s="1754"/>
      <c r="BN405" s="1754"/>
      <c r="BO405" s="1754">
        <f t="shared" si="81"/>
        <v>0</v>
      </c>
      <c r="BP405" s="1754"/>
      <c r="BQ405" s="1754"/>
      <c r="BR405" s="1754">
        <f t="shared" si="78"/>
        <v>0</v>
      </c>
      <c r="BS405" s="1754"/>
      <c r="BT405" s="1754"/>
      <c r="BU405" s="1754"/>
      <c r="BW405" s="383">
        <f>IF($BE405&gt;$R$66-3+($CH$335*12),68,0)</f>
        <v>68</v>
      </c>
      <c r="BX405" s="1754">
        <f t="shared" si="72"/>
        <v>0</v>
      </c>
      <c r="BY405" s="1754"/>
      <c r="BZ405" s="1754"/>
      <c r="CA405" s="1754"/>
      <c r="CB405" s="1754">
        <f t="shared" si="91"/>
        <v>0</v>
      </c>
      <c r="CC405" s="1754"/>
      <c r="CD405" s="1754"/>
      <c r="CE405" s="1754">
        <f t="shared" si="82"/>
        <v>0</v>
      </c>
      <c r="CF405" s="1754"/>
      <c r="CG405" s="1754"/>
      <c r="CH405" s="1754">
        <f t="shared" si="83"/>
        <v>0</v>
      </c>
      <c r="CI405" s="1754"/>
      <c r="CJ405" s="1754"/>
      <c r="CK405" s="1754"/>
      <c r="CM405" s="383">
        <f>IF($BE405&gt;$R$66-3+($CX$335*12),68,0)</f>
        <v>68</v>
      </c>
      <c r="CN405" s="1754">
        <f t="shared" si="73"/>
        <v>0</v>
      </c>
      <c r="CO405" s="1754"/>
      <c r="CP405" s="1754"/>
      <c r="CQ405" s="1754"/>
      <c r="CR405" s="1754">
        <f t="shared" si="92"/>
        <v>0</v>
      </c>
      <c r="CS405" s="1754"/>
      <c r="CT405" s="1754"/>
      <c r="CU405" s="1754">
        <f t="shared" si="84"/>
        <v>0</v>
      </c>
      <c r="CV405" s="1754"/>
      <c r="CW405" s="1754"/>
      <c r="CX405" s="1754">
        <f t="shared" si="85"/>
        <v>0</v>
      </c>
      <c r="CY405" s="1754"/>
      <c r="CZ405" s="1754"/>
      <c r="DA405" s="1754"/>
      <c r="DC405" s="383">
        <f>IF($BE405&gt;$R$66-3,68,0)</f>
        <v>68</v>
      </c>
      <c r="DD405" s="1754">
        <f t="shared" si="74"/>
        <v>0</v>
      </c>
      <c r="DE405" s="1754"/>
      <c r="DF405" s="1754"/>
      <c r="DG405" s="1754"/>
      <c r="DH405" s="1754">
        <f t="shared" si="93"/>
        <v>0</v>
      </c>
      <c r="DI405" s="1754"/>
      <c r="DJ405" s="1754"/>
      <c r="DK405" s="1754">
        <f t="shared" si="86"/>
        <v>0</v>
      </c>
      <c r="DL405" s="1754"/>
      <c r="DM405" s="1754"/>
      <c r="DN405" s="1754"/>
      <c r="DP405" s="383">
        <f t="shared" si="94"/>
        <v>68</v>
      </c>
      <c r="DQ405" s="1754">
        <f t="shared" si="95"/>
        <v>0</v>
      </c>
      <c r="DR405" s="1754"/>
      <c r="DS405" s="1754"/>
      <c r="DT405" s="1754"/>
      <c r="DU405" s="1754">
        <f t="shared" si="44"/>
        <v>0</v>
      </c>
      <c r="DV405" s="1754"/>
      <c r="DW405" s="1754"/>
      <c r="DX405" s="1754">
        <f t="shared" si="49"/>
        <v>0</v>
      </c>
      <c r="DY405" s="1754"/>
      <c r="DZ405" s="1754"/>
      <c r="EA405" s="1754">
        <f t="shared" si="50"/>
        <v>0</v>
      </c>
      <c r="EB405" s="1754"/>
      <c r="EC405" s="1754"/>
      <c r="ED405" s="1754"/>
      <c r="EE405" s="384"/>
      <c r="EF405" s="1750">
        <f t="shared" si="87"/>
        <v>0</v>
      </c>
      <c r="EG405" s="1751"/>
      <c r="EH405" s="1751"/>
      <c r="EI405" s="1751"/>
      <c r="EJ405" s="1752"/>
      <c r="EL405" s="1750">
        <f t="shared" si="55"/>
        <v>0</v>
      </c>
      <c r="EM405" s="1751"/>
      <c r="EN405" s="1751"/>
      <c r="EO405" s="1751"/>
      <c r="EP405" s="1752"/>
      <c r="ER405" s="1750">
        <f t="shared" si="88"/>
        <v>0</v>
      </c>
      <c r="ES405" s="1751"/>
      <c r="ET405" s="1751"/>
      <c r="EU405" s="1751"/>
      <c r="EV405" s="1752"/>
      <c r="EX405" s="1750">
        <f>IF(BE405&gt;0,Einstrahlung!$K$24*Kalkulation!$P$62/100*$AY$29*POWER((100-$P$64)/100,BD405-1),0)</f>
        <v>0</v>
      </c>
      <c r="EY405" s="1751"/>
      <c r="EZ405" s="1751"/>
      <c r="FA405" s="1751"/>
      <c r="FB405" s="1752"/>
      <c r="FD405" s="1750">
        <f t="shared" si="96"/>
        <v>0</v>
      </c>
      <c r="FE405" s="1751"/>
      <c r="FF405" s="1751"/>
      <c r="FG405" s="1751"/>
      <c r="FH405" s="1752"/>
      <c r="FI405" s="385"/>
      <c r="FJ405" s="380">
        <f t="shared" si="40"/>
        <v>0</v>
      </c>
      <c r="FK405" s="385"/>
      <c r="FL405" s="380">
        <f t="shared" si="79"/>
        <v>0</v>
      </c>
      <c r="FM405" s="385"/>
      <c r="FN405" s="380">
        <f t="shared" si="97"/>
        <v>0</v>
      </c>
      <c r="FO405" s="962">
        <f t="shared" si="102"/>
        <v>197</v>
      </c>
      <c r="FP405" s="956">
        <f t="shared" si="89"/>
        <v>0.4</v>
      </c>
      <c r="FQ405" s="380">
        <f t="shared" si="45"/>
        <v>0</v>
      </c>
      <c r="FR405" s="626">
        <f t="shared" si="80"/>
        <v>1</v>
      </c>
      <c r="FT405" s="1819">
        <f t="shared" si="103"/>
        <v>0</v>
      </c>
      <c r="FU405" s="1820"/>
      <c r="FV405" s="1820"/>
      <c r="FW405" s="1820"/>
      <c r="FX405" s="1821"/>
      <c r="FY405" s="1819">
        <f t="shared" si="98"/>
        <v>0</v>
      </c>
      <c r="FZ405" s="1820"/>
      <c r="GA405" s="1820"/>
      <c r="GB405" s="1821"/>
      <c r="GC405" s="1825">
        <f t="shared" si="54"/>
        <v>0</v>
      </c>
      <c r="GD405" s="1826"/>
      <c r="GE405" s="1826"/>
      <c r="GF405" s="1827"/>
      <c r="GH405" s="1750">
        <f t="shared" si="99"/>
        <v>0</v>
      </c>
      <c r="GI405" s="1751"/>
      <c r="GJ405" s="1751"/>
      <c r="GK405" s="1752"/>
      <c r="GL405" s="1750">
        <f t="shared" si="100"/>
        <v>0</v>
      </c>
      <c r="GM405" s="1751"/>
      <c r="GN405" s="1751"/>
      <c r="GO405" s="1752"/>
      <c r="GP405" s="385"/>
      <c r="GQ405" s="1750">
        <f t="shared" si="101"/>
        <v>0</v>
      </c>
      <c r="GR405" s="1751"/>
      <c r="GS405" s="1751"/>
      <c r="GT405" s="1752"/>
      <c r="GU405" s="192">
        <f t="shared" si="43"/>
        <v>1</v>
      </c>
      <c r="GV405" s="192">
        <f>SUM($GU$337:GU405)</f>
        <v>61</v>
      </c>
      <c r="GW405" s="318"/>
      <c r="HA405" s="380">
        <f t="shared" si="75"/>
        <v>0</v>
      </c>
      <c r="HX405" s="380"/>
    </row>
    <row r="406" spans="4:232">
      <c r="BD406" s="387">
        <f t="shared" si="76"/>
        <v>5</v>
      </c>
      <c r="BE406" s="382">
        <f>IF(BD406&gt;0,69,0)</f>
        <v>69</v>
      </c>
      <c r="BG406" s="383">
        <f>IF($BE406&gt;$R$66-3+($BR$335*12),69,0)</f>
        <v>69</v>
      </c>
      <c r="BH406" s="1754">
        <f t="shared" si="77"/>
        <v>0</v>
      </c>
      <c r="BI406" s="1754"/>
      <c r="BJ406" s="1754"/>
      <c r="BK406" s="1754"/>
      <c r="BL406" s="1754">
        <f t="shared" si="90"/>
        <v>0</v>
      </c>
      <c r="BM406" s="1754"/>
      <c r="BN406" s="1754"/>
      <c r="BO406" s="1754">
        <f t="shared" si="81"/>
        <v>0</v>
      </c>
      <c r="BP406" s="1754"/>
      <c r="BQ406" s="1754"/>
      <c r="BR406" s="1754">
        <f t="shared" si="78"/>
        <v>0</v>
      </c>
      <c r="BS406" s="1754"/>
      <c r="BT406" s="1754"/>
      <c r="BU406" s="1754"/>
      <c r="BW406" s="383">
        <f>IF($BE406&gt;$R$66-3+($CH$335*12),69,0)</f>
        <v>69</v>
      </c>
      <c r="BX406" s="1754">
        <f t="shared" si="72"/>
        <v>0</v>
      </c>
      <c r="BY406" s="1754"/>
      <c r="BZ406" s="1754"/>
      <c r="CA406" s="1754"/>
      <c r="CB406" s="1754">
        <f t="shared" si="91"/>
        <v>0</v>
      </c>
      <c r="CC406" s="1754"/>
      <c r="CD406" s="1754"/>
      <c r="CE406" s="1754">
        <f t="shared" si="82"/>
        <v>0</v>
      </c>
      <c r="CF406" s="1754"/>
      <c r="CG406" s="1754"/>
      <c r="CH406" s="1754">
        <f t="shared" si="83"/>
        <v>0</v>
      </c>
      <c r="CI406" s="1754"/>
      <c r="CJ406" s="1754"/>
      <c r="CK406" s="1754"/>
      <c r="CM406" s="383">
        <f>IF($BE406&gt;$R$66-3+($CX$335*12),69,0)</f>
        <v>69</v>
      </c>
      <c r="CN406" s="1754">
        <f t="shared" si="73"/>
        <v>0</v>
      </c>
      <c r="CO406" s="1754"/>
      <c r="CP406" s="1754"/>
      <c r="CQ406" s="1754"/>
      <c r="CR406" s="1754">
        <f t="shared" si="92"/>
        <v>0</v>
      </c>
      <c r="CS406" s="1754"/>
      <c r="CT406" s="1754"/>
      <c r="CU406" s="1754">
        <f t="shared" si="84"/>
        <v>0</v>
      </c>
      <c r="CV406" s="1754"/>
      <c r="CW406" s="1754"/>
      <c r="CX406" s="1754">
        <f t="shared" si="85"/>
        <v>0</v>
      </c>
      <c r="CY406" s="1754"/>
      <c r="CZ406" s="1754"/>
      <c r="DA406" s="1754"/>
      <c r="DC406" s="383">
        <f>IF($BE406&gt;$R$66-3,69,0)</f>
        <v>69</v>
      </c>
      <c r="DD406" s="1754">
        <f t="shared" si="74"/>
        <v>0</v>
      </c>
      <c r="DE406" s="1754"/>
      <c r="DF406" s="1754"/>
      <c r="DG406" s="1754"/>
      <c r="DH406" s="1754">
        <f t="shared" si="93"/>
        <v>0</v>
      </c>
      <c r="DI406" s="1754"/>
      <c r="DJ406" s="1754"/>
      <c r="DK406" s="1754">
        <f t="shared" si="86"/>
        <v>0</v>
      </c>
      <c r="DL406" s="1754"/>
      <c r="DM406" s="1754"/>
      <c r="DN406" s="1754"/>
      <c r="DP406" s="383">
        <f t="shared" si="94"/>
        <v>69</v>
      </c>
      <c r="DQ406" s="1754">
        <f t="shared" si="95"/>
        <v>0</v>
      </c>
      <c r="DR406" s="1754"/>
      <c r="DS406" s="1754"/>
      <c r="DT406" s="1754"/>
      <c r="DU406" s="1754">
        <f t="shared" si="44"/>
        <v>0</v>
      </c>
      <c r="DV406" s="1754"/>
      <c r="DW406" s="1754"/>
      <c r="DX406" s="1754">
        <f t="shared" si="49"/>
        <v>0</v>
      </c>
      <c r="DY406" s="1754"/>
      <c r="DZ406" s="1754"/>
      <c r="EA406" s="1754">
        <f t="shared" si="50"/>
        <v>0</v>
      </c>
      <c r="EB406" s="1754"/>
      <c r="EC406" s="1754"/>
      <c r="ED406" s="1754"/>
      <c r="EE406" s="384"/>
      <c r="EF406" s="1750">
        <f t="shared" si="87"/>
        <v>0</v>
      </c>
      <c r="EG406" s="1751"/>
      <c r="EH406" s="1751"/>
      <c r="EI406" s="1751"/>
      <c r="EJ406" s="1752"/>
      <c r="EL406" s="1750">
        <f t="shared" si="55"/>
        <v>0</v>
      </c>
      <c r="EM406" s="1751"/>
      <c r="EN406" s="1751"/>
      <c r="EO406" s="1751"/>
      <c r="EP406" s="1752"/>
      <c r="ER406" s="1750">
        <f t="shared" si="88"/>
        <v>0</v>
      </c>
      <c r="ES406" s="1751"/>
      <c r="ET406" s="1751"/>
      <c r="EU406" s="1751"/>
      <c r="EV406" s="1752"/>
      <c r="EX406" s="1750">
        <f>IF(BE406&gt;0,Einstrahlung!$K$26*Kalkulation!$P$62/100*$AY$29*POWER((100-$P$64)/100,BD406-1),0)</f>
        <v>0</v>
      </c>
      <c r="EY406" s="1751"/>
      <c r="EZ406" s="1751"/>
      <c r="FA406" s="1751"/>
      <c r="FB406" s="1752"/>
      <c r="FD406" s="1750">
        <f t="shared" si="96"/>
        <v>0</v>
      </c>
      <c r="FE406" s="1751"/>
      <c r="FF406" s="1751"/>
      <c r="FG406" s="1751"/>
      <c r="FH406" s="1752"/>
      <c r="FI406" s="385"/>
      <c r="FJ406" s="380">
        <f t="shared" ref="FJ406:FJ469" si="104">EX406-FL406</f>
        <v>0</v>
      </c>
      <c r="FK406" s="385"/>
      <c r="FL406" s="380">
        <f t="shared" si="79"/>
        <v>0</v>
      </c>
      <c r="FM406" s="385"/>
      <c r="FN406" s="380">
        <f t="shared" si="97"/>
        <v>0</v>
      </c>
      <c r="FO406" s="962">
        <f t="shared" si="102"/>
        <v>198</v>
      </c>
      <c r="FP406" s="956">
        <f t="shared" si="89"/>
        <v>0.4</v>
      </c>
      <c r="FQ406" s="380">
        <f t="shared" si="45"/>
        <v>0</v>
      </c>
      <c r="FR406" s="626">
        <f t="shared" si="80"/>
        <v>1</v>
      </c>
      <c r="FT406" s="1819">
        <f t="shared" si="103"/>
        <v>0</v>
      </c>
      <c r="FU406" s="1820"/>
      <c r="FV406" s="1820"/>
      <c r="FW406" s="1820"/>
      <c r="FX406" s="1821"/>
      <c r="FY406" s="1819">
        <f t="shared" si="98"/>
        <v>0</v>
      </c>
      <c r="FZ406" s="1820"/>
      <c r="GA406" s="1820"/>
      <c r="GB406" s="1821"/>
      <c r="GC406" s="1825">
        <f t="shared" si="54"/>
        <v>0</v>
      </c>
      <c r="GD406" s="1826"/>
      <c r="GE406" s="1826"/>
      <c r="GF406" s="1827"/>
      <c r="GH406" s="1750">
        <f t="shared" si="99"/>
        <v>0</v>
      </c>
      <c r="GI406" s="1751"/>
      <c r="GJ406" s="1751"/>
      <c r="GK406" s="1752"/>
      <c r="GL406" s="1750">
        <f t="shared" si="100"/>
        <v>0</v>
      </c>
      <c r="GM406" s="1751"/>
      <c r="GN406" s="1751"/>
      <c r="GO406" s="1752"/>
      <c r="GP406" s="385"/>
      <c r="GQ406" s="1750">
        <f t="shared" si="101"/>
        <v>0</v>
      </c>
      <c r="GR406" s="1751"/>
      <c r="GS406" s="1751"/>
      <c r="GT406" s="1752"/>
      <c r="GU406" s="192">
        <f t="shared" si="43"/>
        <v>1</v>
      </c>
      <c r="GV406" s="192">
        <f>SUM($GU$337:GU406)</f>
        <v>62</v>
      </c>
      <c r="GW406" s="318"/>
      <c r="HA406" s="380">
        <f t="shared" si="75"/>
        <v>0</v>
      </c>
      <c r="HX406" s="380"/>
    </row>
    <row r="407" spans="4:232">
      <c r="BD407" s="387">
        <f t="shared" si="76"/>
        <v>5</v>
      </c>
      <c r="BE407" s="382">
        <f>IF(BD407&gt;0,70,0)</f>
        <v>70</v>
      </c>
      <c r="BG407" s="383">
        <f>IF($BE407&gt;$R$66-3+($BR$335*12),70,0)</f>
        <v>70</v>
      </c>
      <c r="BH407" s="1754">
        <f t="shared" si="77"/>
        <v>0</v>
      </c>
      <c r="BI407" s="1754"/>
      <c r="BJ407" s="1754"/>
      <c r="BK407" s="1754"/>
      <c r="BL407" s="1754">
        <f t="shared" si="90"/>
        <v>0</v>
      </c>
      <c r="BM407" s="1754"/>
      <c r="BN407" s="1754"/>
      <c r="BO407" s="1754">
        <f t="shared" si="81"/>
        <v>0</v>
      </c>
      <c r="BP407" s="1754"/>
      <c r="BQ407" s="1754"/>
      <c r="BR407" s="1754">
        <f t="shared" si="78"/>
        <v>0</v>
      </c>
      <c r="BS407" s="1754"/>
      <c r="BT407" s="1754"/>
      <c r="BU407" s="1754"/>
      <c r="BW407" s="383">
        <f>IF($BE407&gt;$R$66-3+($CH$335*12),70,0)</f>
        <v>70</v>
      </c>
      <c r="BX407" s="1754">
        <f t="shared" si="72"/>
        <v>0</v>
      </c>
      <c r="BY407" s="1754"/>
      <c r="BZ407" s="1754"/>
      <c r="CA407" s="1754"/>
      <c r="CB407" s="1754">
        <f t="shared" si="91"/>
        <v>0</v>
      </c>
      <c r="CC407" s="1754"/>
      <c r="CD407" s="1754"/>
      <c r="CE407" s="1754">
        <f t="shared" si="82"/>
        <v>0</v>
      </c>
      <c r="CF407" s="1754"/>
      <c r="CG407" s="1754"/>
      <c r="CH407" s="1754">
        <f t="shared" si="83"/>
        <v>0</v>
      </c>
      <c r="CI407" s="1754"/>
      <c r="CJ407" s="1754"/>
      <c r="CK407" s="1754"/>
      <c r="CM407" s="383">
        <f>IF($BE407&gt;$R$66-3+($CX$335*12),70,0)</f>
        <v>70</v>
      </c>
      <c r="CN407" s="1754">
        <f t="shared" si="73"/>
        <v>0</v>
      </c>
      <c r="CO407" s="1754"/>
      <c r="CP407" s="1754"/>
      <c r="CQ407" s="1754"/>
      <c r="CR407" s="1754">
        <f t="shared" si="92"/>
        <v>0</v>
      </c>
      <c r="CS407" s="1754"/>
      <c r="CT407" s="1754"/>
      <c r="CU407" s="1754">
        <f t="shared" si="84"/>
        <v>0</v>
      </c>
      <c r="CV407" s="1754"/>
      <c r="CW407" s="1754"/>
      <c r="CX407" s="1754">
        <f t="shared" si="85"/>
        <v>0</v>
      </c>
      <c r="CY407" s="1754"/>
      <c r="CZ407" s="1754"/>
      <c r="DA407" s="1754"/>
      <c r="DC407" s="383">
        <f>IF($BE407&gt;$R$66-3,70,0)</f>
        <v>70</v>
      </c>
      <c r="DD407" s="1754">
        <f t="shared" si="74"/>
        <v>0</v>
      </c>
      <c r="DE407" s="1754"/>
      <c r="DF407" s="1754"/>
      <c r="DG407" s="1754"/>
      <c r="DH407" s="1754">
        <f t="shared" si="93"/>
        <v>0</v>
      </c>
      <c r="DI407" s="1754"/>
      <c r="DJ407" s="1754"/>
      <c r="DK407" s="1754">
        <f t="shared" si="86"/>
        <v>0</v>
      </c>
      <c r="DL407" s="1754"/>
      <c r="DM407" s="1754"/>
      <c r="DN407" s="1754"/>
      <c r="DP407" s="383">
        <f t="shared" si="94"/>
        <v>70</v>
      </c>
      <c r="DQ407" s="1754">
        <f t="shared" si="95"/>
        <v>0</v>
      </c>
      <c r="DR407" s="1754"/>
      <c r="DS407" s="1754"/>
      <c r="DT407" s="1754"/>
      <c r="DU407" s="1754">
        <f t="shared" si="44"/>
        <v>0</v>
      </c>
      <c r="DV407" s="1754"/>
      <c r="DW407" s="1754"/>
      <c r="DX407" s="1754">
        <f t="shared" si="49"/>
        <v>0</v>
      </c>
      <c r="DY407" s="1754"/>
      <c r="DZ407" s="1754"/>
      <c r="EA407" s="1754">
        <f t="shared" si="50"/>
        <v>0</v>
      </c>
      <c r="EB407" s="1754"/>
      <c r="EC407" s="1754"/>
      <c r="ED407" s="1754"/>
      <c r="EE407" s="384"/>
      <c r="EF407" s="1750">
        <f t="shared" si="87"/>
        <v>0</v>
      </c>
      <c r="EG407" s="1751"/>
      <c r="EH407" s="1751"/>
      <c r="EI407" s="1751"/>
      <c r="EJ407" s="1752"/>
      <c r="EL407" s="1750">
        <f t="shared" si="55"/>
        <v>0</v>
      </c>
      <c r="EM407" s="1751"/>
      <c r="EN407" s="1751"/>
      <c r="EO407" s="1751"/>
      <c r="EP407" s="1752"/>
      <c r="ER407" s="1750">
        <f t="shared" si="88"/>
        <v>0</v>
      </c>
      <c r="ES407" s="1751"/>
      <c r="ET407" s="1751"/>
      <c r="EU407" s="1751"/>
      <c r="EV407" s="1752"/>
      <c r="EX407" s="1750">
        <f>IF(BE407&gt;0,Einstrahlung!$K$28*Kalkulation!$P$62/100*$AY$29*POWER((100-$P$64)/100,BD407-1),0)</f>
        <v>0</v>
      </c>
      <c r="EY407" s="1751"/>
      <c r="EZ407" s="1751"/>
      <c r="FA407" s="1751"/>
      <c r="FB407" s="1752"/>
      <c r="FD407" s="1750">
        <f t="shared" si="96"/>
        <v>0</v>
      </c>
      <c r="FE407" s="1751"/>
      <c r="FF407" s="1751"/>
      <c r="FG407" s="1751"/>
      <c r="FH407" s="1752"/>
      <c r="FI407" s="385"/>
      <c r="FJ407" s="380">
        <f t="shared" si="104"/>
        <v>0</v>
      </c>
      <c r="FK407" s="385"/>
      <c r="FL407" s="380">
        <f t="shared" si="79"/>
        <v>0</v>
      </c>
      <c r="FM407" s="385"/>
      <c r="FN407" s="380">
        <f t="shared" si="97"/>
        <v>0</v>
      </c>
      <c r="FO407" s="962">
        <f t="shared" si="102"/>
        <v>199</v>
      </c>
      <c r="FP407" s="956">
        <f t="shared" si="89"/>
        <v>0.4</v>
      </c>
      <c r="FQ407" s="380">
        <f t="shared" si="45"/>
        <v>0</v>
      </c>
      <c r="FR407" s="626">
        <f t="shared" si="80"/>
        <v>1</v>
      </c>
      <c r="FT407" s="1819">
        <f t="shared" si="103"/>
        <v>0</v>
      </c>
      <c r="FU407" s="1820"/>
      <c r="FV407" s="1820"/>
      <c r="FW407" s="1820"/>
      <c r="FX407" s="1821"/>
      <c r="FY407" s="1819">
        <f t="shared" si="98"/>
        <v>0</v>
      </c>
      <c r="FZ407" s="1820"/>
      <c r="GA407" s="1820"/>
      <c r="GB407" s="1821"/>
      <c r="GC407" s="1825">
        <f t="shared" si="54"/>
        <v>0</v>
      </c>
      <c r="GD407" s="1826"/>
      <c r="GE407" s="1826"/>
      <c r="GF407" s="1827"/>
      <c r="GH407" s="1750">
        <f t="shared" si="99"/>
        <v>0</v>
      </c>
      <c r="GI407" s="1751"/>
      <c r="GJ407" s="1751"/>
      <c r="GK407" s="1752"/>
      <c r="GL407" s="1750">
        <f t="shared" si="100"/>
        <v>0</v>
      </c>
      <c r="GM407" s="1751"/>
      <c r="GN407" s="1751"/>
      <c r="GO407" s="1752"/>
      <c r="GP407" s="385"/>
      <c r="GQ407" s="1750">
        <f t="shared" si="101"/>
        <v>0</v>
      </c>
      <c r="GR407" s="1751"/>
      <c r="GS407" s="1751"/>
      <c r="GT407" s="1752"/>
      <c r="GU407" s="192">
        <f t="shared" si="43"/>
        <v>1</v>
      </c>
      <c r="GV407" s="192">
        <f>SUM($GU$337:GU407)</f>
        <v>63</v>
      </c>
      <c r="GW407" s="318"/>
      <c r="HA407" s="380">
        <f t="shared" si="75"/>
        <v>0</v>
      </c>
      <c r="HX407" s="380"/>
    </row>
    <row r="408" spans="4:232">
      <c r="BD408" s="387">
        <f t="shared" si="76"/>
        <v>5</v>
      </c>
      <c r="BE408" s="382">
        <f>IF(BD408&gt;0,71,0)</f>
        <v>71</v>
      </c>
      <c r="BG408" s="383">
        <f>IF($BE408&gt;$R$66-3+($BR$335*12),71,0)</f>
        <v>71</v>
      </c>
      <c r="BH408" s="1754">
        <f t="shared" si="77"/>
        <v>0</v>
      </c>
      <c r="BI408" s="1754"/>
      <c r="BJ408" s="1754"/>
      <c r="BK408" s="1754"/>
      <c r="BL408" s="1754">
        <f t="shared" si="90"/>
        <v>0</v>
      </c>
      <c r="BM408" s="1754"/>
      <c r="BN408" s="1754"/>
      <c r="BO408" s="1754">
        <f t="shared" si="81"/>
        <v>0</v>
      </c>
      <c r="BP408" s="1754"/>
      <c r="BQ408" s="1754"/>
      <c r="BR408" s="1754">
        <f t="shared" si="78"/>
        <v>0</v>
      </c>
      <c r="BS408" s="1754"/>
      <c r="BT408" s="1754"/>
      <c r="BU408" s="1754"/>
      <c r="BW408" s="406">
        <f>IF($BE408&gt;$R$66-3+($CH$335*12),71,0)</f>
        <v>71</v>
      </c>
      <c r="BX408" s="1754">
        <f t="shared" si="72"/>
        <v>0</v>
      </c>
      <c r="BY408" s="1754"/>
      <c r="BZ408" s="1754"/>
      <c r="CA408" s="1754"/>
      <c r="CB408" s="1754">
        <f t="shared" si="91"/>
        <v>0</v>
      </c>
      <c r="CC408" s="1754"/>
      <c r="CD408" s="1754"/>
      <c r="CE408" s="1754">
        <f t="shared" si="82"/>
        <v>0</v>
      </c>
      <c r="CF408" s="1754"/>
      <c r="CG408" s="1754"/>
      <c r="CH408" s="1754">
        <f t="shared" si="83"/>
        <v>0</v>
      </c>
      <c r="CI408" s="1754"/>
      <c r="CJ408" s="1754"/>
      <c r="CK408" s="1754"/>
      <c r="CM408" s="406">
        <f>IF($BE408&gt;$R$66-3+($CX$335*12),71,0)</f>
        <v>71</v>
      </c>
      <c r="CN408" s="1754">
        <f t="shared" si="73"/>
        <v>0</v>
      </c>
      <c r="CO408" s="1754"/>
      <c r="CP408" s="1754"/>
      <c r="CQ408" s="1754"/>
      <c r="CR408" s="1754">
        <f t="shared" si="92"/>
        <v>0</v>
      </c>
      <c r="CS408" s="1754"/>
      <c r="CT408" s="1754"/>
      <c r="CU408" s="1754">
        <f t="shared" si="84"/>
        <v>0</v>
      </c>
      <c r="CV408" s="1754"/>
      <c r="CW408" s="1754"/>
      <c r="CX408" s="1754">
        <f t="shared" si="85"/>
        <v>0</v>
      </c>
      <c r="CY408" s="1754"/>
      <c r="CZ408" s="1754"/>
      <c r="DA408" s="1754"/>
      <c r="DC408" s="406">
        <f>IF($BE408&gt;$R$66-3,71,0)</f>
        <v>71</v>
      </c>
      <c r="DD408" s="1754">
        <f t="shared" si="74"/>
        <v>0</v>
      </c>
      <c r="DE408" s="1754"/>
      <c r="DF408" s="1754"/>
      <c r="DG408" s="1754"/>
      <c r="DH408" s="1754">
        <f t="shared" si="93"/>
        <v>0</v>
      </c>
      <c r="DI408" s="1754"/>
      <c r="DJ408" s="1754"/>
      <c r="DK408" s="1754">
        <f t="shared" si="86"/>
        <v>0</v>
      </c>
      <c r="DL408" s="1754"/>
      <c r="DM408" s="1754"/>
      <c r="DN408" s="1754"/>
      <c r="DP408" s="406">
        <f t="shared" si="94"/>
        <v>71</v>
      </c>
      <c r="DQ408" s="1754">
        <f t="shared" si="95"/>
        <v>0</v>
      </c>
      <c r="DR408" s="1754"/>
      <c r="DS408" s="1754"/>
      <c r="DT408" s="1754"/>
      <c r="DU408" s="1754">
        <f t="shared" si="44"/>
        <v>0</v>
      </c>
      <c r="DV408" s="1754"/>
      <c r="DW408" s="1754"/>
      <c r="DX408" s="1754">
        <f t="shared" si="49"/>
        <v>0</v>
      </c>
      <c r="DY408" s="1754"/>
      <c r="DZ408" s="1754"/>
      <c r="EA408" s="1754">
        <f t="shared" si="50"/>
        <v>0</v>
      </c>
      <c r="EB408" s="1754"/>
      <c r="EC408" s="1754"/>
      <c r="ED408" s="1754"/>
      <c r="EE408" s="384"/>
      <c r="EF408" s="1750">
        <f t="shared" si="87"/>
        <v>0</v>
      </c>
      <c r="EG408" s="1751"/>
      <c r="EH408" s="1751"/>
      <c r="EI408" s="1751"/>
      <c r="EJ408" s="1752"/>
      <c r="EL408" s="1750">
        <f t="shared" si="55"/>
        <v>0</v>
      </c>
      <c r="EM408" s="1751"/>
      <c r="EN408" s="1751"/>
      <c r="EO408" s="1751"/>
      <c r="EP408" s="1752"/>
      <c r="ER408" s="1750">
        <f t="shared" si="88"/>
        <v>0</v>
      </c>
      <c r="ES408" s="1751"/>
      <c r="ET408" s="1751"/>
      <c r="EU408" s="1751"/>
      <c r="EV408" s="1752"/>
      <c r="EX408" s="1750">
        <f>IF(BE408&gt;0,Einstrahlung!$K$30*Kalkulation!$P$62/100*$AY$29*POWER((100-$P$64)/100,BD408-1),0)</f>
        <v>0</v>
      </c>
      <c r="EY408" s="1751"/>
      <c r="EZ408" s="1751"/>
      <c r="FA408" s="1751"/>
      <c r="FB408" s="1752"/>
      <c r="FD408" s="1750">
        <f t="shared" si="96"/>
        <v>0</v>
      </c>
      <c r="FE408" s="1751"/>
      <c r="FF408" s="1751"/>
      <c r="FG408" s="1751"/>
      <c r="FH408" s="1752"/>
      <c r="FI408" s="385"/>
      <c r="FJ408" s="380">
        <f t="shared" si="104"/>
        <v>0</v>
      </c>
      <c r="FK408" s="385"/>
      <c r="FL408" s="380">
        <f t="shared" si="79"/>
        <v>0</v>
      </c>
      <c r="FM408" s="385"/>
      <c r="FN408" s="380">
        <f t="shared" si="97"/>
        <v>0</v>
      </c>
      <c r="FO408" s="962">
        <f t="shared" si="102"/>
        <v>200</v>
      </c>
      <c r="FP408" s="956">
        <f t="shared" si="89"/>
        <v>0.4</v>
      </c>
      <c r="FQ408" s="380">
        <f t="shared" si="45"/>
        <v>0</v>
      </c>
      <c r="FR408" s="626">
        <f t="shared" si="80"/>
        <v>1</v>
      </c>
      <c r="FT408" s="1819">
        <f t="shared" si="103"/>
        <v>0</v>
      </c>
      <c r="FU408" s="1820"/>
      <c r="FV408" s="1820"/>
      <c r="FW408" s="1820"/>
      <c r="FX408" s="1821"/>
      <c r="FY408" s="1819">
        <f t="shared" si="98"/>
        <v>0</v>
      </c>
      <c r="FZ408" s="1820"/>
      <c r="GA408" s="1820"/>
      <c r="GB408" s="1821"/>
      <c r="GC408" s="1825">
        <f t="shared" si="54"/>
        <v>0</v>
      </c>
      <c r="GD408" s="1826"/>
      <c r="GE408" s="1826"/>
      <c r="GF408" s="1827"/>
      <c r="GH408" s="1750">
        <f t="shared" si="99"/>
        <v>0</v>
      </c>
      <c r="GI408" s="1751"/>
      <c r="GJ408" s="1751"/>
      <c r="GK408" s="1752"/>
      <c r="GL408" s="1750">
        <f t="shared" si="100"/>
        <v>0</v>
      </c>
      <c r="GM408" s="1751"/>
      <c r="GN408" s="1751"/>
      <c r="GO408" s="1752"/>
      <c r="GP408" s="385"/>
      <c r="GQ408" s="1750">
        <f t="shared" si="101"/>
        <v>0</v>
      </c>
      <c r="GR408" s="1751"/>
      <c r="GS408" s="1751"/>
      <c r="GT408" s="1752"/>
      <c r="GU408" s="192">
        <f t="shared" ref="GU408:GU471" si="105">IF(BE408&gt;0,1,0)</f>
        <v>1</v>
      </c>
      <c r="GV408" s="192">
        <f>SUM($GU$337:GU408)</f>
        <v>64</v>
      </c>
      <c r="GW408" s="318"/>
      <c r="HA408" s="380">
        <f t="shared" si="75"/>
        <v>0</v>
      </c>
      <c r="HX408" s="380"/>
    </row>
    <row r="409" spans="4:232" ht="13.5" thickBot="1">
      <c r="BD409" s="389">
        <f t="shared" si="76"/>
        <v>5</v>
      </c>
      <c r="BE409" s="390">
        <f>IF(BD409&gt;0,72,0)</f>
        <v>72</v>
      </c>
      <c r="BG409" s="391">
        <f>IF($BE409&gt;$R$66-3+($BR$335*12),72,0)</f>
        <v>72</v>
      </c>
      <c r="BH409" s="1753">
        <f t="shared" si="77"/>
        <v>0</v>
      </c>
      <c r="BI409" s="1753"/>
      <c r="BJ409" s="1753"/>
      <c r="BK409" s="1753"/>
      <c r="BL409" s="1753">
        <f t="shared" si="90"/>
        <v>0</v>
      </c>
      <c r="BM409" s="1753"/>
      <c r="BN409" s="1753"/>
      <c r="BO409" s="1753">
        <f t="shared" si="81"/>
        <v>0</v>
      </c>
      <c r="BP409" s="1753"/>
      <c r="BQ409" s="1753"/>
      <c r="BR409" s="1753">
        <f t="shared" si="78"/>
        <v>0</v>
      </c>
      <c r="BS409" s="1753"/>
      <c r="BT409" s="1753"/>
      <c r="BU409" s="1753"/>
      <c r="BW409" s="391">
        <f>IF($BE409&gt;$R$66-3+($CH$335*12),72,0)</f>
        <v>72</v>
      </c>
      <c r="BX409" s="1753">
        <f t="shared" si="72"/>
        <v>0</v>
      </c>
      <c r="BY409" s="1753"/>
      <c r="BZ409" s="1753"/>
      <c r="CA409" s="1753"/>
      <c r="CB409" s="1753">
        <f t="shared" si="91"/>
        <v>0</v>
      </c>
      <c r="CC409" s="1753"/>
      <c r="CD409" s="1753"/>
      <c r="CE409" s="1753">
        <f t="shared" si="82"/>
        <v>0</v>
      </c>
      <c r="CF409" s="1753"/>
      <c r="CG409" s="1753"/>
      <c r="CH409" s="1753">
        <f t="shared" si="83"/>
        <v>0</v>
      </c>
      <c r="CI409" s="1753"/>
      <c r="CJ409" s="1753"/>
      <c r="CK409" s="1753"/>
      <c r="CM409" s="391">
        <f>IF($BE409&gt;$R$66-3+($CX$335*12),72,0)</f>
        <v>72</v>
      </c>
      <c r="CN409" s="1753">
        <f t="shared" si="73"/>
        <v>0</v>
      </c>
      <c r="CO409" s="1753"/>
      <c r="CP409" s="1753"/>
      <c r="CQ409" s="1753"/>
      <c r="CR409" s="1753">
        <f t="shared" si="92"/>
        <v>0</v>
      </c>
      <c r="CS409" s="1753"/>
      <c r="CT409" s="1753"/>
      <c r="CU409" s="1753">
        <f t="shared" si="84"/>
        <v>0</v>
      </c>
      <c r="CV409" s="1753"/>
      <c r="CW409" s="1753"/>
      <c r="CX409" s="1753">
        <f t="shared" si="85"/>
        <v>0</v>
      </c>
      <c r="CY409" s="1753"/>
      <c r="CZ409" s="1753"/>
      <c r="DA409" s="1753"/>
      <c r="DC409" s="391">
        <f>IF($BE409&gt;$R$66-3,72,0)</f>
        <v>72</v>
      </c>
      <c r="DD409" s="1753">
        <f t="shared" si="74"/>
        <v>0</v>
      </c>
      <c r="DE409" s="1753"/>
      <c r="DF409" s="1753"/>
      <c r="DG409" s="1753"/>
      <c r="DH409" s="1753">
        <f t="shared" si="93"/>
        <v>0</v>
      </c>
      <c r="DI409" s="1753"/>
      <c r="DJ409" s="1753"/>
      <c r="DK409" s="1753">
        <f t="shared" si="86"/>
        <v>0</v>
      </c>
      <c r="DL409" s="1753"/>
      <c r="DM409" s="1753"/>
      <c r="DN409" s="1753"/>
      <c r="DP409" s="391">
        <f t="shared" si="94"/>
        <v>72</v>
      </c>
      <c r="DQ409" s="1753">
        <f t="shared" si="95"/>
        <v>0</v>
      </c>
      <c r="DR409" s="1753"/>
      <c r="DS409" s="1753"/>
      <c r="DT409" s="1753"/>
      <c r="DU409" s="1753">
        <f t="shared" ref="DU409:DU472" si="106">IF(DD409=0,0,IF($BE409&gt;0,($DK$332*$DM$335/100)/12-DH409,0))</f>
        <v>0</v>
      </c>
      <c r="DV409" s="1753"/>
      <c r="DW409" s="1753"/>
      <c r="DX409" s="1753">
        <f t="shared" si="49"/>
        <v>0</v>
      </c>
      <c r="DY409" s="1753"/>
      <c r="DZ409" s="1753"/>
      <c r="EA409" s="1753">
        <f t="shared" si="50"/>
        <v>0</v>
      </c>
      <c r="EB409" s="1753"/>
      <c r="EC409" s="1753"/>
      <c r="ED409" s="1753"/>
      <c r="EE409" s="384"/>
      <c r="EF409" s="1744">
        <f t="shared" si="87"/>
        <v>0</v>
      </c>
      <c r="EG409" s="1745"/>
      <c r="EH409" s="1745"/>
      <c r="EI409" s="1745"/>
      <c r="EJ409" s="1746"/>
      <c r="EL409" s="1744">
        <f t="shared" si="55"/>
        <v>0</v>
      </c>
      <c r="EM409" s="1745"/>
      <c r="EN409" s="1745"/>
      <c r="EO409" s="1745"/>
      <c r="EP409" s="1746"/>
      <c r="ER409" s="1744">
        <f t="shared" si="88"/>
        <v>0</v>
      </c>
      <c r="ES409" s="1745"/>
      <c r="ET409" s="1745"/>
      <c r="EU409" s="1745"/>
      <c r="EV409" s="1746"/>
      <c r="EX409" s="1744">
        <f>IF(BE409&gt;0,Einstrahlung!$K$32*Kalkulation!$P$62/100*$AY$29*POWER((100-$P$64)/100,BD409-1),0)</f>
        <v>0</v>
      </c>
      <c r="EY409" s="1745"/>
      <c r="EZ409" s="1745"/>
      <c r="FA409" s="1745"/>
      <c r="FB409" s="1746"/>
      <c r="FD409" s="1744">
        <f t="shared" si="96"/>
        <v>0</v>
      </c>
      <c r="FE409" s="1745"/>
      <c r="FF409" s="1745"/>
      <c r="FG409" s="1745"/>
      <c r="FH409" s="1746"/>
      <c r="FI409" s="385"/>
      <c r="FJ409" s="453">
        <f t="shared" si="104"/>
        <v>0</v>
      </c>
      <c r="FK409" s="385"/>
      <c r="FL409" s="453">
        <f t="shared" si="79"/>
        <v>0</v>
      </c>
      <c r="FM409" s="385"/>
      <c r="FN409" s="453">
        <f t="shared" si="97"/>
        <v>0</v>
      </c>
      <c r="FO409" s="962">
        <f t="shared" si="102"/>
        <v>201</v>
      </c>
      <c r="FP409" s="956">
        <f t="shared" si="89"/>
        <v>0.4</v>
      </c>
      <c r="FQ409" s="453">
        <f t="shared" si="45"/>
        <v>0</v>
      </c>
      <c r="FR409" s="957">
        <f>POWER(1+$FQ$333,FS409)</f>
        <v>1</v>
      </c>
      <c r="FS409" s="617">
        <f>FS397+1</f>
        <v>5</v>
      </c>
      <c r="FT409" s="1822">
        <f t="shared" si="103"/>
        <v>0</v>
      </c>
      <c r="FU409" s="1823"/>
      <c r="FV409" s="1823"/>
      <c r="FW409" s="1823"/>
      <c r="FX409" s="1824"/>
      <c r="FY409" s="1822">
        <f t="shared" si="98"/>
        <v>0</v>
      </c>
      <c r="FZ409" s="1823"/>
      <c r="GA409" s="1823"/>
      <c r="GB409" s="1824"/>
      <c r="GC409" s="1831">
        <f t="shared" si="54"/>
        <v>0</v>
      </c>
      <c r="GD409" s="1832"/>
      <c r="GE409" s="1832"/>
      <c r="GF409" s="1833"/>
      <c r="GH409" s="1744">
        <f t="shared" si="99"/>
        <v>0</v>
      </c>
      <c r="GI409" s="1745"/>
      <c r="GJ409" s="1745"/>
      <c r="GK409" s="1746"/>
      <c r="GL409" s="1744">
        <f t="shared" si="100"/>
        <v>0</v>
      </c>
      <c r="GM409" s="1745"/>
      <c r="GN409" s="1745"/>
      <c r="GO409" s="1746"/>
      <c r="GP409" s="385"/>
      <c r="GQ409" s="1744">
        <f t="shared" si="101"/>
        <v>0</v>
      </c>
      <c r="GR409" s="1745"/>
      <c r="GS409" s="1745"/>
      <c r="GT409" s="1746"/>
      <c r="GU409" s="192">
        <f t="shared" si="105"/>
        <v>1</v>
      </c>
      <c r="GV409" s="192">
        <f>SUM($GU$337:GU409)</f>
        <v>65</v>
      </c>
      <c r="GW409" s="318"/>
      <c r="HB409" s="380">
        <f t="shared" ref="HB409:HB420" si="107">IF(GV409=72,SUM(GQ398:GT409),0)</f>
        <v>0</v>
      </c>
      <c r="HX409" s="380"/>
    </row>
    <row r="410" spans="4:232">
      <c r="BD410" s="407">
        <f t="shared" ref="BD410:BD421" si="108">IF(BH410&lt;0,0,IF($V$21&gt;0,6,0))</f>
        <v>6</v>
      </c>
      <c r="BE410" s="382">
        <f>IF(BD410&gt;0,73,0)</f>
        <v>73</v>
      </c>
      <c r="BG410" s="395">
        <f>IF($BE410&gt;$R$66-3+($BR$335*12),73,0)</f>
        <v>73</v>
      </c>
      <c r="BH410" s="1754">
        <f t="shared" ref="BH410:BH421" si="109">IF(BR409&lt;=0,0,BR409)</f>
        <v>0</v>
      </c>
      <c r="BI410" s="1754"/>
      <c r="BJ410" s="1754"/>
      <c r="BK410" s="1754"/>
      <c r="BL410" s="1754">
        <f t="shared" si="90"/>
        <v>0</v>
      </c>
      <c r="BM410" s="1754"/>
      <c r="BN410" s="1754"/>
      <c r="BO410" s="1754">
        <f t="shared" si="81"/>
        <v>0</v>
      </c>
      <c r="BP410" s="1754"/>
      <c r="BQ410" s="1754"/>
      <c r="BR410" s="1754">
        <f t="shared" ref="BR410:BR421" si="110">BH410-BL410</f>
        <v>0</v>
      </c>
      <c r="BS410" s="1754"/>
      <c r="BT410" s="1754"/>
      <c r="BU410" s="1754"/>
      <c r="BW410" s="395">
        <f>IF($BE410&gt;$R$66-3+($CH$335*12),73,0)</f>
        <v>73</v>
      </c>
      <c r="BX410" s="1754">
        <f t="shared" si="72"/>
        <v>0</v>
      </c>
      <c r="BY410" s="1754"/>
      <c r="BZ410" s="1754"/>
      <c r="CA410" s="1754"/>
      <c r="CB410" s="1754">
        <f t="shared" si="91"/>
        <v>0</v>
      </c>
      <c r="CC410" s="1754"/>
      <c r="CD410" s="1754"/>
      <c r="CE410" s="1754">
        <f t="shared" si="82"/>
        <v>0</v>
      </c>
      <c r="CF410" s="1754"/>
      <c r="CG410" s="1754"/>
      <c r="CH410" s="1754">
        <f t="shared" si="83"/>
        <v>0</v>
      </c>
      <c r="CI410" s="1754"/>
      <c r="CJ410" s="1754"/>
      <c r="CK410" s="1754"/>
      <c r="CM410" s="395">
        <f>IF($BE410&gt;$R$66-3+($CX$335*12),73,0)</f>
        <v>73</v>
      </c>
      <c r="CN410" s="1754">
        <f t="shared" si="73"/>
        <v>0</v>
      </c>
      <c r="CO410" s="1754"/>
      <c r="CP410" s="1754"/>
      <c r="CQ410" s="1754"/>
      <c r="CR410" s="1754">
        <f t="shared" si="92"/>
        <v>0</v>
      </c>
      <c r="CS410" s="1754"/>
      <c r="CT410" s="1754"/>
      <c r="CU410" s="1754">
        <f t="shared" si="84"/>
        <v>0</v>
      </c>
      <c r="CV410" s="1754"/>
      <c r="CW410" s="1754"/>
      <c r="CX410" s="1754">
        <f t="shared" si="85"/>
        <v>0</v>
      </c>
      <c r="CY410" s="1754"/>
      <c r="CZ410" s="1754"/>
      <c r="DA410" s="1754"/>
      <c r="DC410" s="395">
        <f>IF($BE410&gt;$R$66-3,73,0)</f>
        <v>73</v>
      </c>
      <c r="DD410" s="1754">
        <f t="shared" si="74"/>
        <v>0</v>
      </c>
      <c r="DE410" s="1754"/>
      <c r="DF410" s="1754"/>
      <c r="DG410" s="1754"/>
      <c r="DH410" s="1754">
        <f t="shared" si="93"/>
        <v>0</v>
      </c>
      <c r="DI410" s="1754"/>
      <c r="DJ410" s="1754"/>
      <c r="DK410" s="1754">
        <f t="shared" si="86"/>
        <v>0</v>
      </c>
      <c r="DL410" s="1754"/>
      <c r="DM410" s="1754"/>
      <c r="DN410" s="1754"/>
      <c r="DP410" s="395">
        <f t="shared" si="94"/>
        <v>73</v>
      </c>
      <c r="DQ410" s="1754">
        <f t="shared" si="95"/>
        <v>0</v>
      </c>
      <c r="DR410" s="1754"/>
      <c r="DS410" s="1754"/>
      <c r="DT410" s="1754"/>
      <c r="DU410" s="1754">
        <f t="shared" si="106"/>
        <v>0</v>
      </c>
      <c r="DV410" s="1754"/>
      <c r="DW410" s="1754"/>
      <c r="DX410" s="1754">
        <f t="shared" si="49"/>
        <v>0</v>
      </c>
      <c r="DY410" s="1754"/>
      <c r="DZ410" s="1754"/>
      <c r="EA410" s="1754">
        <f t="shared" si="50"/>
        <v>0</v>
      </c>
      <c r="EB410" s="1754"/>
      <c r="EC410" s="1754"/>
      <c r="ED410" s="1754"/>
      <c r="EE410" s="384"/>
      <c r="EF410" s="1750">
        <f t="shared" si="87"/>
        <v>0</v>
      </c>
      <c r="EG410" s="1751"/>
      <c r="EH410" s="1751"/>
      <c r="EI410" s="1751"/>
      <c r="EJ410" s="1752"/>
      <c r="EL410" s="1750">
        <f t="shared" si="55"/>
        <v>0</v>
      </c>
      <c r="EM410" s="1751"/>
      <c r="EN410" s="1751"/>
      <c r="EO410" s="1751"/>
      <c r="EP410" s="1752"/>
      <c r="ER410" s="1750">
        <f t="shared" si="88"/>
        <v>0</v>
      </c>
      <c r="ES410" s="1751"/>
      <c r="ET410" s="1751"/>
      <c r="EU410" s="1751"/>
      <c r="EV410" s="1752"/>
      <c r="EX410" s="1750">
        <f>IF(BE410&gt;0,Einstrahlung!$K$10*Kalkulation!$P$62/100*$AY$29*POWER((100-$P$64)/100,BD410-1),0)</f>
        <v>0</v>
      </c>
      <c r="EY410" s="1751"/>
      <c r="EZ410" s="1751"/>
      <c r="FA410" s="1751"/>
      <c r="FB410" s="1752"/>
      <c r="FD410" s="1750">
        <f t="shared" si="96"/>
        <v>0</v>
      </c>
      <c r="FE410" s="1751"/>
      <c r="FF410" s="1751"/>
      <c r="FG410" s="1751"/>
      <c r="FH410" s="1752"/>
      <c r="FI410" s="385"/>
      <c r="FJ410" s="380">
        <f t="shared" si="104"/>
        <v>0</v>
      </c>
      <c r="FK410" s="385"/>
      <c r="FL410" s="380">
        <f>IF(BE410&gt;0,IF($FL$336&gt;SUM($EX$410:$FB$421),SUM($EX$410:$FB$421)/12,$FL$336/12),0)</f>
        <v>0</v>
      </c>
      <c r="FM410" s="385"/>
      <c r="FN410" s="380">
        <f t="shared" si="97"/>
        <v>0</v>
      </c>
      <c r="FO410" s="962">
        <f t="shared" si="102"/>
        <v>202</v>
      </c>
      <c r="FP410" s="956">
        <f t="shared" si="89"/>
        <v>0.4</v>
      </c>
      <c r="FQ410" s="380">
        <f t="shared" ref="FQ410:FQ473" si="111">FN410*FR410-(FL410*($FQ$337/100)*FP410)</f>
        <v>0</v>
      </c>
      <c r="FR410" s="626">
        <f>IF(AND(GV410&gt;60,GV410&lt;=72),$FR$409,IF(AND(GV410&gt;72,GV410&lt;=84),$FR$421,0))</f>
        <v>1</v>
      </c>
      <c r="FT410" s="1819">
        <f t="shared" si="103"/>
        <v>0</v>
      </c>
      <c r="FU410" s="1820"/>
      <c r="FV410" s="1820"/>
      <c r="FW410" s="1820"/>
      <c r="FX410" s="1821"/>
      <c r="FY410" s="1819">
        <f t="shared" si="98"/>
        <v>0</v>
      </c>
      <c r="FZ410" s="1820"/>
      <c r="GA410" s="1820"/>
      <c r="GB410" s="1821"/>
      <c r="GC410" s="1825">
        <f t="shared" si="54"/>
        <v>0</v>
      </c>
      <c r="GD410" s="1826"/>
      <c r="GE410" s="1826"/>
      <c r="GF410" s="1827"/>
      <c r="GH410" s="1750">
        <f t="shared" si="99"/>
        <v>0</v>
      </c>
      <c r="GI410" s="1751"/>
      <c r="GJ410" s="1751"/>
      <c r="GK410" s="1751"/>
      <c r="GL410" s="1750">
        <f t="shared" si="100"/>
        <v>0</v>
      </c>
      <c r="GM410" s="1751"/>
      <c r="GN410" s="1751"/>
      <c r="GO410" s="1752"/>
      <c r="GP410" s="385"/>
      <c r="GQ410" s="1865">
        <f t="shared" si="101"/>
        <v>0</v>
      </c>
      <c r="GR410" s="1866"/>
      <c r="GS410" s="1866"/>
      <c r="GT410" s="1867"/>
      <c r="GU410" s="192">
        <f t="shared" si="105"/>
        <v>1</v>
      </c>
      <c r="GV410" s="192">
        <f>SUM($GU$337:GU410)</f>
        <v>66</v>
      </c>
      <c r="GW410" s="318"/>
      <c r="HB410" s="380">
        <f t="shared" si="107"/>
        <v>0</v>
      </c>
      <c r="HX410" s="380"/>
    </row>
    <row r="411" spans="4:232">
      <c r="BD411" s="387">
        <f t="shared" si="108"/>
        <v>6</v>
      </c>
      <c r="BE411" s="382">
        <f>IF(BD411&gt;0,74,0)</f>
        <v>74</v>
      </c>
      <c r="BG411" s="383">
        <f>IF($BE411&gt;$R$66-3+($BR$335*12),74,0)</f>
        <v>74</v>
      </c>
      <c r="BH411" s="1754">
        <f t="shared" si="109"/>
        <v>0</v>
      </c>
      <c r="BI411" s="1754"/>
      <c r="BJ411" s="1754"/>
      <c r="BK411" s="1754"/>
      <c r="BL411" s="1754">
        <f t="shared" si="90"/>
        <v>0</v>
      </c>
      <c r="BM411" s="1754"/>
      <c r="BN411" s="1754"/>
      <c r="BO411" s="1754">
        <f t="shared" si="81"/>
        <v>0</v>
      </c>
      <c r="BP411" s="1754"/>
      <c r="BQ411" s="1754"/>
      <c r="BR411" s="1754">
        <f t="shared" si="110"/>
        <v>0</v>
      </c>
      <c r="BS411" s="1754"/>
      <c r="BT411" s="1754"/>
      <c r="BU411" s="1754"/>
      <c r="BW411" s="383">
        <f>IF($BE411&gt;$R$66-3+($CH$335*12),74,0)</f>
        <v>74</v>
      </c>
      <c r="BX411" s="1754">
        <f t="shared" si="72"/>
        <v>0</v>
      </c>
      <c r="BY411" s="1754"/>
      <c r="BZ411" s="1754"/>
      <c r="CA411" s="1754"/>
      <c r="CB411" s="1754">
        <f t="shared" si="91"/>
        <v>0</v>
      </c>
      <c r="CC411" s="1754"/>
      <c r="CD411" s="1754"/>
      <c r="CE411" s="1754">
        <f t="shared" si="82"/>
        <v>0</v>
      </c>
      <c r="CF411" s="1754"/>
      <c r="CG411" s="1754"/>
      <c r="CH411" s="1754">
        <f t="shared" si="83"/>
        <v>0</v>
      </c>
      <c r="CI411" s="1754"/>
      <c r="CJ411" s="1754"/>
      <c r="CK411" s="1754"/>
      <c r="CM411" s="383">
        <f>IF($BE411&gt;$R$66-3+($CX$335*12),74,0)</f>
        <v>74</v>
      </c>
      <c r="CN411" s="1754">
        <f t="shared" si="73"/>
        <v>0</v>
      </c>
      <c r="CO411" s="1754"/>
      <c r="CP411" s="1754"/>
      <c r="CQ411" s="1754"/>
      <c r="CR411" s="1754">
        <f t="shared" si="92"/>
        <v>0</v>
      </c>
      <c r="CS411" s="1754"/>
      <c r="CT411" s="1754"/>
      <c r="CU411" s="1754">
        <f t="shared" si="84"/>
        <v>0</v>
      </c>
      <c r="CV411" s="1754"/>
      <c r="CW411" s="1754"/>
      <c r="CX411" s="1754">
        <f t="shared" si="85"/>
        <v>0</v>
      </c>
      <c r="CY411" s="1754"/>
      <c r="CZ411" s="1754"/>
      <c r="DA411" s="1754"/>
      <c r="DC411" s="383">
        <f>IF($BE411&gt;$R$66-3,74,0)</f>
        <v>74</v>
      </c>
      <c r="DD411" s="1754">
        <f t="shared" si="74"/>
        <v>0</v>
      </c>
      <c r="DE411" s="1754"/>
      <c r="DF411" s="1754"/>
      <c r="DG411" s="1754"/>
      <c r="DH411" s="1754">
        <f t="shared" si="93"/>
        <v>0</v>
      </c>
      <c r="DI411" s="1754"/>
      <c r="DJ411" s="1754"/>
      <c r="DK411" s="1754">
        <f t="shared" si="86"/>
        <v>0</v>
      </c>
      <c r="DL411" s="1754"/>
      <c r="DM411" s="1754"/>
      <c r="DN411" s="1754"/>
      <c r="DP411" s="383">
        <f t="shared" si="94"/>
        <v>74</v>
      </c>
      <c r="DQ411" s="1754">
        <f t="shared" si="95"/>
        <v>0</v>
      </c>
      <c r="DR411" s="1754"/>
      <c r="DS411" s="1754"/>
      <c r="DT411" s="1754"/>
      <c r="DU411" s="1754">
        <f t="shared" si="106"/>
        <v>0</v>
      </c>
      <c r="DV411" s="1754"/>
      <c r="DW411" s="1754"/>
      <c r="DX411" s="1754">
        <f t="shared" si="49"/>
        <v>0</v>
      </c>
      <c r="DY411" s="1754"/>
      <c r="DZ411" s="1754"/>
      <c r="EA411" s="1754">
        <f t="shared" si="50"/>
        <v>0</v>
      </c>
      <c r="EB411" s="1754"/>
      <c r="EC411" s="1754"/>
      <c r="ED411" s="1754"/>
      <c r="EE411" s="384"/>
      <c r="EF411" s="1750">
        <f t="shared" si="87"/>
        <v>0</v>
      </c>
      <c r="EG411" s="1751"/>
      <c r="EH411" s="1751"/>
      <c r="EI411" s="1751"/>
      <c r="EJ411" s="1752"/>
      <c r="EL411" s="1750">
        <f t="shared" si="55"/>
        <v>0</v>
      </c>
      <c r="EM411" s="1751"/>
      <c r="EN411" s="1751"/>
      <c r="EO411" s="1751"/>
      <c r="EP411" s="1752"/>
      <c r="ER411" s="1750">
        <f t="shared" si="88"/>
        <v>0</v>
      </c>
      <c r="ES411" s="1751"/>
      <c r="ET411" s="1751"/>
      <c r="EU411" s="1751"/>
      <c r="EV411" s="1752"/>
      <c r="EX411" s="1750">
        <f>IF(BE411&gt;0,Einstrahlung!$K$12*Kalkulation!$P$62/100*$AY$29*POWER((100-$P$64)/100,BD411-1),0)</f>
        <v>0</v>
      </c>
      <c r="EY411" s="1751"/>
      <c r="EZ411" s="1751"/>
      <c r="FA411" s="1751"/>
      <c r="FB411" s="1752"/>
      <c r="FD411" s="1750">
        <f t="shared" si="96"/>
        <v>0</v>
      </c>
      <c r="FE411" s="1751"/>
      <c r="FF411" s="1751"/>
      <c r="FG411" s="1751"/>
      <c r="FH411" s="1752"/>
      <c r="FI411" s="385"/>
      <c r="FJ411" s="380">
        <f t="shared" si="104"/>
        <v>0</v>
      </c>
      <c r="FK411" s="385"/>
      <c r="FL411" s="380">
        <f t="shared" ref="FL411:FL421" si="112">IF(BE411&gt;0,IF($FL$336&gt;SUM($EX$410:$FB$421),SUM($EX$410:$FB$421)/12,$FL$336/12),0)</f>
        <v>0</v>
      </c>
      <c r="FM411" s="385"/>
      <c r="FN411" s="380">
        <f t="shared" si="97"/>
        <v>0</v>
      </c>
      <c r="FO411" s="962">
        <f t="shared" si="102"/>
        <v>203</v>
      </c>
      <c r="FP411" s="956">
        <f t="shared" si="89"/>
        <v>0.4</v>
      </c>
      <c r="FQ411" s="380">
        <f t="shared" si="111"/>
        <v>0</v>
      </c>
      <c r="FR411" s="626">
        <f t="shared" ref="FR411:FR420" si="113">IF(AND(GV411&gt;60,GV411&lt;=72),$FR$409,IF(AND(GV411&gt;72,GV411&lt;=84),$FR$421,0))</f>
        <v>1</v>
      </c>
      <c r="FT411" s="1819">
        <f t="shared" si="103"/>
        <v>0</v>
      </c>
      <c r="FU411" s="1820"/>
      <c r="FV411" s="1820"/>
      <c r="FW411" s="1820"/>
      <c r="FX411" s="1821"/>
      <c r="FY411" s="1819">
        <f t="shared" si="98"/>
        <v>0</v>
      </c>
      <c r="FZ411" s="1820"/>
      <c r="GA411" s="1820"/>
      <c r="GB411" s="1821"/>
      <c r="GC411" s="1825">
        <f t="shared" si="54"/>
        <v>0</v>
      </c>
      <c r="GD411" s="1826"/>
      <c r="GE411" s="1826"/>
      <c r="GF411" s="1827"/>
      <c r="GH411" s="1750">
        <f t="shared" si="99"/>
        <v>0</v>
      </c>
      <c r="GI411" s="1751"/>
      <c r="GJ411" s="1751"/>
      <c r="GK411" s="1752"/>
      <c r="GL411" s="1750">
        <f t="shared" si="100"/>
        <v>0</v>
      </c>
      <c r="GM411" s="1751"/>
      <c r="GN411" s="1751"/>
      <c r="GO411" s="1752"/>
      <c r="GP411" s="385"/>
      <c r="GQ411" s="1750">
        <f t="shared" si="101"/>
        <v>0</v>
      </c>
      <c r="GR411" s="1751"/>
      <c r="GS411" s="1751"/>
      <c r="GT411" s="1752"/>
      <c r="GU411" s="192">
        <f t="shared" si="105"/>
        <v>1</v>
      </c>
      <c r="GV411" s="192">
        <f>SUM($GU$337:GU411)</f>
        <v>67</v>
      </c>
      <c r="GW411" s="318"/>
      <c r="HB411" s="380">
        <f t="shared" si="107"/>
        <v>0</v>
      </c>
      <c r="HX411" s="380"/>
    </row>
    <row r="412" spans="4:232">
      <c r="BD412" s="387">
        <f t="shared" si="108"/>
        <v>6</v>
      </c>
      <c r="BE412" s="382">
        <f>IF(BD412&gt;0,75,0)</f>
        <v>75</v>
      </c>
      <c r="BG412" s="383">
        <f>IF($BE412&gt;$R$66-3+($BR$335*12),75,0)</f>
        <v>75</v>
      </c>
      <c r="BH412" s="1754">
        <f t="shared" si="109"/>
        <v>0</v>
      </c>
      <c r="BI412" s="1754"/>
      <c r="BJ412" s="1754"/>
      <c r="BK412" s="1754"/>
      <c r="BL412" s="1754">
        <f t="shared" si="90"/>
        <v>0</v>
      </c>
      <c r="BM412" s="1754"/>
      <c r="BN412" s="1754"/>
      <c r="BO412" s="1754">
        <f t="shared" si="81"/>
        <v>0</v>
      </c>
      <c r="BP412" s="1754"/>
      <c r="BQ412" s="1754"/>
      <c r="BR412" s="1754">
        <f t="shared" si="110"/>
        <v>0</v>
      </c>
      <c r="BS412" s="1754"/>
      <c r="BT412" s="1754"/>
      <c r="BU412" s="1754"/>
      <c r="BW412" s="383">
        <f>IF($BE412&gt;$R$66-3+($CH$335*12),75,0)</f>
        <v>75</v>
      </c>
      <c r="BX412" s="1754">
        <f t="shared" si="72"/>
        <v>0</v>
      </c>
      <c r="BY412" s="1754"/>
      <c r="BZ412" s="1754"/>
      <c r="CA412" s="1754"/>
      <c r="CB412" s="1754">
        <f t="shared" si="91"/>
        <v>0</v>
      </c>
      <c r="CC412" s="1754"/>
      <c r="CD412" s="1754"/>
      <c r="CE412" s="1754">
        <f t="shared" si="82"/>
        <v>0</v>
      </c>
      <c r="CF412" s="1754"/>
      <c r="CG412" s="1754"/>
      <c r="CH412" s="1754">
        <f t="shared" si="83"/>
        <v>0</v>
      </c>
      <c r="CI412" s="1754"/>
      <c r="CJ412" s="1754"/>
      <c r="CK412" s="1754"/>
      <c r="CM412" s="383">
        <f>IF($BE412&gt;$R$66-3+($CX$335*12),75,0)</f>
        <v>75</v>
      </c>
      <c r="CN412" s="1754">
        <f t="shared" si="73"/>
        <v>0</v>
      </c>
      <c r="CO412" s="1754"/>
      <c r="CP412" s="1754"/>
      <c r="CQ412" s="1754"/>
      <c r="CR412" s="1754">
        <f t="shared" si="92"/>
        <v>0</v>
      </c>
      <c r="CS412" s="1754"/>
      <c r="CT412" s="1754"/>
      <c r="CU412" s="1754">
        <f t="shared" si="84"/>
        <v>0</v>
      </c>
      <c r="CV412" s="1754"/>
      <c r="CW412" s="1754"/>
      <c r="CX412" s="1754">
        <f t="shared" si="85"/>
        <v>0</v>
      </c>
      <c r="CY412" s="1754"/>
      <c r="CZ412" s="1754"/>
      <c r="DA412" s="1754"/>
      <c r="DC412" s="383">
        <f>IF($BE412&gt;$R$66-3,75,0)</f>
        <v>75</v>
      </c>
      <c r="DD412" s="1754">
        <f t="shared" si="74"/>
        <v>0</v>
      </c>
      <c r="DE412" s="1754"/>
      <c r="DF412" s="1754"/>
      <c r="DG412" s="1754"/>
      <c r="DH412" s="1754">
        <f t="shared" si="93"/>
        <v>0</v>
      </c>
      <c r="DI412" s="1754"/>
      <c r="DJ412" s="1754"/>
      <c r="DK412" s="1754">
        <f t="shared" si="86"/>
        <v>0</v>
      </c>
      <c r="DL412" s="1754"/>
      <c r="DM412" s="1754"/>
      <c r="DN412" s="1754"/>
      <c r="DP412" s="383">
        <f t="shared" si="94"/>
        <v>75</v>
      </c>
      <c r="DQ412" s="1754">
        <f t="shared" si="95"/>
        <v>0</v>
      </c>
      <c r="DR412" s="1754"/>
      <c r="DS412" s="1754"/>
      <c r="DT412" s="1754"/>
      <c r="DU412" s="1754">
        <f t="shared" si="106"/>
        <v>0</v>
      </c>
      <c r="DV412" s="1754"/>
      <c r="DW412" s="1754"/>
      <c r="DX412" s="1754">
        <f t="shared" si="49"/>
        <v>0</v>
      </c>
      <c r="DY412" s="1754"/>
      <c r="DZ412" s="1754"/>
      <c r="EA412" s="1754">
        <f t="shared" si="50"/>
        <v>0</v>
      </c>
      <c r="EB412" s="1754"/>
      <c r="EC412" s="1754"/>
      <c r="ED412" s="1754"/>
      <c r="EE412" s="384"/>
      <c r="EF412" s="1750">
        <f t="shared" si="87"/>
        <v>0</v>
      </c>
      <c r="EG412" s="1751"/>
      <c r="EH412" s="1751"/>
      <c r="EI412" s="1751"/>
      <c r="EJ412" s="1752"/>
      <c r="EL412" s="1750">
        <f t="shared" si="55"/>
        <v>0</v>
      </c>
      <c r="EM412" s="1751"/>
      <c r="EN412" s="1751"/>
      <c r="EO412" s="1751"/>
      <c r="EP412" s="1752"/>
      <c r="ER412" s="1750">
        <f t="shared" si="88"/>
        <v>0</v>
      </c>
      <c r="ES412" s="1751"/>
      <c r="ET412" s="1751"/>
      <c r="EU412" s="1751"/>
      <c r="EV412" s="1752"/>
      <c r="EX412" s="1750">
        <f>IF(BE412&gt;0,Einstrahlung!$K$14*Kalkulation!$P$62/100*$AY$29*POWER((100-$P$64)/100,BD412-1),0)</f>
        <v>0</v>
      </c>
      <c r="EY412" s="1751"/>
      <c r="EZ412" s="1751"/>
      <c r="FA412" s="1751"/>
      <c r="FB412" s="1752"/>
      <c r="FD412" s="1750">
        <f t="shared" si="96"/>
        <v>0</v>
      </c>
      <c r="FE412" s="1751"/>
      <c r="FF412" s="1751"/>
      <c r="FG412" s="1751"/>
      <c r="FH412" s="1752"/>
      <c r="FI412" s="385"/>
      <c r="FJ412" s="380">
        <f t="shared" si="104"/>
        <v>0</v>
      </c>
      <c r="FK412" s="385"/>
      <c r="FL412" s="380">
        <f t="shared" si="112"/>
        <v>0</v>
      </c>
      <c r="FM412" s="385"/>
      <c r="FN412" s="380">
        <f t="shared" si="97"/>
        <v>0</v>
      </c>
      <c r="FO412" s="962">
        <f t="shared" si="102"/>
        <v>204</v>
      </c>
      <c r="FP412" s="956">
        <f t="shared" si="89"/>
        <v>0.4</v>
      </c>
      <c r="FQ412" s="380">
        <f t="shared" si="111"/>
        <v>0</v>
      </c>
      <c r="FR412" s="626">
        <f t="shared" si="113"/>
        <v>1</v>
      </c>
      <c r="FT412" s="1819">
        <f t="shared" si="103"/>
        <v>0</v>
      </c>
      <c r="FU412" s="1820"/>
      <c r="FV412" s="1820"/>
      <c r="FW412" s="1820"/>
      <c r="FX412" s="1821"/>
      <c r="FY412" s="1819">
        <f t="shared" si="98"/>
        <v>0</v>
      </c>
      <c r="FZ412" s="1820"/>
      <c r="GA412" s="1820"/>
      <c r="GB412" s="1821"/>
      <c r="GC412" s="1825">
        <f t="shared" si="54"/>
        <v>0</v>
      </c>
      <c r="GD412" s="1826"/>
      <c r="GE412" s="1826"/>
      <c r="GF412" s="1827"/>
      <c r="GH412" s="1750">
        <f t="shared" si="99"/>
        <v>0</v>
      </c>
      <c r="GI412" s="1751"/>
      <c r="GJ412" s="1751"/>
      <c r="GK412" s="1752"/>
      <c r="GL412" s="1750">
        <f t="shared" si="100"/>
        <v>0</v>
      </c>
      <c r="GM412" s="1751"/>
      <c r="GN412" s="1751"/>
      <c r="GO412" s="1752"/>
      <c r="GP412" s="385"/>
      <c r="GQ412" s="1750">
        <f t="shared" si="101"/>
        <v>0</v>
      </c>
      <c r="GR412" s="1751"/>
      <c r="GS412" s="1751"/>
      <c r="GT412" s="1752"/>
      <c r="GU412" s="192">
        <f t="shared" si="105"/>
        <v>1</v>
      </c>
      <c r="GV412" s="192">
        <f>SUM($GU$337:GU412)</f>
        <v>68</v>
      </c>
      <c r="GW412" s="318"/>
      <c r="HB412" s="380">
        <f t="shared" si="107"/>
        <v>0</v>
      </c>
      <c r="HX412" s="380"/>
    </row>
    <row r="413" spans="4:232">
      <c r="BD413" s="387">
        <f t="shared" si="108"/>
        <v>6</v>
      </c>
      <c r="BE413" s="382">
        <f>IF(BD413&gt;0,76,0)</f>
        <v>76</v>
      </c>
      <c r="BG413" s="383">
        <f>IF($BE413&gt;$R$66-3+($BR$335*12),76,0)</f>
        <v>76</v>
      </c>
      <c r="BH413" s="1754">
        <f t="shared" si="109"/>
        <v>0</v>
      </c>
      <c r="BI413" s="1754"/>
      <c r="BJ413" s="1754"/>
      <c r="BK413" s="1754"/>
      <c r="BL413" s="1754">
        <f t="shared" si="90"/>
        <v>0</v>
      </c>
      <c r="BM413" s="1754"/>
      <c r="BN413" s="1754"/>
      <c r="BO413" s="1754">
        <f t="shared" si="81"/>
        <v>0</v>
      </c>
      <c r="BP413" s="1754"/>
      <c r="BQ413" s="1754"/>
      <c r="BR413" s="1754">
        <f t="shared" si="110"/>
        <v>0</v>
      </c>
      <c r="BS413" s="1754"/>
      <c r="BT413" s="1754"/>
      <c r="BU413" s="1754"/>
      <c r="BW413" s="383">
        <f>IF($BE413&gt;$R$66-3+($CH$335*12),76,0)</f>
        <v>76</v>
      </c>
      <c r="BX413" s="1754">
        <f t="shared" si="72"/>
        <v>0</v>
      </c>
      <c r="BY413" s="1754"/>
      <c r="BZ413" s="1754"/>
      <c r="CA413" s="1754"/>
      <c r="CB413" s="1754">
        <f t="shared" si="91"/>
        <v>0</v>
      </c>
      <c r="CC413" s="1754"/>
      <c r="CD413" s="1754"/>
      <c r="CE413" s="1754">
        <f t="shared" si="82"/>
        <v>0</v>
      </c>
      <c r="CF413" s="1754"/>
      <c r="CG413" s="1754"/>
      <c r="CH413" s="1754">
        <f t="shared" si="83"/>
        <v>0</v>
      </c>
      <c r="CI413" s="1754"/>
      <c r="CJ413" s="1754"/>
      <c r="CK413" s="1754"/>
      <c r="CM413" s="383">
        <f>IF($BE413&gt;$R$66-3+($CX$335*12),76,0)</f>
        <v>76</v>
      </c>
      <c r="CN413" s="1754">
        <f t="shared" si="73"/>
        <v>0</v>
      </c>
      <c r="CO413" s="1754"/>
      <c r="CP413" s="1754"/>
      <c r="CQ413" s="1754"/>
      <c r="CR413" s="1754">
        <f t="shared" si="92"/>
        <v>0</v>
      </c>
      <c r="CS413" s="1754"/>
      <c r="CT413" s="1754"/>
      <c r="CU413" s="1754">
        <f t="shared" si="84"/>
        <v>0</v>
      </c>
      <c r="CV413" s="1754"/>
      <c r="CW413" s="1754"/>
      <c r="CX413" s="1754">
        <f t="shared" si="85"/>
        <v>0</v>
      </c>
      <c r="CY413" s="1754"/>
      <c r="CZ413" s="1754"/>
      <c r="DA413" s="1754"/>
      <c r="DC413" s="383">
        <f>IF($BE413&gt;$R$66-3,76,0)</f>
        <v>76</v>
      </c>
      <c r="DD413" s="1754">
        <f t="shared" si="74"/>
        <v>0</v>
      </c>
      <c r="DE413" s="1754"/>
      <c r="DF413" s="1754"/>
      <c r="DG413" s="1754"/>
      <c r="DH413" s="1754">
        <f t="shared" si="93"/>
        <v>0</v>
      </c>
      <c r="DI413" s="1754"/>
      <c r="DJ413" s="1754"/>
      <c r="DK413" s="1754">
        <f t="shared" si="86"/>
        <v>0</v>
      </c>
      <c r="DL413" s="1754"/>
      <c r="DM413" s="1754"/>
      <c r="DN413" s="1754"/>
      <c r="DP413" s="383">
        <f t="shared" si="94"/>
        <v>76</v>
      </c>
      <c r="DQ413" s="1754">
        <f t="shared" si="95"/>
        <v>0</v>
      </c>
      <c r="DR413" s="1754"/>
      <c r="DS413" s="1754"/>
      <c r="DT413" s="1754"/>
      <c r="DU413" s="1754">
        <f t="shared" si="106"/>
        <v>0</v>
      </c>
      <c r="DV413" s="1754"/>
      <c r="DW413" s="1754"/>
      <c r="DX413" s="1754">
        <f t="shared" si="49"/>
        <v>0</v>
      </c>
      <c r="DY413" s="1754"/>
      <c r="DZ413" s="1754"/>
      <c r="EA413" s="1754">
        <f t="shared" si="50"/>
        <v>0</v>
      </c>
      <c r="EB413" s="1754"/>
      <c r="EC413" s="1754"/>
      <c r="ED413" s="1754"/>
      <c r="EE413" s="384"/>
      <c r="EF413" s="1750">
        <f t="shared" si="87"/>
        <v>0</v>
      </c>
      <c r="EG413" s="1751"/>
      <c r="EH413" s="1751"/>
      <c r="EI413" s="1751"/>
      <c r="EJ413" s="1752"/>
      <c r="EL413" s="1750">
        <f t="shared" si="55"/>
        <v>0</v>
      </c>
      <c r="EM413" s="1751"/>
      <c r="EN413" s="1751"/>
      <c r="EO413" s="1751"/>
      <c r="EP413" s="1752"/>
      <c r="ER413" s="1750">
        <f t="shared" si="88"/>
        <v>0</v>
      </c>
      <c r="ES413" s="1751"/>
      <c r="ET413" s="1751"/>
      <c r="EU413" s="1751"/>
      <c r="EV413" s="1752"/>
      <c r="EX413" s="1750">
        <f>IF(BE413&gt;0,Einstrahlung!$K$16*Kalkulation!$P$62/100*$AY$29*POWER((100-$P$64)/100,BD413-1),0)</f>
        <v>0</v>
      </c>
      <c r="EY413" s="1751"/>
      <c r="EZ413" s="1751"/>
      <c r="FA413" s="1751"/>
      <c r="FB413" s="1752"/>
      <c r="FD413" s="1750">
        <f t="shared" si="96"/>
        <v>0</v>
      </c>
      <c r="FE413" s="1751"/>
      <c r="FF413" s="1751"/>
      <c r="FG413" s="1751"/>
      <c r="FH413" s="1752"/>
      <c r="FI413" s="385"/>
      <c r="FJ413" s="380">
        <f t="shared" si="104"/>
        <v>0</v>
      </c>
      <c r="FK413" s="385"/>
      <c r="FL413" s="380">
        <f t="shared" si="112"/>
        <v>0</v>
      </c>
      <c r="FM413" s="385"/>
      <c r="FN413" s="380">
        <f t="shared" si="97"/>
        <v>0</v>
      </c>
      <c r="FO413" s="962">
        <f t="shared" si="102"/>
        <v>205</v>
      </c>
      <c r="FP413" s="956">
        <f t="shared" si="89"/>
        <v>0.4</v>
      </c>
      <c r="FQ413" s="380">
        <f t="shared" si="111"/>
        <v>0</v>
      </c>
      <c r="FR413" s="626">
        <f t="shared" si="113"/>
        <v>1</v>
      </c>
      <c r="FT413" s="1819">
        <f t="shared" si="103"/>
        <v>0</v>
      </c>
      <c r="FU413" s="1820"/>
      <c r="FV413" s="1820"/>
      <c r="FW413" s="1820"/>
      <c r="FX413" s="1821"/>
      <c r="FY413" s="1819">
        <f t="shared" si="98"/>
        <v>0</v>
      </c>
      <c r="FZ413" s="1820"/>
      <c r="GA413" s="1820"/>
      <c r="GB413" s="1821"/>
      <c r="GC413" s="1825">
        <f t="shared" si="54"/>
        <v>0</v>
      </c>
      <c r="GD413" s="1826"/>
      <c r="GE413" s="1826"/>
      <c r="GF413" s="1827"/>
      <c r="GH413" s="1750">
        <f t="shared" si="99"/>
        <v>0</v>
      </c>
      <c r="GI413" s="1751"/>
      <c r="GJ413" s="1751"/>
      <c r="GK413" s="1752"/>
      <c r="GL413" s="1750">
        <f t="shared" si="100"/>
        <v>0</v>
      </c>
      <c r="GM413" s="1751"/>
      <c r="GN413" s="1751"/>
      <c r="GO413" s="1752"/>
      <c r="GP413" s="385"/>
      <c r="GQ413" s="1750">
        <f t="shared" si="101"/>
        <v>0</v>
      </c>
      <c r="GR413" s="1751"/>
      <c r="GS413" s="1751"/>
      <c r="GT413" s="1752"/>
      <c r="GU413" s="192">
        <f t="shared" si="105"/>
        <v>1</v>
      </c>
      <c r="GV413" s="192">
        <f>SUM($GU$337:GU413)</f>
        <v>69</v>
      </c>
      <c r="GW413" s="318"/>
      <c r="HB413" s="380">
        <f t="shared" si="107"/>
        <v>0</v>
      </c>
      <c r="HX413" s="380"/>
    </row>
    <row r="414" spans="4:232">
      <c r="BD414" s="387">
        <f t="shared" si="108"/>
        <v>6</v>
      </c>
      <c r="BE414" s="382">
        <f>IF(BD414&gt;0,77,0)</f>
        <v>77</v>
      </c>
      <c r="BG414" s="383">
        <f>IF($BE414&gt;$R$66-3+($BR$335*12),77,0)</f>
        <v>77</v>
      </c>
      <c r="BH414" s="1754">
        <f t="shared" si="109"/>
        <v>0</v>
      </c>
      <c r="BI414" s="1754"/>
      <c r="BJ414" s="1754"/>
      <c r="BK414" s="1754"/>
      <c r="BL414" s="1754">
        <f t="shared" si="90"/>
        <v>0</v>
      </c>
      <c r="BM414" s="1754"/>
      <c r="BN414" s="1754"/>
      <c r="BO414" s="1754">
        <f t="shared" si="81"/>
        <v>0</v>
      </c>
      <c r="BP414" s="1754"/>
      <c r="BQ414" s="1754"/>
      <c r="BR414" s="1754">
        <f t="shared" si="110"/>
        <v>0</v>
      </c>
      <c r="BS414" s="1754"/>
      <c r="BT414" s="1754"/>
      <c r="BU414" s="1754"/>
      <c r="BW414" s="383">
        <f>IF($BE414&gt;$R$66-3+($CH$335*12),77,0)</f>
        <v>77</v>
      </c>
      <c r="BX414" s="1754">
        <f t="shared" si="72"/>
        <v>0</v>
      </c>
      <c r="BY414" s="1754"/>
      <c r="BZ414" s="1754"/>
      <c r="CA414" s="1754"/>
      <c r="CB414" s="1754">
        <f t="shared" si="91"/>
        <v>0</v>
      </c>
      <c r="CC414" s="1754"/>
      <c r="CD414" s="1754"/>
      <c r="CE414" s="1754">
        <f t="shared" si="82"/>
        <v>0</v>
      </c>
      <c r="CF414" s="1754"/>
      <c r="CG414" s="1754"/>
      <c r="CH414" s="1754">
        <f t="shared" si="83"/>
        <v>0</v>
      </c>
      <c r="CI414" s="1754"/>
      <c r="CJ414" s="1754"/>
      <c r="CK414" s="1754"/>
      <c r="CM414" s="383">
        <f>IF($BE414&gt;$R$66-3+($CX$335*12),77,0)</f>
        <v>77</v>
      </c>
      <c r="CN414" s="1754">
        <f t="shared" si="73"/>
        <v>0</v>
      </c>
      <c r="CO414" s="1754"/>
      <c r="CP414" s="1754"/>
      <c r="CQ414" s="1754"/>
      <c r="CR414" s="1754">
        <f t="shared" si="92"/>
        <v>0</v>
      </c>
      <c r="CS414" s="1754"/>
      <c r="CT414" s="1754"/>
      <c r="CU414" s="1754">
        <f t="shared" si="84"/>
        <v>0</v>
      </c>
      <c r="CV414" s="1754"/>
      <c r="CW414" s="1754"/>
      <c r="CX414" s="1754">
        <f t="shared" si="85"/>
        <v>0</v>
      </c>
      <c r="CY414" s="1754"/>
      <c r="CZ414" s="1754"/>
      <c r="DA414" s="1754"/>
      <c r="DC414" s="383">
        <f>IF($BE414&gt;$R$66-3,77,0)</f>
        <v>77</v>
      </c>
      <c r="DD414" s="1754">
        <f t="shared" si="74"/>
        <v>0</v>
      </c>
      <c r="DE414" s="1754"/>
      <c r="DF414" s="1754"/>
      <c r="DG414" s="1754"/>
      <c r="DH414" s="1754">
        <f t="shared" si="93"/>
        <v>0</v>
      </c>
      <c r="DI414" s="1754"/>
      <c r="DJ414" s="1754"/>
      <c r="DK414" s="1754">
        <f t="shared" si="86"/>
        <v>0</v>
      </c>
      <c r="DL414" s="1754"/>
      <c r="DM414" s="1754"/>
      <c r="DN414" s="1754"/>
      <c r="DP414" s="383">
        <f t="shared" si="94"/>
        <v>77</v>
      </c>
      <c r="DQ414" s="1754">
        <f t="shared" si="95"/>
        <v>0</v>
      </c>
      <c r="DR414" s="1754"/>
      <c r="DS414" s="1754"/>
      <c r="DT414" s="1754"/>
      <c r="DU414" s="1754">
        <f t="shared" si="106"/>
        <v>0</v>
      </c>
      <c r="DV414" s="1754"/>
      <c r="DW414" s="1754"/>
      <c r="DX414" s="1754">
        <f t="shared" ref="DX414:DX477" si="114">(DQ414+DU414)*($DR$335/100)/12</f>
        <v>0</v>
      </c>
      <c r="DY414" s="1754"/>
      <c r="DZ414" s="1754"/>
      <c r="EA414" s="1754">
        <f t="shared" ref="EA414:EA477" si="115">DQ414+DU414+DX414</f>
        <v>0</v>
      </c>
      <c r="EB414" s="1754"/>
      <c r="EC414" s="1754"/>
      <c r="ED414" s="1754"/>
      <c r="EE414" s="384"/>
      <c r="EF414" s="1750">
        <f t="shared" si="87"/>
        <v>0</v>
      </c>
      <c r="EG414" s="1751"/>
      <c r="EH414" s="1751"/>
      <c r="EI414" s="1751"/>
      <c r="EJ414" s="1752"/>
      <c r="EL414" s="1750">
        <f t="shared" si="55"/>
        <v>0</v>
      </c>
      <c r="EM414" s="1751"/>
      <c r="EN414" s="1751"/>
      <c r="EO414" s="1751"/>
      <c r="EP414" s="1752"/>
      <c r="ER414" s="1750">
        <f t="shared" si="88"/>
        <v>0</v>
      </c>
      <c r="ES414" s="1751"/>
      <c r="ET414" s="1751"/>
      <c r="EU414" s="1751"/>
      <c r="EV414" s="1752"/>
      <c r="EX414" s="1750">
        <f>IF(BE414&gt;0,Einstrahlung!$K$18*Kalkulation!$P$62/100*$AY$29*POWER((100-$P$64)/100,BD414-1),0)</f>
        <v>0</v>
      </c>
      <c r="EY414" s="1751"/>
      <c r="EZ414" s="1751"/>
      <c r="FA414" s="1751"/>
      <c r="FB414" s="1752"/>
      <c r="FD414" s="1750">
        <f t="shared" si="96"/>
        <v>0</v>
      </c>
      <c r="FE414" s="1751"/>
      <c r="FF414" s="1751"/>
      <c r="FG414" s="1751"/>
      <c r="FH414" s="1752"/>
      <c r="FI414" s="385"/>
      <c r="FJ414" s="380">
        <f t="shared" si="104"/>
        <v>0</v>
      </c>
      <c r="FK414" s="385"/>
      <c r="FL414" s="380">
        <f t="shared" si="112"/>
        <v>0</v>
      </c>
      <c r="FM414" s="385"/>
      <c r="FN414" s="380">
        <f t="shared" si="97"/>
        <v>0</v>
      </c>
      <c r="FO414" s="962">
        <f t="shared" si="102"/>
        <v>206</v>
      </c>
      <c r="FP414" s="956">
        <f t="shared" si="89"/>
        <v>0.4</v>
      </c>
      <c r="FQ414" s="380">
        <f t="shared" si="111"/>
        <v>0</v>
      </c>
      <c r="FR414" s="626">
        <f t="shared" si="113"/>
        <v>1</v>
      </c>
      <c r="FT414" s="1819">
        <f t="shared" si="103"/>
        <v>0</v>
      </c>
      <c r="FU414" s="1820"/>
      <c r="FV414" s="1820"/>
      <c r="FW414" s="1820"/>
      <c r="FX414" s="1821"/>
      <c r="FY414" s="1819">
        <f t="shared" si="98"/>
        <v>0</v>
      </c>
      <c r="FZ414" s="1820"/>
      <c r="GA414" s="1820"/>
      <c r="GB414" s="1821"/>
      <c r="GC414" s="1825">
        <f t="shared" si="54"/>
        <v>0</v>
      </c>
      <c r="GD414" s="1826"/>
      <c r="GE414" s="1826"/>
      <c r="GF414" s="1827"/>
      <c r="GH414" s="1750">
        <f t="shared" si="99"/>
        <v>0</v>
      </c>
      <c r="GI414" s="1751"/>
      <c r="GJ414" s="1751"/>
      <c r="GK414" s="1752"/>
      <c r="GL414" s="1750">
        <f t="shared" si="100"/>
        <v>0</v>
      </c>
      <c r="GM414" s="1751"/>
      <c r="GN414" s="1751"/>
      <c r="GO414" s="1752"/>
      <c r="GP414" s="385"/>
      <c r="GQ414" s="1750">
        <f t="shared" si="101"/>
        <v>0</v>
      </c>
      <c r="GR414" s="1751"/>
      <c r="GS414" s="1751"/>
      <c r="GT414" s="1752"/>
      <c r="GU414" s="192">
        <f t="shared" si="105"/>
        <v>1</v>
      </c>
      <c r="GV414" s="192">
        <f>SUM($GU$337:GU414)</f>
        <v>70</v>
      </c>
      <c r="GW414" s="318"/>
      <c r="HB414" s="380">
        <f t="shared" si="107"/>
        <v>0</v>
      </c>
      <c r="HX414" s="380"/>
    </row>
    <row r="415" spans="4:232">
      <c r="BD415" s="387">
        <f t="shared" si="108"/>
        <v>6</v>
      </c>
      <c r="BE415" s="382">
        <f>IF(BD415&gt;0,78,0)</f>
        <v>78</v>
      </c>
      <c r="BG415" s="383">
        <f>IF($BE415&gt;$R$66-3+($BR$335*12),78,0)</f>
        <v>78</v>
      </c>
      <c r="BH415" s="1754">
        <f t="shared" si="109"/>
        <v>0</v>
      </c>
      <c r="BI415" s="1754"/>
      <c r="BJ415" s="1754"/>
      <c r="BK415" s="1754"/>
      <c r="BL415" s="1754">
        <f t="shared" si="90"/>
        <v>0</v>
      </c>
      <c r="BM415" s="1754"/>
      <c r="BN415" s="1754"/>
      <c r="BO415" s="1754">
        <f t="shared" si="81"/>
        <v>0</v>
      </c>
      <c r="BP415" s="1754"/>
      <c r="BQ415" s="1754"/>
      <c r="BR415" s="1754">
        <f t="shared" si="110"/>
        <v>0</v>
      </c>
      <c r="BS415" s="1754"/>
      <c r="BT415" s="1754"/>
      <c r="BU415" s="1754"/>
      <c r="BW415" s="383">
        <f>IF($BE415&gt;$R$66-3+($CH$335*12),78,0)</f>
        <v>78</v>
      </c>
      <c r="BX415" s="1754">
        <f t="shared" si="72"/>
        <v>0</v>
      </c>
      <c r="BY415" s="1754"/>
      <c r="BZ415" s="1754"/>
      <c r="CA415" s="1754"/>
      <c r="CB415" s="1754">
        <f t="shared" si="91"/>
        <v>0</v>
      </c>
      <c r="CC415" s="1754"/>
      <c r="CD415" s="1754"/>
      <c r="CE415" s="1754">
        <f t="shared" si="82"/>
        <v>0</v>
      </c>
      <c r="CF415" s="1754"/>
      <c r="CG415" s="1754"/>
      <c r="CH415" s="1754">
        <f t="shared" si="83"/>
        <v>0</v>
      </c>
      <c r="CI415" s="1754"/>
      <c r="CJ415" s="1754"/>
      <c r="CK415" s="1754"/>
      <c r="CM415" s="383">
        <f>IF($BE415&gt;$R$66-3+($CX$335*12),78,0)</f>
        <v>78</v>
      </c>
      <c r="CN415" s="1754">
        <f t="shared" si="73"/>
        <v>0</v>
      </c>
      <c r="CO415" s="1754"/>
      <c r="CP415" s="1754"/>
      <c r="CQ415" s="1754"/>
      <c r="CR415" s="1754">
        <f t="shared" si="92"/>
        <v>0</v>
      </c>
      <c r="CS415" s="1754"/>
      <c r="CT415" s="1754"/>
      <c r="CU415" s="1754">
        <f t="shared" si="84"/>
        <v>0</v>
      </c>
      <c r="CV415" s="1754"/>
      <c r="CW415" s="1754"/>
      <c r="CX415" s="1754">
        <f t="shared" si="85"/>
        <v>0</v>
      </c>
      <c r="CY415" s="1754"/>
      <c r="CZ415" s="1754"/>
      <c r="DA415" s="1754"/>
      <c r="DC415" s="383">
        <f>IF($BE415&gt;$R$66-3,78,0)</f>
        <v>78</v>
      </c>
      <c r="DD415" s="1754">
        <f t="shared" si="74"/>
        <v>0</v>
      </c>
      <c r="DE415" s="1754"/>
      <c r="DF415" s="1754"/>
      <c r="DG415" s="1754"/>
      <c r="DH415" s="1754">
        <f t="shared" si="93"/>
        <v>0</v>
      </c>
      <c r="DI415" s="1754"/>
      <c r="DJ415" s="1754"/>
      <c r="DK415" s="1754">
        <f t="shared" si="86"/>
        <v>0</v>
      </c>
      <c r="DL415" s="1754"/>
      <c r="DM415" s="1754"/>
      <c r="DN415" s="1754"/>
      <c r="DP415" s="383">
        <f t="shared" si="94"/>
        <v>78</v>
      </c>
      <c r="DQ415" s="1754">
        <f t="shared" si="95"/>
        <v>0</v>
      </c>
      <c r="DR415" s="1754"/>
      <c r="DS415" s="1754"/>
      <c r="DT415" s="1754"/>
      <c r="DU415" s="1754">
        <f t="shared" si="106"/>
        <v>0</v>
      </c>
      <c r="DV415" s="1754"/>
      <c r="DW415" s="1754"/>
      <c r="DX415" s="1754">
        <f t="shared" si="114"/>
        <v>0</v>
      </c>
      <c r="DY415" s="1754"/>
      <c r="DZ415" s="1754"/>
      <c r="EA415" s="1754">
        <f t="shared" si="115"/>
        <v>0</v>
      </c>
      <c r="EB415" s="1754"/>
      <c r="EC415" s="1754"/>
      <c r="ED415" s="1754"/>
      <c r="EE415" s="384"/>
      <c r="EF415" s="1750">
        <f t="shared" si="87"/>
        <v>0</v>
      </c>
      <c r="EG415" s="1751"/>
      <c r="EH415" s="1751"/>
      <c r="EI415" s="1751"/>
      <c r="EJ415" s="1752"/>
      <c r="EL415" s="1750">
        <f t="shared" ref="EL415:EL478" si="116">EL403</f>
        <v>0</v>
      </c>
      <c r="EM415" s="1751"/>
      <c r="EN415" s="1751"/>
      <c r="EO415" s="1751"/>
      <c r="EP415" s="1752"/>
      <c r="ER415" s="1750">
        <f t="shared" si="88"/>
        <v>0</v>
      </c>
      <c r="ES415" s="1751"/>
      <c r="ET415" s="1751"/>
      <c r="EU415" s="1751"/>
      <c r="EV415" s="1752"/>
      <c r="EX415" s="1750">
        <f>IF(BE415&gt;0,Einstrahlung!$K$20*Kalkulation!$P$62/100*$AY$29*POWER((100-$P$64)/100,BD415-1),0)</f>
        <v>0</v>
      </c>
      <c r="EY415" s="1751"/>
      <c r="EZ415" s="1751"/>
      <c r="FA415" s="1751"/>
      <c r="FB415" s="1752"/>
      <c r="FD415" s="1750">
        <f t="shared" si="96"/>
        <v>0</v>
      </c>
      <c r="FE415" s="1751"/>
      <c r="FF415" s="1751"/>
      <c r="FG415" s="1751"/>
      <c r="FH415" s="1752"/>
      <c r="FI415" s="385"/>
      <c r="FJ415" s="380">
        <f t="shared" si="104"/>
        <v>0</v>
      </c>
      <c r="FK415" s="385"/>
      <c r="FL415" s="380">
        <f t="shared" si="112"/>
        <v>0</v>
      </c>
      <c r="FM415" s="385"/>
      <c r="FN415" s="380">
        <f t="shared" si="97"/>
        <v>0</v>
      </c>
      <c r="FO415" s="962">
        <f t="shared" si="102"/>
        <v>207</v>
      </c>
      <c r="FP415" s="956">
        <f t="shared" si="89"/>
        <v>0.4</v>
      </c>
      <c r="FQ415" s="380">
        <f t="shared" si="111"/>
        <v>0</v>
      </c>
      <c r="FR415" s="626">
        <f t="shared" si="113"/>
        <v>1</v>
      </c>
      <c r="FT415" s="1819">
        <f t="shared" si="103"/>
        <v>0</v>
      </c>
      <c r="FU415" s="1820"/>
      <c r="FV415" s="1820"/>
      <c r="FW415" s="1820"/>
      <c r="FX415" s="1821"/>
      <c r="FY415" s="1819">
        <f t="shared" si="98"/>
        <v>0</v>
      </c>
      <c r="FZ415" s="1820"/>
      <c r="GA415" s="1820"/>
      <c r="GB415" s="1821"/>
      <c r="GC415" s="1825">
        <f t="shared" ref="GC415:GC478" si="117">FT415+FY415</f>
        <v>0</v>
      </c>
      <c r="GD415" s="1826"/>
      <c r="GE415" s="1826"/>
      <c r="GF415" s="1827"/>
      <c r="GH415" s="1750">
        <f t="shared" si="99"/>
        <v>0</v>
      </c>
      <c r="GI415" s="1751"/>
      <c r="GJ415" s="1751"/>
      <c r="GK415" s="1752"/>
      <c r="GL415" s="1750">
        <f t="shared" si="100"/>
        <v>0</v>
      </c>
      <c r="GM415" s="1751"/>
      <c r="GN415" s="1751"/>
      <c r="GO415" s="1752"/>
      <c r="GP415" s="385"/>
      <c r="GQ415" s="1750">
        <f t="shared" si="101"/>
        <v>0</v>
      </c>
      <c r="GR415" s="1751"/>
      <c r="GS415" s="1751"/>
      <c r="GT415" s="1752"/>
      <c r="GU415" s="192">
        <f t="shared" si="105"/>
        <v>1</v>
      </c>
      <c r="GV415" s="192">
        <f>SUM($GU$337:GU415)</f>
        <v>71</v>
      </c>
      <c r="GW415" s="318"/>
      <c r="HB415" s="380">
        <f t="shared" si="107"/>
        <v>0</v>
      </c>
      <c r="HX415" s="380"/>
    </row>
    <row r="416" spans="4:232">
      <c r="BD416" s="387">
        <f t="shared" si="108"/>
        <v>6</v>
      </c>
      <c r="BE416" s="382">
        <f>IF(BD416&gt;0,79,0)</f>
        <v>79</v>
      </c>
      <c r="BG416" s="383">
        <f>IF($BE416&gt;$R$66-3+($BR$335*12),79,0)</f>
        <v>79</v>
      </c>
      <c r="BH416" s="1754">
        <f t="shared" si="109"/>
        <v>0</v>
      </c>
      <c r="BI416" s="1754"/>
      <c r="BJ416" s="1754"/>
      <c r="BK416" s="1754"/>
      <c r="BL416" s="1754">
        <f t="shared" si="90"/>
        <v>0</v>
      </c>
      <c r="BM416" s="1754"/>
      <c r="BN416" s="1754"/>
      <c r="BO416" s="1754">
        <f t="shared" si="81"/>
        <v>0</v>
      </c>
      <c r="BP416" s="1754"/>
      <c r="BQ416" s="1754"/>
      <c r="BR416" s="1754">
        <f t="shared" si="110"/>
        <v>0</v>
      </c>
      <c r="BS416" s="1754"/>
      <c r="BT416" s="1754"/>
      <c r="BU416" s="1754"/>
      <c r="BW416" s="383">
        <f>IF($BE416&gt;$R$66-3+($CH$335*12),79,0)</f>
        <v>79</v>
      </c>
      <c r="BX416" s="1754">
        <f t="shared" si="72"/>
        <v>0</v>
      </c>
      <c r="BY416" s="1754"/>
      <c r="BZ416" s="1754"/>
      <c r="CA416" s="1754"/>
      <c r="CB416" s="1754">
        <f t="shared" si="91"/>
        <v>0</v>
      </c>
      <c r="CC416" s="1754"/>
      <c r="CD416" s="1754"/>
      <c r="CE416" s="1754">
        <f t="shared" si="82"/>
        <v>0</v>
      </c>
      <c r="CF416" s="1754"/>
      <c r="CG416" s="1754"/>
      <c r="CH416" s="1754">
        <f t="shared" si="83"/>
        <v>0</v>
      </c>
      <c r="CI416" s="1754"/>
      <c r="CJ416" s="1754"/>
      <c r="CK416" s="1754"/>
      <c r="CM416" s="383">
        <f>IF($BE416&gt;$R$66-3+($CX$335*12),79,0)</f>
        <v>79</v>
      </c>
      <c r="CN416" s="1754">
        <f t="shared" si="73"/>
        <v>0</v>
      </c>
      <c r="CO416" s="1754"/>
      <c r="CP416" s="1754"/>
      <c r="CQ416" s="1754"/>
      <c r="CR416" s="1754">
        <f t="shared" si="92"/>
        <v>0</v>
      </c>
      <c r="CS416" s="1754"/>
      <c r="CT416" s="1754"/>
      <c r="CU416" s="1754">
        <f t="shared" si="84"/>
        <v>0</v>
      </c>
      <c r="CV416" s="1754"/>
      <c r="CW416" s="1754"/>
      <c r="CX416" s="1754">
        <f t="shared" si="85"/>
        <v>0</v>
      </c>
      <c r="CY416" s="1754"/>
      <c r="CZ416" s="1754"/>
      <c r="DA416" s="1754"/>
      <c r="DC416" s="383">
        <f>IF($BE416&gt;$R$66-3,79,0)</f>
        <v>79</v>
      </c>
      <c r="DD416" s="1754">
        <f t="shared" si="74"/>
        <v>0</v>
      </c>
      <c r="DE416" s="1754"/>
      <c r="DF416" s="1754"/>
      <c r="DG416" s="1754"/>
      <c r="DH416" s="1754">
        <f t="shared" si="93"/>
        <v>0</v>
      </c>
      <c r="DI416" s="1754"/>
      <c r="DJ416" s="1754"/>
      <c r="DK416" s="1754">
        <f t="shared" si="86"/>
        <v>0</v>
      </c>
      <c r="DL416" s="1754"/>
      <c r="DM416" s="1754"/>
      <c r="DN416" s="1754"/>
      <c r="DP416" s="383">
        <f t="shared" si="94"/>
        <v>79</v>
      </c>
      <c r="DQ416" s="1754">
        <f t="shared" si="95"/>
        <v>0</v>
      </c>
      <c r="DR416" s="1754"/>
      <c r="DS416" s="1754"/>
      <c r="DT416" s="1754"/>
      <c r="DU416" s="1754">
        <f t="shared" si="106"/>
        <v>0</v>
      </c>
      <c r="DV416" s="1754"/>
      <c r="DW416" s="1754"/>
      <c r="DX416" s="1754">
        <f t="shared" si="114"/>
        <v>0</v>
      </c>
      <c r="DY416" s="1754"/>
      <c r="DZ416" s="1754"/>
      <c r="EA416" s="1754">
        <f t="shared" si="115"/>
        <v>0</v>
      </c>
      <c r="EB416" s="1754"/>
      <c r="EC416" s="1754"/>
      <c r="ED416" s="1754"/>
      <c r="EE416" s="384"/>
      <c r="EF416" s="1750">
        <f t="shared" si="87"/>
        <v>0</v>
      </c>
      <c r="EG416" s="1751"/>
      <c r="EH416" s="1751"/>
      <c r="EI416" s="1751"/>
      <c r="EJ416" s="1752"/>
      <c r="EL416" s="1750">
        <f t="shared" si="116"/>
        <v>0</v>
      </c>
      <c r="EM416" s="1751"/>
      <c r="EN416" s="1751"/>
      <c r="EO416" s="1751"/>
      <c r="EP416" s="1752"/>
      <c r="ER416" s="1750">
        <f t="shared" si="88"/>
        <v>0</v>
      </c>
      <c r="ES416" s="1751"/>
      <c r="ET416" s="1751"/>
      <c r="EU416" s="1751"/>
      <c r="EV416" s="1752"/>
      <c r="EX416" s="1750">
        <f>IF(BE416&gt;0,Einstrahlung!$K$22*Kalkulation!$P$62/100*$AY$29*POWER((100-$P$64)/100,BD416-1),0)</f>
        <v>0</v>
      </c>
      <c r="EY416" s="1751"/>
      <c r="EZ416" s="1751"/>
      <c r="FA416" s="1751"/>
      <c r="FB416" s="1752"/>
      <c r="FD416" s="1750">
        <f t="shared" si="96"/>
        <v>0</v>
      </c>
      <c r="FE416" s="1751"/>
      <c r="FF416" s="1751"/>
      <c r="FG416" s="1751"/>
      <c r="FH416" s="1752"/>
      <c r="FI416" s="385"/>
      <c r="FJ416" s="380">
        <f t="shared" si="104"/>
        <v>0</v>
      </c>
      <c r="FK416" s="385"/>
      <c r="FL416" s="380">
        <f t="shared" si="112"/>
        <v>0</v>
      </c>
      <c r="FM416" s="385"/>
      <c r="FN416" s="380">
        <f t="shared" si="97"/>
        <v>0</v>
      </c>
      <c r="FO416" s="962">
        <f t="shared" si="102"/>
        <v>208</v>
      </c>
      <c r="FP416" s="956">
        <f t="shared" si="89"/>
        <v>0.4</v>
      </c>
      <c r="FQ416" s="380">
        <f t="shared" si="111"/>
        <v>0</v>
      </c>
      <c r="FR416" s="626">
        <f t="shared" si="113"/>
        <v>1</v>
      </c>
      <c r="FT416" s="1819">
        <f t="shared" si="103"/>
        <v>0</v>
      </c>
      <c r="FU416" s="1820"/>
      <c r="FV416" s="1820"/>
      <c r="FW416" s="1820"/>
      <c r="FX416" s="1821"/>
      <c r="FY416" s="1819">
        <f t="shared" si="98"/>
        <v>0</v>
      </c>
      <c r="FZ416" s="1820"/>
      <c r="GA416" s="1820"/>
      <c r="GB416" s="1821"/>
      <c r="GC416" s="1825">
        <f t="shared" si="117"/>
        <v>0</v>
      </c>
      <c r="GD416" s="1826"/>
      <c r="GE416" s="1826"/>
      <c r="GF416" s="1827"/>
      <c r="GH416" s="1750">
        <f t="shared" si="99"/>
        <v>0</v>
      </c>
      <c r="GI416" s="1751"/>
      <c r="GJ416" s="1751"/>
      <c r="GK416" s="1752"/>
      <c r="GL416" s="1750">
        <f t="shared" si="100"/>
        <v>0</v>
      </c>
      <c r="GM416" s="1751"/>
      <c r="GN416" s="1751"/>
      <c r="GO416" s="1752"/>
      <c r="GP416" s="385"/>
      <c r="GQ416" s="1750">
        <f t="shared" si="101"/>
        <v>0</v>
      </c>
      <c r="GR416" s="1751"/>
      <c r="GS416" s="1751"/>
      <c r="GT416" s="1752"/>
      <c r="GU416" s="192">
        <f t="shared" si="105"/>
        <v>1</v>
      </c>
      <c r="GV416" s="192">
        <f>SUM($GU$337:GU416)</f>
        <v>72</v>
      </c>
      <c r="GW416" s="318"/>
      <c r="HB416" s="380">
        <f t="shared" si="107"/>
        <v>0</v>
      </c>
      <c r="HX416" s="380"/>
    </row>
    <row r="417" spans="4:232">
      <c r="D417" s="256"/>
      <c r="E417" s="256"/>
      <c r="F417" s="256"/>
      <c r="G417" s="256"/>
      <c r="H417" s="256"/>
      <c r="I417" s="256"/>
      <c r="J417" s="256"/>
      <c r="K417" s="256"/>
      <c r="L417" s="256"/>
      <c r="M417" s="256"/>
      <c r="N417" s="256"/>
      <c r="O417" s="256"/>
      <c r="P417" s="256"/>
      <c r="Q417" s="256"/>
      <c r="R417" s="256"/>
      <c r="S417" s="256"/>
      <c r="T417" s="256"/>
      <c r="U417" s="256"/>
      <c r="V417" s="256"/>
      <c r="W417" s="256"/>
      <c r="X417" s="256"/>
      <c r="Y417" s="256"/>
      <c r="Z417" s="256"/>
      <c r="AA417" s="256"/>
      <c r="AB417" s="256"/>
      <c r="AC417" s="256"/>
      <c r="AD417" s="256"/>
      <c r="BD417" s="387">
        <f t="shared" si="108"/>
        <v>6</v>
      </c>
      <c r="BE417" s="382">
        <f>IF(BD417&gt;0,80,0)</f>
        <v>80</v>
      </c>
      <c r="BG417" s="383">
        <f>IF($BE417&gt;$R$66-3+($BR$335*12),80,0)</f>
        <v>80</v>
      </c>
      <c r="BH417" s="1754">
        <f t="shared" si="109"/>
        <v>0</v>
      </c>
      <c r="BI417" s="1754"/>
      <c r="BJ417" s="1754"/>
      <c r="BK417" s="1754"/>
      <c r="BL417" s="1754">
        <f t="shared" si="90"/>
        <v>0</v>
      </c>
      <c r="BM417" s="1754"/>
      <c r="BN417" s="1754"/>
      <c r="BO417" s="1754">
        <f t="shared" si="81"/>
        <v>0</v>
      </c>
      <c r="BP417" s="1754"/>
      <c r="BQ417" s="1754"/>
      <c r="BR417" s="1754">
        <f t="shared" si="110"/>
        <v>0</v>
      </c>
      <c r="BS417" s="1754"/>
      <c r="BT417" s="1754"/>
      <c r="BU417" s="1754"/>
      <c r="BW417" s="383">
        <f>IF($BE417&gt;$R$66-3+($CH$335*12),80,0)</f>
        <v>80</v>
      </c>
      <c r="BX417" s="1754">
        <f t="shared" si="72"/>
        <v>0</v>
      </c>
      <c r="BY417" s="1754"/>
      <c r="BZ417" s="1754"/>
      <c r="CA417" s="1754"/>
      <c r="CB417" s="1754">
        <f t="shared" si="91"/>
        <v>0</v>
      </c>
      <c r="CC417" s="1754"/>
      <c r="CD417" s="1754"/>
      <c r="CE417" s="1754">
        <f t="shared" si="82"/>
        <v>0</v>
      </c>
      <c r="CF417" s="1754"/>
      <c r="CG417" s="1754"/>
      <c r="CH417" s="1754">
        <f t="shared" si="83"/>
        <v>0</v>
      </c>
      <c r="CI417" s="1754"/>
      <c r="CJ417" s="1754"/>
      <c r="CK417" s="1754"/>
      <c r="CM417" s="383">
        <f>IF($BE417&gt;$R$66-3+($CX$335*12),80,0)</f>
        <v>80</v>
      </c>
      <c r="CN417" s="1754">
        <f t="shared" si="73"/>
        <v>0</v>
      </c>
      <c r="CO417" s="1754"/>
      <c r="CP417" s="1754"/>
      <c r="CQ417" s="1754"/>
      <c r="CR417" s="1754">
        <f t="shared" si="92"/>
        <v>0</v>
      </c>
      <c r="CS417" s="1754"/>
      <c r="CT417" s="1754"/>
      <c r="CU417" s="1754">
        <f t="shared" si="84"/>
        <v>0</v>
      </c>
      <c r="CV417" s="1754"/>
      <c r="CW417" s="1754"/>
      <c r="CX417" s="1754">
        <f t="shared" si="85"/>
        <v>0</v>
      </c>
      <c r="CY417" s="1754"/>
      <c r="CZ417" s="1754"/>
      <c r="DA417" s="1754"/>
      <c r="DC417" s="383">
        <f>IF($BE417&gt;$R$66-3,80,0)</f>
        <v>80</v>
      </c>
      <c r="DD417" s="1754">
        <f t="shared" si="74"/>
        <v>0</v>
      </c>
      <c r="DE417" s="1754"/>
      <c r="DF417" s="1754"/>
      <c r="DG417" s="1754"/>
      <c r="DH417" s="1754">
        <f t="shared" si="93"/>
        <v>0</v>
      </c>
      <c r="DI417" s="1754"/>
      <c r="DJ417" s="1754"/>
      <c r="DK417" s="1754">
        <f t="shared" si="86"/>
        <v>0</v>
      </c>
      <c r="DL417" s="1754"/>
      <c r="DM417" s="1754"/>
      <c r="DN417" s="1754"/>
      <c r="DP417" s="383">
        <f t="shared" si="94"/>
        <v>80</v>
      </c>
      <c r="DQ417" s="1754">
        <f t="shared" si="95"/>
        <v>0</v>
      </c>
      <c r="DR417" s="1754"/>
      <c r="DS417" s="1754"/>
      <c r="DT417" s="1754"/>
      <c r="DU417" s="1754">
        <f t="shared" si="106"/>
        <v>0</v>
      </c>
      <c r="DV417" s="1754"/>
      <c r="DW417" s="1754"/>
      <c r="DX417" s="1754">
        <f t="shared" si="114"/>
        <v>0</v>
      </c>
      <c r="DY417" s="1754"/>
      <c r="DZ417" s="1754"/>
      <c r="EA417" s="1754">
        <f t="shared" si="115"/>
        <v>0</v>
      </c>
      <c r="EB417" s="1754"/>
      <c r="EC417" s="1754"/>
      <c r="ED417" s="1754"/>
      <c r="EE417" s="384"/>
      <c r="EF417" s="1750">
        <f t="shared" si="87"/>
        <v>0</v>
      </c>
      <c r="EG417" s="1751"/>
      <c r="EH417" s="1751"/>
      <c r="EI417" s="1751"/>
      <c r="EJ417" s="1752"/>
      <c r="EL417" s="1750">
        <f t="shared" si="116"/>
        <v>0</v>
      </c>
      <c r="EM417" s="1751"/>
      <c r="EN417" s="1751"/>
      <c r="EO417" s="1751"/>
      <c r="EP417" s="1752"/>
      <c r="ER417" s="1750">
        <f t="shared" si="88"/>
        <v>0</v>
      </c>
      <c r="ES417" s="1751"/>
      <c r="ET417" s="1751"/>
      <c r="EU417" s="1751"/>
      <c r="EV417" s="1752"/>
      <c r="EX417" s="1750">
        <f>IF(BE417&gt;0,Einstrahlung!$K$24*Kalkulation!$P$62/100*$AY$29*POWER((100-$P$64)/100,BD417-1),0)</f>
        <v>0</v>
      </c>
      <c r="EY417" s="1751"/>
      <c r="EZ417" s="1751"/>
      <c r="FA417" s="1751"/>
      <c r="FB417" s="1752"/>
      <c r="FD417" s="1750">
        <f t="shared" si="96"/>
        <v>0</v>
      </c>
      <c r="FE417" s="1751"/>
      <c r="FF417" s="1751"/>
      <c r="FG417" s="1751"/>
      <c r="FH417" s="1752"/>
      <c r="FI417" s="385"/>
      <c r="FJ417" s="380">
        <f t="shared" si="104"/>
        <v>0</v>
      </c>
      <c r="FK417" s="385"/>
      <c r="FL417" s="380">
        <f t="shared" si="112"/>
        <v>0</v>
      </c>
      <c r="FM417" s="385"/>
      <c r="FN417" s="380">
        <f t="shared" si="97"/>
        <v>0</v>
      </c>
      <c r="FO417" s="962">
        <f t="shared" si="102"/>
        <v>209</v>
      </c>
      <c r="FP417" s="956">
        <f t="shared" si="89"/>
        <v>0.4</v>
      </c>
      <c r="FQ417" s="380">
        <f t="shared" si="111"/>
        <v>0</v>
      </c>
      <c r="FR417" s="626">
        <f t="shared" si="113"/>
        <v>1</v>
      </c>
      <c r="FT417" s="1819">
        <f t="shared" si="103"/>
        <v>0</v>
      </c>
      <c r="FU417" s="1820"/>
      <c r="FV417" s="1820"/>
      <c r="FW417" s="1820"/>
      <c r="FX417" s="1821"/>
      <c r="FY417" s="1819">
        <f t="shared" si="98"/>
        <v>0</v>
      </c>
      <c r="FZ417" s="1820"/>
      <c r="GA417" s="1820"/>
      <c r="GB417" s="1821"/>
      <c r="GC417" s="1825">
        <f t="shared" si="117"/>
        <v>0</v>
      </c>
      <c r="GD417" s="1826"/>
      <c r="GE417" s="1826"/>
      <c r="GF417" s="1827"/>
      <c r="GH417" s="1750">
        <f t="shared" si="99"/>
        <v>0</v>
      </c>
      <c r="GI417" s="1751"/>
      <c r="GJ417" s="1751"/>
      <c r="GK417" s="1752"/>
      <c r="GL417" s="1750">
        <f t="shared" si="100"/>
        <v>0</v>
      </c>
      <c r="GM417" s="1751"/>
      <c r="GN417" s="1751"/>
      <c r="GO417" s="1752"/>
      <c r="GP417" s="385"/>
      <c r="GQ417" s="1750">
        <f t="shared" si="101"/>
        <v>0</v>
      </c>
      <c r="GR417" s="1751"/>
      <c r="GS417" s="1751"/>
      <c r="GT417" s="1752"/>
      <c r="GU417" s="192">
        <f t="shared" si="105"/>
        <v>1</v>
      </c>
      <c r="GV417" s="192">
        <f>SUM($GU$337:GU417)</f>
        <v>73</v>
      </c>
      <c r="GW417" s="318"/>
      <c r="HB417" s="380">
        <f t="shared" si="107"/>
        <v>0</v>
      </c>
      <c r="HX417" s="380"/>
    </row>
    <row r="418" spans="4:232">
      <c r="BD418" s="387">
        <f t="shared" si="108"/>
        <v>6</v>
      </c>
      <c r="BE418" s="382">
        <f>IF(BD418&gt;0,81,0)</f>
        <v>81</v>
      </c>
      <c r="BG418" s="383">
        <f>IF($BE418&gt;$R$66-3+($BR$335*12),81,0)</f>
        <v>81</v>
      </c>
      <c r="BH418" s="1754">
        <f t="shared" si="109"/>
        <v>0</v>
      </c>
      <c r="BI418" s="1754"/>
      <c r="BJ418" s="1754"/>
      <c r="BK418" s="1754"/>
      <c r="BL418" s="1754">
        <f t="shared" si="90"/>
        <v>0</v>
      </c>
      <c r="BM418" s="1754"/>
      <c r="BN418" s="1754"/>
      <c r="BO418" s="1754">
        <f t="shared" si="81"/>
        <v>0</v>
      </c>
      <c r="BP418" s="1754"/>
      <c r="BQ418" s="1754"/>
      <c r="BR418" s="1754">
        <f t="shared" si="110"/>
        <v>0</v>
      </c>
      <c r="BS418" s="1754"/>
      <c r="BT418" s="1754"/>
      <c r="BU418" s="1754"/>
      <c r="BW418" s="383">
        <f>IF($BE418&gt;$R$66-3+($CH$335*12),81,0)</f>
        <v>81</v>
      </c>
      <c r="BX418" s="1754">
        <f t="shared" si="72"/>
        <v>0</v>
      </c>
      <c r="BY418" s="1754"/>
      <c r="BZ418" s="1754"/>
      <c r="CA418" s="1754"/>
      <c r="CB418" s="1754">
        <f t="shared" si="91"/>
        <v>0</v>
      </c>
      <c r="CC418" s="1754"/>
      <c r="CD418" s="1754"/>
      <c r="CE418" s="1754">
        <f t="shared" si="82"/>
        <v>0</v>
      </c>
      <c r="CF418" s="1754"/>
      <c r="CG418" s="1754"/>
      <c r="CH418" s="1754">
        <f t="shared" si="83"/>
        <v>0</v>
      </c>
      <c r="CI418" s="1754"/>
      <c r="CJ418" s="1754"/>
      <c r="CK418" s="1754"/>
      <c r="CM418" s="383">
        <f>IF($BE418&gt;$R$66-3+($CX$335*12),81,0)</f>
        <v>81</v>
      </c>
      <c r="CN418" s="1754">
        <f t="shared" si="73"/>
        <v>0</v>
      </c>
      <c r="CO418" s="1754"/>
      <c r="CP418" s="1754"/>
      <c r="CQ418" s="1754"/>
      <c r="CR418" s="1754">
        <f t="shared" si="92"/>
        <v>0</v>
      </c>
      <c r="CS418" s="1754"/>
      <c r="CT418" s="1754"/>
      <c r="CU418" s="1754">
        <f t="shared" si="84"/>
        <v>0</v>
      </c>
      <c r="CV418" s="1754"/>
      <c r="CW418" s="1754"/>
      <c r="CX418" s="1754">
        <f t="shared" si="85"/>
        <v>0</v>
      </c>
      <c r="CY418" s="1754"/>
      <c r="CZ418" s="1754"/>
      <c r="DA418" s="1754"/>
      <c r="DC418" s="383">
        <f>IF($BE418&gt;$R$66-3,81,0)</f>
        <v>81</v>
      </c>
      <c r="DD418" s="1754">
        <f t="shared" si="74"/>
        <v>0</v>
      </c>
      <c r="DE418" s="1754"/>
      <c r="DF418" s="1754"/>
      <c r="DG418" s="1754"/>
      <c r="DH418" s="1754">
        <f t="shared" si="93"/>
        <v>0</v>
      </c>
      <c r="DI418" s="1754"/>
      <c r="DJ418" s="1754"/>
      <c r="DK418" s="1754">
        <f t="shared" si="86"/>
        <v>0</v>
      </c>
      <c r="DL418" s="1754"/>
      <c r="DM418" s="1754"/>
      <c r="DN418" s="1754"/>
      <c r="DP418" s="383">
        <f t="shared" si="94"/>
        <v>81</v>
      </c>
      <c r="DQ418" s="1754">
        <f t="shared" si="95"/>
        <v>0</v>
      </c>
      <c r="DR418" s="1754"/>
      <c r="DS418" s="1754"/>
      <c r="DT418" s="1754"/>
      <c r="DU418" s="1754">
        <f t="shared" si="106"/>
        <v>0</v>
      </c>
      <c r="DV418" s="1754"/>
      <c r="DW418" s="1754"/>
      <c r="DX418" s="1754">
        <f t="shared" si="114"/>
        <v>0</v>
      </c>
      <c r="DY418" s="1754"/>
      <c r="DZ418" s="1754"/>
      <c r="EA418" s="1754">
        <f t="shared" si="115"/>
        <v>0</v>
      </c>
      <c r="EB418" s="1754"/>
      <c r="EC418" s="1754"/>
      <c r="ED418" s="1754"/>
      <c r="EE418" s="384"/>
      <c r="EF418" s="1750">
        <f t="shared" si="87"/>
        <v>0</v>
      </c>
      <c r="EG418" s="1751"/>
      <c r="EH418" s="1751"/>
      <c r="EI418" s="1751"/>
      <c r="EJ418" s="1752"/>
      <c r="EL418" s="1750">
        <f t="shared" si="116"/>
        <v>0</v>
      </c>
      <c r="EM418" s="1751"/>
      <c r="EN418" s="1751"/>
      <c r="EO418" s="1751"/>
      <c r="EP418" s="1752"/>
      <c r="ER418" s="1750">
        <f t="shared" si="88"/>
        <v>0</v>
      </c>
      <c r="ES418" s="1751"/>
      <c r="ET418" s="1751"/>
      <c r="EU418" s="1751"/>
      <c r="EV418" s="1752"/>
      <c r="EX418" s="1750">
        <f>IF(BE418&gt;0,Einstrahlung!$K$26*Kalkulation!$P$62/100*$AY$29*POWER((100-$P$64)/100,BD418-1),0)</f>
        <v>0</v>
      </c>
      <c r="EY418" s="1751"/>
      <c r="EZ418" s="1751"/>
      <c r="FA418" s="1751"/>
      <c r="FB418" s="1752"/>
      <c r="FD418" s="1750">
        <f t="shared" si="96"/>
        <v>0</v>
      </c>
      <c r="FE418" s="1751"/>
      <c r="FF418" s="1751"/>
      <c r="FG418" s="1751"/>
      <c r="FH418" s="1752"/>
      <c r="FI418" s="385"/>
      <c r="FJ418" s="380">
        <f t="shared" si="104"/>
        <v>0</v>
      </c>
      <c r="FK418" s="385"/>
      <c r="FL418" s="380">
        <f t="shared" si="112"/>
        <v>0</v>
      </c>
      <c r="FM418" s="385"/>
      <c r="FN418" s="380">
        <f t="shared" si="97"/>
        <v>0</v>
      </c>
      <c r="FO418" s="962">
        <f t="shared" si="102"/>
        <v>210</v>
      </c>
      <c r="FP418" s="956">
        <f t="shared" si="89"/>
        <v>0.4</v>
      </c>
      <c r="FQ418" s="380">
        <f t="shared" si="111"/>
        <v>0</v>
      </c>
      <c r="FR418" s="626">
        <f t="shared" si="113"/>
        <v>1</v>
      </c>
      <c r="FT418" s="1819">
        <f t="shared" si="103"/>
        <v>0</v>
      </c>
      <c r="FU418" s="1820"/>
      <c r="FV418" s="1820"/>
      <c r="FW418" s="1820"/>
      <c r="FX418" s="1821"/>
      <c r="FY418" s="1819">
        <f t="shared" si="98"/>
        <v>0</v>
      </c>
      <c r="FZ418" s="1820"/>
      <c r="GA418" s="1820"/>
      <c r="GB418" s="1821"/>
      <c r="GC418" s="1825">
        <f t="shared" si="117"/>
        <v>0</v>
      </c>
      <c r="GD418" s="1826"/>
      <c r="GE418" s="1826"/>
      <c r="GF418" s="1827"/>
      <c r="GH418" s="1750">
        <f t="shared" si="99"/>
        <v>0</v>
      </c>
      <c r="GI418" s="1751"/>
      <c r="GJ418" s="1751"/>
      <c r="GK418" s="1752"/>
      <c r="GL418" s="1750">
        <f t="shared" si="100"/>
        <v>0</v>
      </c>
      <c r="GM418" s="1751"/>
      <c r="GN418" s="1751"/>
      <c r="GO418" s="1752"/>
      <c r="GP418" s="385"/>
      <c r="GQ418" s="1750">
        <f t="shared" si="101"/>
        <v>0</v>
      </c>
      <c r="GR418" s="1751"/>
      <c r="GS418" s="1751"/>
      <c r="GT418" s="1752"/>
      <c r="GU418" s="192">
        <f t="shared" si="105"/>
        <v>1</v>
      </c>
      <c r="GV418" s="192">
        <f>SUM($GU$337:GU418)</f>
        <v>74</v>
      </c>
      <c r="GW418" s="318"/>
      <c r="HB418" s="380">
        <f t="shared" si="107"/>
        <v>0</v>
      </c>
      <c r="HX418" s="380"/>
    </row>
    <row r="419" spans="4:232">
      <c r="BD419" s="387">
        <f t="shared" si="108"/>
        <v>6</v>
      </c>
      <c r="BE419" s="382">
        <f>IF(BD419&gt;0,82,0)</f>
        <v>82</v>
      </c>
      <c r="BG419" s="383">
        <f>IF($BE419&gt;$R$66-3+($BR$335*12),82,0)</f>
        <v>82</v>
      </c>
      <c r="BH419" s="1754">
        <f t="shared" si="109"/>
        <v>0</v>
      </c>
      <c r="BI419" s="1754"/>
      <c r="BJ419" s="1754"/>
      <c r="BK419" s="1754"/>
      <c r="BL419" s="1754">
        <f t="shared" si="90"/>
        <v>0</v>
      </c>
      <c r="BM419" s="1754"/>
      <c r="BN419" s="1754"/>
      <c r="BO419" s="1754">
        <f t="shared" si="81"/>
        <v>0</v>
      </c>
      <c r="BP419" s="1754"/>
      <c r="BQ419" s="1754"/>
      <c r="BR419" s="1754">
        <f t="shared" si="110"/>
        <v>0</v>
      </c>
      <c r="BS419" s="1754"/>
      <c r="BT419" s="1754"/>
      <c r="BU419" s="1754"/>
      <c r="BW419" s="383">
        <f>IF($BE419&gt;$R$66-3+($CH$335*12),82,0)</f>
        <v>82</v>
      </c>
      <c r="BX419" s="1754">
        <f t="shared" si="72"/>
        <v>0</v>
      </c>
      <c r="BY419" s="1754"/>
      <c r="BZ419" s="1754"/>
      <c r="CA419" s="1754"/>
      <c r="CB419" s="1754">
        <f t="shared" si="91"/>
        <v>0</v>
      </c>
      <c r="CC419" s="1754"/>
      <c r="CD419" s="1754"/>
      <c r="CE419" s="1754">
        <f t="shared" si="82"/>
        <v>0</v>
      </c>
      <c r="CF419" s="1754"/>
      <c r="CG419" s="1754"/>
      <c r="CH419" s="1754">
        <f t="shared" si="83"/>
        <v>0</v>
      </c>
      <c r="CI419" s="1754"/>
      <c r="CJ419" s="1754"/>
      <c r="CK419" s="1754"/>
      <c r="CM419" s="383">
        <f>IF($BE419&gt;$R$66-3+($CX$335*12),82,0)</f>
        <v>82</v>
      </c>
      <c r="CN419" s="1754">
        <f t="shared" si="73"/>
        <v>0</v>
      </c>
      <c r="CO419" s="1754"/>
      <c r="CP419" s="1754"/>
      <c r="CQ419" s="1754"/>
      <c r="CR419" s="1754">
        <f t="shared" si="92"/>
        <v>0</v>
      </c>
      <c r="CS419" s="1754"/>
      <c r="CT419" s="1754"/>
      <c r="CU419" s="1754">
        <f t="shared" si="84"/>
        <v>0</v>
      </c>
      <c r="CV419" s="1754"/>
      <c r="CW419" s="1754"/>
      <c r="CX419" s="1754">
        <f t="shared" si="85"/>
        <v>0</v>
      </c>
      <c r="CY419" s="1754"/>
      <c r="CZ419" s="1754"/>
      <c r="DA419" s="1754"/>
      <c r="DC419" s="383">
        <f>IF($BE419&gt;$R$66-3,82,0)</f>
        <v>82</v>
      </c>
      <c r="DD419" s="1754">
        <f t="shared" si="74"/>
        <v>0</v>
      </c>
      <c r="DE419" s="1754"/>
      <c r="DF419" s="1754"/>
      <c r="DG419" s="1754"/>
      <c r="DH419" s="1754">
        <f t="shared" si="93"/>
        <v>0</v>
      </c>
      <c r="DI419" s="1754"/>
      <c r="DJ419" s="1754"/>
      <c r="DK419" s="1754">
        <f t="shared" si="86"/>
        <v>0</v>
      </c>
      <c r="DL419" s="1754"/>
      <c r="DM419" s="1754"/>
      <c r="DN419" s="1754"/>
      <c r="DP419" s="383">
        <f t="shared" si="94"/>
        <v>82</v>
      </c>
      <c r="DQ419" s="1754">
        <f t="shared" si="95"/>
        <v>0</v>
      </c>
      <c r="DR419" s="1754"/>
      <c r="DS419" s="1754"/>
      <c r="DT419" s="1754"/>
      <c r="DU419" s="1754">
        <f t="shared" si="106"/>
        <v>0</v>
      </c>
      <c r="DV419" s="1754"/>
      <c r="DW419" s="1754"/>
      <c r="DX419" s="1754">
        <f t="shared" si="114"/>
        <v>0</v>
      </c>
      <c r="DY419" s="1754"/>
      <c r="DZ419" s="1754"/>
      <c r="EA419" s="1754">
        <f t="shared" si="115"/>
        <v>0</v>
      </c>
      <c r="EB419" s="1754"/>
      <c r="EC419" s="1754"/>
      <c r="ED419" s="1754"/>
      <c r="EE419" s="384"/>
      <c r="EF419" s="1750">
        <f t="shared" si="87"/>
        <v>0</v>
      </c>
      <c r="EG419" s="1751"/>
      <c r="EH419" s="1751"/>
      <c r="EI419" s="1751"/>
      <c r="EJ419" s="1752"/>
      <c r="EL419" s="1750">
        <f t="shared" si="116"/>
        <v>0</v>
      </c>
      <c r="EM419" s="1751"/>
      <c r="EN419" s="1751"/>
      <c r="EO419" s="1751"/>
      <c r="EP419" s="1752"/>
      <c r="ER419" s="1750">
        <f t="shared" si="88"/>
        <v>0</v>
      </c>
      <c r="ES419" s="1751"/>
      <c r="ET419" s="1751"/>
      <c r="EU419" s="1751"/>
      <c r="EV419" s="1752"/>
      <c r="EX419" s="1750">
        <f>IF(BE419&gt;0,Einstrahlung!$K$28*Kalkulation!$P$62/100*$AY$29*POWER((100-$P$64)/100,BD419-1),0)</f>
        <v>0</v>
      </c>
      <c r="EY419" s="1751"/>
      <c r="EZ419" s="1751"/>
      <c r="FA419" s="1751"/>
      <c r="FB419" s="1752"/>
      <c r="FD419" s="1750">
        <f t="shared" si="96"/>
        <v>0</v>
      </c>
      <c r="FE419" s="1751"/>
      <c r="FF419" s="1751"/>
      <c r="FG419" s="1751"/>
      <c r="FH419" s="1752"/>
      <c r="FI419" s="385"/>
      <c r="FJ419" s="380">
        <f t="shared" si="104"/>
        <v>0</v>
      </c>
      <c r="FK419" s="385"/>
      <c r="FL419" s="380">
        <f t="shared" si="112"/>
        <v>0</v>
      </c>
      <c r="FM419" s="385"/>
      <c r="FN419" s="380">
        <f t="shared" si="97"/>
        <v>0</v>
      </c>
      <c r="FO419" s="962">
        <f t="shared" si="102"/>
        <v>211</v>
      </c>
      <c r="FP419" s="956">
        <f t="shared" si="89"/>
        <v>0.4</v>
      </c>
      <c r="FQ419" s="380">
        <f t="shared" si="111"/>
        <v>0</v>
      </c>
      <c r="FR419" s="626">
        <f t="shared" si="113"/>
        <v>1</v>
      </c>
      <c r="FT419" s="1819">
        <f t="shared" si="103"/>
        <v>0</v>
      </c>
      <c r="FU419" s="1820"/>
      <c r="FV419" s="1820"/>
      <c r="FW419" s="1820"/>
      <c r="FX419" s="1821"/>
      <c r="FY419" s="1819">
        <f t="shared" si="98"/>
        <v>0</v>
      </c>
      <c r="FZ419" s="1820"/>
      <c r="GA419" s="1820"/>
      <c r="GB419" s="1821"/>
      <c r="GC419" s="1825">
        <f t="shared" si="117"/>
        <v>0</v>
      </c>
      <c r="GD419" s="1826"/>
      <c r="GE419" s="1826"/>
      <c r="GF419" s="1827"/>
      <c r="GH419" s="1750">
        <f t="shared" si="99"/>
        <v>0</v>
      </c>
      <c r="GI419" s="1751"/>
      <c r="GJ419" s="1751"/>
      <c r="GK419" s="1752"/>
      <c r="GL419" s="1750">
        <f t="shared" si="100"/>
        <v>0</v>
      </c>
      <c r="GM419" s="1751"/>
      <c r="GN419" s="1751"/>
      <c r="GO419" s="1752"/>
      <c r="GP419" s="385"/>
      <c r="GQ419" s="1750">
        <f t="shared" si="101"/>
        <v>0</v>
      </c>
      <c r="GR419" s="1751"/>
      <c r="GS419" s="1751"/>
      <c r="GT419" s="1752"/>
      <c r="GU419" s="192">
        <f t="shared" si="105"/>
        <v>1</v>
      </c>
      <c r="GV419" s="192">
        <f>SUM($GU$337:GU419)</f>
        <v>75</v>
      </c>
      <c r="GW419" s="318"/>
      <c r="HB419" s="380">
        <f t="shared" si="107"/>
        <v>0</v>
      </c>
      <c r="HX419" s="380"/>
    </row>
    <row r="420" spans="4:232">
      <c r="BD420" s="387">
        <f t="shared" si="108"/>
        <v>6</v>
      </c>
      <c r="BE420" s="382">
        <f>IF(BD420&gt;0,83,0)</f>
        <v>83</v>
      </c>
      <c r="BG420" s="383">
        <f>IF($BE420&gt;$R$66-3+($BR$335*12),83,0)</f>
        <v>83</v>
      </c>
      <c r="BH420" s="1754">
        <f t="shared" si="109"/>
        <v>0</v>
      </c>
      <c r="BI420" s="1754"/>
      <c r="BJ420" s="1754"/>
      <c r="BK420" s="1754"/>
      <c r="BL420" s="1754">
        <f t="shared" si="90"/>
        <v>0</v>
      </c>
      <c r="BM420" s="1754"/>
      <c r="BN420" s="1754"/>
      <c r="BO420" s="1754">
        <f t="shared" si="81"/>
        <v>0</v>
      </c>
      <c r="BP420" s="1754"/>
      <c r="BQ420" s="1754"/>
      <c r="BR420" s="1754">
        <f t="shared" si="110"/>
        <v>0</v>
      </c>
      <c r="BS420" s="1754"/>
      <c r="BT420" s="1754"/>
      <c r="BU420" s="1754"/>
      <c r="BW420" s="383">
        <f>IF($BE420&gt;$R$66-3+($CH$335*12),83,0)</f>
        <v>83</v>
      </c>
      <c r="BX420" s="1754">
        <f t="shared" si="72"/>
        <v>0</v>
      </c>
      <c r="BY420" s="1754"/>
      <c r="BZ420" s="1754"/>
      <c r="CA420" s="1754"/>
      <c r="CB420" s="1754">
        <f t="shared" si="91"/>
        <v>0</v>
      </c>
      <c r="CC420" s="1754"/>
      <c r="CD420" s="1754"/>
      <c r="CE420" s="1754">
        <f t="shared" si="82"/>
        <v>0</v>
      </c>
      <c r="CF420" s="1754"/>
      <c r="CG420" s="1754"/>
      <c r="CH420" s="1754">
        <f t="shared" si="83"/>
        <v>0</v>
      </c>
      <c r="CI420" s="1754"/>
      <c r="CJ420" s="1754"/>
      <c r="CK420" s="1754"/>
      <c r="CM420" s="383">
        <f>IF($BE420&gt;$R$66-3+($CX$335*12),83,0)</f>
        <v>83</v>
      </c>
      <c r="CN420" s="1754">
        <f t="shared" si="73"/>
        <v>0</v>
      </c>
      <c r="CO420" s="1754"/>
      <c r="CP420" s="1754"/>
      <c r="CQ420" s="1754"/>
      <c r="CR420" s="1754">
        <f t="shared" si="92"/>
        <v>0</v>
      </c>
      <c r="CS420" s="1754"/>
      <c r="CT420" s="1754"/>
      <c r="CU420" s="1754">
        <f t="shared" si="84"/>
        <v>0</v>
      </c>
      <c r="CV420" s="1754"/>
      <c r="CW420" s="1754"/>
      <c r="CX420" s="1754">
        <f t="shared" si="85"/>
        <v>0</v>
      </c>
      <c r="CY420" s="1754"/>
      <c r="CZ420" s="1754"/>
      <c r="DA420" s="1754"/>
      <c r="DC420" s="383">
        <f>IF($BE420&gt;$R$66-3,83,0)</f>
        <v>83</v>
      </c>
      <c r="DD420" s="1754">
        <f t="shared" si="74"/>
        <v>0</v>
      </c>
      <c r="DE420" s="1754"/>
      <c r="DF420" s="1754"/>
      <c r="DG420" s="1754"/>
      <c r="DH420" s="1754">
        <f t="shared" si="93"/>
        <v>0</v>
      </c>
      <c r="DI420" s="1754"/>
      <c r="DJ420" s="1754"/>
      <c r="DK420" s="1754">
        <f t="shared" si="86"/>
        <v>0</v>
      </c>
      <c r="DL420" s="1754"/>
      <c r="DM420" s="1754"/>
      <c r="DN420" s="1754"/>
      <c r="DP420" s="383">
        <f t="shared" si="94"/>
        <v>83</v>
      </c>
      <c r="DQ420" s="1754">
        <f t="shared" si="95"/>
        <v>0</v>
      </c>
      <c r="DR420" s="1754"/>
      <c r="DS420" s="1754"/>
      <c r="DT420" s="1754"/>
      <c r="DU420" s="1754">
        <f t="shared" si="106"/>
        <v>0</v>
      </c>
      <c r="DV420" s="1754"/>
      <c r="DW420" s="1754"/>
      <c r="DX420" s="1754">
        <f t="shared" si="114"/>
        <v>0</v>
      </c>
      <c r="DY420" s="1754"/>
      <c r="DZ420" s="1754"/>
      <c r="EA420" s="1754">
        <f t="shared" si="115"/>
        <v>0</v>
      </c>
      <c r="EB420" s="1754"/>
      <c r="EC420" s="1754"/>
      <c r="ED420" s="1754"/>
      <c r="EE420" s="384"/>
      <c r="EF420" s="1750">
        <f t="shared" si="87"/>
        <v>0</v>
      </c>
      <c r="EG420" s="1751"/>
      <c r="EH420" s="1751"/>
      <c r="EI420" s="1751"/>
      <c r="EJ420" s="1752"/>
      <c r="EL420" s="1750">
        <f t="shared" si="116"/>
        <v>0</v>
      </c>
      <c r="EM420" s="1751"/>
      <c r="EN420" s="1751"/>
      <c r="EO420" s="1751"/>
      <c r="EP420" s="1752"/>
      <c r="ER420" s="1750">
        <f t="shared" si="88"/>
        <v>0</v>
      </c>
      <c r="ES420" s="1751"/>
      <c r="ET420" s="1751"/>
      <c r="EU420" s="1751"/>
      <c r="EV420" s="1752"/>
      <c r="EX420" s="1750">
        <f>IF(BE420&gt;0,Einstrahlung!$K$30*Kalkulation!$P$62/100*$AY$29*POWER((100-$P$64)/100,BD420-1),0)</f>
        <v>0</v>
      </c>
      <c r="EY420" s="1751"/>
      <c r="EZ420" s="1751"/>
      <c r="FA420" s="1751"/>
      <c r="FB420" s="1752"/>
      <c r="FD420" s="1750">
        <f t="shared" si="96"/>
        <v>0</v>
      </c>
      <c r="FE420" s="1751"/>
      <c r="FF420" s="1751"/>
      <c r="FG420" s="1751"/>
      <c r="FH420" s="1752"/>
      <c r="FI420" s="385"/>
      <c r="FJ420" s="380">
        <f t="shared" si="104"/>
        <v>0</v>
      </c>
      <c r="FK420" s="385"/>
      <c r="FL420" s="380">
        <f t="shared" si="112"/>
        <v>0</v>
      </c>
      <c r="FM420" s="385"/>
      <c r="FN420" s="380">
        <f t="shared" si="97"/>
        <v>0</v>
      </c>
      <c r="FO420" s="962">
        <f t="shared" si="102"/>
        <v>212</v>
      </c>
      <c r="FP420" s="956">
        <f t="shared" si="89"/>
        <v>0.4</v>
      </c>
      <c r="FQ420" s="380">
        <f t="shared" si="111"/>
        <v>0</v>
      </c>
      <c r="FR420" s="626">
        <f t="shared" si="113"/>
        <v>1</v>
      </c>
      <c r="FT420" s="1819">
        <f t="shared" si="103"/>
        <v>0</v>
      </c>
      <c r="FU420" s="1820"/>
      <c r="FV420" s="1820"/>
      <c r="FW420" s="1820"/>
      <c r="FX420" s="1821"/>
      <c r="FY420" s="1819">
        <f t="shared" si="98"/>
        <v>0</v>
      </c>
      <c r="FZ420" s="1820"/>
      <c r="GA420" s="1820"/>
      <c r="GB420" s="1821"/>
      <c r="GC420" s="1825">
        <f t="shared" si="117"/>
        <v>0</v>
      </c>
      <c r="GD420" s="1826"/>
      <c r="GE420" s="1826"/>
      <c r="GF420" s="1827"/>
      <c r="GH420" s="1750">
        <f t="shared" si="99"/>
        <v>0</v>
      </c>
      <c r="GI420" s="1751"/>
      <c r="GJ420" s="1751"/>
      <c r="GK420" s="1752"/>
      <c r="GL420" s="1750">
        <f t="shared" si="100"/>
        <v>0</v>
      </c>
      <c r="GM420" s="1751"/>
      <c r="GN420" s="1751"/>
      <c r="GO420" s="1752"/>
      <c r="GP420" s="385"/>
      <c r="GQ420" s="1750">
        <f t="shared" si="101"/>
        <v>0</v>
      </c>
      <c r="GR420" s="1751"/>
      <c r="GS420" s="1751"/>
      <c r="GT420" s="1752"/>
      <c r="GU420" s="192">
        <f t="shared" si="105"/>
        <v>1</v>
      </c>
      <c r="GV420" s="192">
        <f>SUM($GU$337:GU420)</f>
        <v>76</v>
      </c>
      <c r="GW420" s="318"/>
      <c r="HB420" s="380">
        <f t="shared" si="107"/>
        <v>0</v>
      </c>
      <c r="HX420" s="380"/>
    </row>
    <row r="421" spans="4:232" ht="13.5" thickBot="1">
      <c r="BD421" s="389">
        <f t="shared" si="108"/>
        <v>6</v>
      </c>
      <c r="BE421" s="390">
        <f>IF(BD421&gt;0,84,0)</f>
        <v>84</v>
      </c>
      <c r="BG421" s="391">
        <f>IF($BE421&gt;$R$66-3+($BR$335*12),84,0)</f>
        <v>84</v>
      </c>
      <c r="BH421" s="1753">
        <f t="shared" si="109"/>
        <v>0</v>
      </c>
      <c r="BI421" s="1753"/>
      <c r="BJ421" s="1753"/>
      <c r="BK421" s="1753"/>
      <c r="BL421" s="1753">
        <f t="shared" si="90"/>
        <v>0</v>
      </c>
      <c r="BM421" s="1753"/>
      <c r="BN421" s="1753"/>
      <c r="BO421" s="1753">
        <f t="shared" si="81"/>
        <v>0</v>
      </c>
      <c r="BP421" s="1753"/>
      <c r="BQ421" s="1753"/>
      <c r="BR421" s="1753">
        <f t="shared" si="110"/>
        <v>0</v>
      </c>
      <c r="BS421" s="1753"/>
      <c r="BT421" s="1753"/>
      <c r="BU421" s="1753"/>
      <c r="BW421" s="391">
        <f>IF($BE421&gt;$R$66-3+($CH$335*12),84,0)</f>
        <v>84</v>
      </c>
      <c r="BX421" s="1753">
        <f t="shared" si="72"/>
        <v>0</v>
      </c>
      <c r="BY421" s="1753"/>
      <c r="BZ421" s="1753"/>
      <c r="CA421" s="1753"/>
      <c r="CB421" s="1753">
        <f t="shared" si="91"/>
        <v>0</v>
      </c>
      <c r="CC421" s="1753"/>
      <c r="CD421" s="1753"/>
      <c r="CE421" s="1753">
        <f t="shared" si="82"/>
        <v>0</v>
      </c>
      <c r="CF421" s="1753"/>
      <c r="CG421" s="1753"/>
      <c r="CH421" s="1753">
        <f t="shared" si="83"/>
        <v>0</v>
      </c>
      <c r="CI421" s="1753"/>
      <c r="CJ421" s="1753"/>
      <c r="CK421" s="1753"/>
      <c r="CM421" s="391">
        <f>IF($BE421&gt;$R$66-3+($CX$335*12),84,0)</f>
        <v>84</v>
      </c>
      <c r="CN421" s="1753">
        <f t="shared" si="73"/>
        <v>0</v>
      </c>
      <c r="CO421" s="1753"/>
      <c r="CP421" s="1753"/>
      <c r="CQ421" s="1753"/>
      <c r="CR421" s="1753">
        <f t="shared" si="92"/>
        <v>0</v>
      </c>
      <c r="CS421" s="1753"/>
      <c r="CT421" s="1753"/>
      <c r="CU421" s="1753">
        <f t="shared" si="84"/>
        <v>0</v>
      </c>
      <c r="CV421" s="1753"/>
      <c r="CW421" s="1753"/>
      <c r="CX421" s="1753">
        <f t="shared" si="85"/>
        <v>0</v>
      </c>
      <c r="CY421" s="1753"/>
      <c r="CZ421" s="1753"/>
      <c r="DA421" s="1753"/>
      <c r="DC421" s="391">
        <f>IF($BE421&gt;$R$66-3,84,0)</f>
        <v>84</v>
      </c>
      <c r="DD421" s="1753">
        <f t="shared" si="74"/>
        <v>0</v>
      </c>
      <c r="DE421" s="1753"/>
      <c r="DF421" s="1753"/>
      <c r="DG421" s="1753"/>
      <c r="DH421" s="1753">
        <f t="shared" si="93"/>
        <v>0</v>
      </c>
      <c r="DI421" s="1753"/>
      <c r="DJ421" s="1753"/>
      <c r="DK421" s="1753">
        <f t="shared" si="86"/>
        <v>0</v>
      </c>
      <c r="DL421" s="1753"/>
      <c r="DM421" s="1753"/>
      <c r="DN421" s="1753"/>
      <c r="DP421" s="391">
        <f t="shared" si="94"/>
        <v>84</v>
      </c>
      <c r="DQ421" s="1753">
        <f t="shared" si="95"/>
        <v>0</v>
      </c>
      <c r="DR421" s="1753"/>
      <c r="DS421" s="1753"/>
      <c r="DT421" s="1753"/>
      <c r="DU421" s="1753">
        <f t="shared" si="106"/>
        <v>0</v>
      </c>
      <c r="DV421" s="1753"/>
      <c r="DW421" s="1753"/>
      <c r="DX421" s="1753">
        <f t="shared" si="114"/>
        <v>0</v>
      </c>
      <c r="DY421" s="1753"/>
      <c r="DZ421" s="1753"/>
      <c r="EA421" s="1753">
        <f t="shared" si="115"/>
        <v>0</v>
      </c>
      <c r="EB421" s="1753"/>
      <c r="EC421" s="1753"/>
      <c r="ED421" s="1753"/>
      <c r="EE421" s="384"/>
      <c r="EF421" s="1744">
        <f t="shared" si="87"/>
        <v>0</v>
      </c>
      <c r="EG421" s="1745"/>
      <c r="EH421" s="1745"/>
      <c r="EI421" s="1745"/>
      <c r="EJ421" s="1746"/>
      <c r="EL421" s="1744">
        <f t="shared" si="116"/>
        <v>0</v>
      </c>
      <c r="EM421" s="1745"/>
      <c r="EN421" s="1745"/>
      <c r="EO421" s="1745"/>
      <c r="EP421" s="1746"/>
      <c r="ER421" s="1744">
        <f t="shared" si="88"/>
        <v>0</v>
      </c>
      <c r="ES421" s="1745"/>
      <c r="ET421" s="1745"/>
      <c r="EU421" s="1745"/>
      <c r="EV421" s="1746"/>
      <c r="EX421" s="1744">
        <f>IF(BE421&gt;0,Einstrahlung!$K$32*Kalkulation!$P$62/100*$AY$29*POWER((100-$P$64)/100,BD421-1),0)</f>
        <v>0</v>
      </c>
      <c r="EY421" s="1745"/>
      <c r="EZ421" s="1745"/>
      <c r="FA421" s="1745"/>
      <c r="FB421" s="1746"/>
      <c r="FD421" s="1744">
        <f t="shared" si="96"/>
        <v>0</v>
      </c>
      <c r="FE421" s="1745"/>
      <c r="FF421" s="1745"/>
      <c r="FG421" s="1745"/>
      <c r="FH421" s="1746"/>
      <c r="FI421" s="385"/>
      <c r="FJ421" s="453">
        <f t="shared" si="104"/>
        <v>0</v>
      </c>
      <c r="FK421" s="385"/>
      <c r="FL421" s="453">
        <f t="shared" si="112"/>
        <v>0</v>
      </c>
      <c r="FM421" s="385"/>
      <c r="FN421" s="453">
        <f t="shared" si="97"/>
        <v>0</v>
      </c>
      <c r="FO421" s="962">
        <f t="shared" si="102"/>
        <v>213</v>
      </c>
      <c r="FP421" s="956">
        <f t="shared" si="89"/>
        <v>0.4</v>
      </c>
      <c r="FQ421" s="453">
        <f t="shared" si="111"/>
        <v>0</v>
      </c>
      <c r="FR421" s="957">
        <f>POWER(1+$FQ$333,FS421)</f>
        <v>1</v>
      </c>
      <c r="FS421" s="617">
        <f>FS409+1</f>
        <v>6</v>
      </c>
      <c r="FT421" s="1822">
        <f t="shared" si="103"/>
        <v>0</v>
      </c>
      <c r="FU421" s="1823"/>
      <c r="FV421" s="1823"/>
      <c r="FW421" s="1823"/>
      <c r="FX421" s="1824"/>
      <c r="FY421" s="1822">
        <f t="shared" si="98"/>
        <v>0</v>
      </c>
      <c r="FZ421" s="1823"/>
      <c r="GA421" s="1823"/>
      <c r="GB421" s="1824"/>
      <c r="GC421" s="1831">
        <f t="shared" si="117"/>
        <v>0</v>
      </c>
      <c r="GD421" s="1832"/>
      <c r="GE421" s="1832"/>
      <c r="GF421" s="1833"/>
      <c r="GH421" s="1744">
        <f t="shared" si="99"/>
        <v>0</v>
      </c>
      <c r="GI421" s="1745"/>
      <c r="GJ421" s="1745"/>
      <c r="GK421" s="1746"/>
      <c r="GL421" s="1744">
        <f t="shared" si="100"/>
        <v>0</v>
      </c>
      <c r="GM421" s="1745"/>
      <c r="GN421" s="1745"/>
      <c r="GO421" s="1746"/>
      <c r="GP421" s="385"/>
      <c r="GQ421" s="1744">
        <f t="shared" si="101"/>
        <v>0</v>
      </c>
      <c r="GR421" s="1745"/>
      <c r="GS421" s="1745"/>
      <c r="GT421" s="1746"/>
      <c r="GU421" s="192">
        <f t="shared" si="105"/>
        <v>1</v>
      </c>
      <c r="GV421" s="192">
        <f>SUM($GU$337:GU421)</f>
        <v>77</v>
      </c>
      <c r="GW421" s="318"/>
      <c r="HC421" s="380">
        <f t="shared" ref="HC421:HC432" si="118">IF(GV421=84,SUM(GQ410:GT421),0)</f>
        <v>0</v>
      </c>
      <c r="HX421" s="380"/>
    </row>
    <row r="422" spans="4:232">
      <c r="BD422" s="381">
        <f t="shared" ref="BD422:BD433" si="119">IF(BH422&lt;0,0,IF($V$21&gt;0,7,0))</f>
        <v>7</v>
      </c>
      <c r="BE422" s="382">
        <f>IF(BD422&gt;0,85,0)</f>
        <v>85</v>
      </c>
      <c r="BG422" s="395">
        <f>IF($BE422&gt;$R$66-3+($BR$335*12),85,0)</f>
        <v>85</v>
      </c>
      <c r="BH422" s="1754">
        <f t="shared" ref="BH422:BH433" si="120">IF(BR421&lt;=0,0,BR421)</f>
        <v>0</v>
      </c>
      <c r="BI422" s="1754"/>
      <c r="BJ422" s="1754"/>
      <c r="BK422" s="1754"/>
      <c r="BL422" s="1754">
        <f t="shared" si="90"/>
        <v>0</v>
      </c>
      <c r="BM422" s="1754"/>
      <c r="BN422" s="1754"/>
      <c r="BO422" s="1754">
        <f t="shared" si="81"/>
        <v>0</v>
      </c>
      <c r="BP422" s="1754"/>
      <c r="BQ422" s="1754"/>
      <c r="BR422" s="1754">
        <f t="shared" ref="BR422:BR433" si="121">BH422-BL422</f>
        <v>0</v>
      </c>
      <c r="BS422" s="1754"/>
      <c r="BT422" s="1754"/>
      <c r="BU422" s="1754"/>
      <c r="BW422" s="395">
        <f>IF($BE422&gt;$R$66-3+($CH$335*12),85,0)</f>
        <v>85</v>
      </c>
      <c r="BX422" s="1754">
        <f t="shared" si="72"/>
        <v>0</v>
      </c>
      <c r="BY422" s="1754"/>
      <c r="BZ422" s="1754"/>
      <c r="CA422" s="1754"/>
      <c r="CB422" s="1754">
        <f t="shared" si="91"/>
        <v>0</v>
      </c>
      <c r="CC422" s="1754"/>
      <c r="CD422" s="1754"/>
      <c r="CE422" s="1754">
        <f t="shared" si="82"/>
        <v>0</v>
      </c>
      <c r="CF422" s="1754"/>
      <c r="CG422" s="1754"/>
      <c r="CH422" s="1754">
        <f t="shared" si="83"/>
        <v>0</v>
      </c>
      <c r="CI422" s="1754"/>
      <c r="CJ422" s="1754"/>
      <c r="CK422" s="1754"/>
      <c r="CM422" s="395">
        <f>IF($BE422&gt;$R$66-3+($CX$335*12),85,0)</f>
        <v>85</v>
      </c>
      <c r="CN422" s="1754">
        <f t="shared" si="73"/>
        <v>0</v>
      </c>
      <c r="CO422" s="1754"/>
      <c r="CP422" s="1754"/>
      <c r="CQ422" s="1754"/>
      <c r="CR422" s="1754">
        <f t="shared" si="92"/>
        <v>0</v>
      </c>
      <c r="CS422" s="1754"/>
      <c r="CT422" s="1754"/>
      <c r="CU422" s="1754">
        <f t="shared" si="84"/>
        <v>0</v>
      </c>
      <c r="CV422" s="1754"/>
      <c r="CW422" s="1754"/>
      <c r="CX422" s="1754">
        <f t="shared" si="85"/>
        <v>0</v>
      </c>
      <c r="CY422" s="1754"/>
      <c r="CZ422" s="1754"/>
      <c r="DA422" s="1754"/>
      <c r="DC422" s="395">
        <f>IF($BE422&gt;$R$66-3,85,0)</f>
        <v>85</v>
      </c>
      <c r="DD422" s="1754">
        <f t="shared" si="74"/>
        <v>0</v>
      </c>
      <c r="DE422" s="1754"/>
      <c r="DF422" s="1754"/>
      <c r="DG422" s="1754"/>
      <c r="DH422" s="1754">
        <f t="shared" si="93"/>
        <v>0</v>
      </c>
      <c r="DI422" s="1754"/>
      <c r="DJ422" s="1754"/>
      <c r="DK422" s="1754">
        <f t="shared" si="86"/>
        <v>0</v>
      </c>
      <c r="DL422" s="1754"/>
      <c r="DM422" s="1754"/>
      <c r="DN422" s="1754"/>
      <c r="DP422" s="395">
        <f t="shared" si="94"/>
        <v>85</v>
      </c>
      <c r="DQ422" s="1754">
        <f t="shared" si="95"/>
        <v>0</v>
      </c>
      <c r="DR422" s="1754"/>
      <c r="DS422" s="1754"/>
      <c r="DT422" s="1754"/>
      <c r="DU422" s="1754">
        <f t="shared" si="106"/>
        <v>0</v>
      </c>
      <c r="DV422" s="1754"/>
      <c r="DW422" s="1754"/>
      <c r="DX422" s="1754">
        <f t="shared" si="114"/>
        <v>0</v>
      </c>
      <c r="DY422" s="1754"/>
      <c r="DZ422" s="1754"/>
      <c r="EA422" s="1754">
        <f t="shared" si="115"/>
        <v>0</v>
      </c>
      <c r="EB422" s="1754"/>
      <c r="EC422" s="1754"/>
      <c r="ED422" s="1754"/>
      <c r="EE422" s="384"/>
      <c r="EF422" s="1750">
        <f t="shared" si="87"/>
        <v>0</v>
      </c>
      <c r="EG422" s="1751"/>
      <c r="EH422" s="1751"/>
      <c r="EI422" s="1751"/>
      <c r="EJ422" s="1752"/>
      <c r="EL422" s="1750">
        <f t="shared" si="116"/>
        <v>0</v>
      </c>
      <c r="EM422" s="1751"/>
      <c r="EN422" s="1751"/>
      <c r="EO422" s="1751"/>
      <c r="EP422" s="1752"/>
      <c r="ER422" s="1750">
        <f t="shared" si="88"/>
        <v>0</v>
      </c>
      <c r="ES422" s="1751"/>
      <c r="ET422" s="1751"/>
      <c r="EU422" s="1751"/>
      <c r="EV422" s="1752"/>
      <c r="EX422" s="1750">
        <f>IF(BE422&gt;0,Einstrahlung!$K$10*Kalkulation!$P$62/100*$AY$29*POWER((100-$P$64)/100,BD422-1),0)</f>
        <v>0</v>
      </c>
      <c r="EY422" s="1751"/>
      <c r="EZ422" s="1751"/>
      <c r="FA422" s="1751"/>
      <c r="FB422" s="1752"/>
      <c r="FD422" s="1750">
        <f t="shared" si="96"/>
        <v>0</v>
      </c>
      <c r="FE422" s="1751"/>
      <c r="FF422" s="1751"/>
      <c r="FG422" s="1751"/>
      <c r="FH422" s="1752"/>
      <c r="FI422" s="385"/>
      <c r="FJ422" s="380">
        <f t="shared" si="104"/>
        <v>0</v>
      </c>
      <c r="FK422" s="385"/>
      <c r="FL422" s="380">
        <f>IF(BE422&gt;0,IF($FL$336&gt;SUM($EX$422:$FB$433),SUM($EX$422:$FB$433)/12,$FL$336/12),0)</f>
        <v>0</v>
      </c>
      <c r="FM422" s="385"/>
      <c r="FN422" s="380">
        <f t="shared" si="97"/>
        <v>0</v>
      </c>
      <c r="FO422" s="962">
        <f t="shared" si="102"/>
        <v>214</v>
      </c>
      <c r="FP422" s="956">
        <f t="shared" si="89"/>
        <v>0.4</v>
      </c>
      <c r="FQ422" s="380">
        <f t="shared" si="111"/>
        <v>0</v>
      </c>
      <c r="FR422" s="626">
        <f>IF(AND(GV422&gt;72,GV422&lt;=84),$FR$421,IF(AND(GV422&gt;84,GV422&lt;=96),$FR$433,0))</f>
        <v>1</v>
      </c>
      <c r="FT422" s="1819">
        <f t="shared" si="103"/>
        <v>0</v>
      </c>
      <c r="FU422" s="1820"/>
      <c r="FV422" s="1820"/>
      <c r="FW422" s="1820"/>
      <c r="FX422" s="1821"/>
      <c r="FY422" s="1819">
        <f t="shared" si="98"/>
        <v>0</v>
      </c>
      <c r="FZ422" s="1820"/>
      <c r="GA422" s="1820"/>
      <c r="GB422" s="1821"/>
      <c r="GC422" s="1825">
        <f t="shared" si="117"/>
        <v>0</v>
      </c>
      <c r="GD422" s="1826"/>
      <c r="GE422" s="1826"/>
      <c r="GF422" s="1827"/>
      <c r="GH422" s="1750">
        <f t="shared" si="99"/>
        <v>0</v>
      </c>
      <c r="GI422" s="1751"/>
      <c r="GJ422" s="1751"/>
      <c r="GK422" s="1751"/>
      <c r="GL422" s="1750">
        <f t="shared" si="100"/>
        <v>0</v>
      </c>
      <c r="GM422" s="1751"/>
      <c r="GN422" s="1751"/>
      <c r="GO422" s="1752"/>
      <c r="GP422" s="385"/>
      <c r="GQ422" s="1865">
        <f t="shared" si="101"/>
        <v>0</v>
      </c>
      <c r="GR422" s="1866"/>
      <c r="GS422" s="1866"/>
      <c r="GT422" s="1867"/>
      <c r="GU422" s="192">
        <f t="shared" si="105"/>
        <v>1</v>
      </c>
      <c r="GV422" s="192">
        <f>SUM($GU$337:GU422)</f>
        <v>78</v>
      </c>
      <c r="GW422" s="318"/>
      <c r="HC422" s="380">
        <f t="shared" si="118"/>
        <v>0</v>
      </c>
      <c r="HX422" s="380"/>
    </row>
    <row r="423" spans="4:232">
      <c r="BD423" s="387">
        <f t="shared" si="119"/>
        <v>7</v>
      </c>
      <c r="BE423" s="382">
        <f>IF(BD423&gt;0,86,0)</f>
        <v>86</v>
      </c>
      <c r="BG423" s="383">
        <f>IF($BE423&gt;$R$66-3+($BR$335*12),86,0)</f>
        <v>86</v>
      </c>
      <c r="BH423" s="1754">
        <f t="shared" si="120"/>
        <v>0</v>
      </c>
      <c r="BI423" s="1754"/>
      <c r="BJ423" s="1754"/>
      <c r="BK423" s="1754"/>
      <c r="BL423" s="1754">
        <f t="shared" si="90"/>
        <v>0</v>
      </c>
      <c r="BM423" s="1754"/>
      <c r="BN423" s="1754"/>
      <c r="BO423" s="1754">
        <f t="shared" si="81"/>
        <v>0</v>
      </c>
      <c r="BP423" s="1754"/>
      <c r="BQ423" s="1754"/>
      <c r="BR423" s="1754">
        <f t="shared" si="121"/>
        <v>0</v>
      </c>
      <c r="BS423" s="1754"/>
      <c r="BT423" s="1754"/>
      <c r="BU423" s="1754"/>
      <c r="BW423" s="383">
        <f>IF($BE423&gt;$R$66-3+($CH$335*12),86,0)</f>
        <v>86</v>
      </c>
      <c r="BX423" s="1754">
        <f t="shared" si="72"/>
        <v>0</v>
      </c>
      <c r="BY423" s="1754"/>
      <c r="BZ423" s="1754"/>
      <c r="CA423" s="1754"/>
      <c r="CB423" s="1754">
        <f t="shared" si="91"/>
        <v>0</v>
      </c>
      <c r="CC423" s="1754"/>
      <c r="CD423" s="1754"/>
      <c r="CE423" s="1754">
        <f t="shared" si="82"/>
        <v>0</v>
      </c>
      <c r="CF423" s="1754"/>
      <c r="CG423" s="1754"/>
      <c r="CH423" s="1754">
        <f t="shared" si="83"/>
        <v>0</v>
      </c>
      <c r="CI423" s="1754"/>
      <c r="CJ423" s="1754"/>
      <c r="CK423" s="1754"/>
      <c r="CM423" s="383">
        <f>IF($BE423&gt;$R$66-3+($CX$335*12),86,0)</f>
        <v>86</v>
      </c>
      <c r="CN423" s="1754">
        <f t="shared" si="73"/>
        <v>0</v>
      </c>
      <c r="CO423" s="1754"/>
      <c r="CP423" s="1754"/>
      <c r="CQ423" s="1754"/>
      <c r="CR423" s="1754">
        <f t="shared" si="92"/>
        <v>0</v>
      </c>
      <c r="CS423" s="1754"/>
      <c r="CT423" s="1754"/>
      <c r="CU423" s="1754">
        <f t="shared" si="84"/>
        <v>0</v>
      </c>
      <c r="CV423" s="1754"/>
      <c r="CW423" s="1754"/>
      <c r="CX423" s="1754">
        <f t="shared" si="85"/>
        <v>0</v>
      </c>
      <c r="CY423" s="1754"/>
      <c r="CZ423" s="1754"/>
      <c r="DA423" s="1754"/>
      <c r="DC423" s="383">
        <f>IF($BE423&gt;$R$66-3,86,0)</f>
        <v>86</v>
      </c>
      <c r="DD423" s="1754">
        <f t="shared" si="74"/>
        <v>0</v>
      </c>
      <c r="DE423" s="1754"/>
      <c r="DF423" s="1754"/>
      <c r="DG423" s="1754"/>
      <c r="DH423" s="1754">
        <f t="shared" si="93"/>
        <v>0</v>
      </c>
      <c r="DI423" s="1754"/>
      <c r="DJ423" s="1754"/>
      <c r="DK423" s="1754">
        <f t="shared" si="86"/>
        <v>0</v>
      </c>
      <c r="DL423" s="1754"/>
      <c r="DM423" s="1754"/>
      <c r="DN423" s="1754"/>
      <c r="DP423" s="383">
        <f t="shared" si="94"/>
        <v>86</v>
      </c>
      <c r="DQ423" s="1754">
        <f t="shared" si="95"/>
        <v>0</v>
      </c>
      <c r="DR423" s="1754"/>
      <c r="DS423" s="1754"/>
      <c r="DT423" s="1754"/>
      <c r="DU423" s="1754">
        <f t="shared" si="106"/>
        <v>0</v>
      </c>
      <c r="DV423" s="1754"/>
      <c r="DW423" s="1754"/>
      <c r="DX423" s="1754">
        <f t="shared" si="114"/>
        <v>0</v>
      </c>
      <c r="DY423" s="1754"/>
      <c r="DZ423" s="1754"/>
      <c r="EA423" s="1754">
        <f t="shared" si="115"/>
        <v>0</v>
      </c>
      <c r="EB423" s="1754"/>
      <c r="EC423" s="1754"/>
      <c r="ED423" s="1754"/>
      <c r="EE423" s="384"/>
      <c r="EF423" s="1750">
        <f t="shared" si="87"/>
        <v>0</v>
      </c>
      <c r="EG423" s="1751"/>
      <c r="EH423" s="1751"/>
      <c r="EI423" s="1751"/>
      <c r="EJ423" s="1752"/>
      <c r="EL423" s="1750">
        <f t="shared" si="116"/>
        <v>0</v>
      </c>
      <c r="EM423" s="1751"/>
      <c r="EN423" s="1751"/>
      <c r="EO423" s="1751"/>
      <c r="EP423" s="1752"/>
      <c r="ER423" s="1750">
        <f t="shared" si="88"/>
        <v>0</v>
      </c>
      <c r="ES423" s="1751"/>
      <c r="ET423" s="1751"/>
      <c r="EU423" s="1751"/>
      <c r="EV423" s="1752"/>
      <c r="EX423" s="1750">
        <f>IF(BE423&gt;0,Einstrahlung!$K$12*Kalkulation!$P$62/100*$AY$29*POWER((100-$P$64)/100,BD423-1),0)</f>
        <v>0</v>
      </c>
      <c r="EY423" s="1751"/>
      <c r="EZ423" s="1751"/>
      <c r="FA423" s="1751"/>
      <c r="FB423" s="1752"/>
      <c r="FD423" s="1750">
        <f t="shared" si="96"/>
        <v>0</v>
      </c>
      <c r="FE423" s="1751"/>
      <c r="FF423" s="1751"/>
      <c r="FG423" s="1751"/>
      <c r="FH423" s="1752"/>
      <c r="FI423" s="385"/>
      <c r="FJ423" s="380">
        <f t="shared" si="104"/>
        <v>0</v>
      </c>
      <c r="FK423" s="385"/>
      <c r="FL423" s="380">
        <f t="shared" ref="FL423:FL433" si="122">IF(BE423&gt;0,IF($FL$336&gt;SUM($EX$422:$FB$433),SUM($EX$422:$FB$433)/12,$FL$336/12),0)</f>
        <v>0</v>
      </c>
      <c r="FM423" s="385"/>
      <c r="FN423" s="380">
        <f t="shared" si="97"/>
        <v>0</v>
      </c>
      <c r="FO423" s="962">
        <f t="shared" si="102"/>
        <v>215</v>
      </c>
      <c r="FP423" s="956">
        <f t="shared" si="89"/>
        <v>0.4</v>
      </c>
      <c r="FQ423" s="380">
        <f t="shared" si="111"/>
        <v>0</v>
      </c>
      <c r="FR423" s="626">
        <f t="shared" ref="FR423:FR432" si="123">IF(AND(GV423&gt;72,GV423&lt;=84),$FR$421,IF(AND(GV423&gt;84,GV423&lt;=96),$FR$433,0))</f>
        <v>1</v>
      </c>
      <c r="FT423" s="1819">
        <f t="shared" si="103"/>
        <v>0</v>
      </c>
      <c r="FU423" s="1820"/>
      <c r="FV423" s="1820"/>
      <c r="FW423" s="1820"/>
      <c r="FX423" s="1821"/>
      <c r="FY423" s="1819">
        <f t="shared" si="98"/>
        <v>0</v>
      </c>
      <c r="FZ423" s="1820"/>
      <c r="GA423" s="1820"/>
      <c r="GB423" s="1821"/>
      <c r="GC423" s="1825">
        <f t="shared" si="117"/>
        <v>0</v>
      </c>
      <c r="GD423" s="1826"/>
      <c r="GE423" s="1826"/>
      <c r="GF423" s="1827"/>
      <c r="GH423" s="1750">
        <f t="shared" si="99"/>
        <v>0</v>
      </c>
      <c r="GI423" s="1751"/>
      <c r="GJ423" s="1751"/>
      <c r="GK423" s="1752"/>
      <c r="GL423" s="1750">
        <f t="shared" si="100"/>
        <v>0</v>
      </c>
      <c r="GM423" s="1751"/>
      <c r="GN423" s="1751"/>
      <c r="GO423" s="1752"/>
      <c r="GP423" s="385"/>
      <c r="GQ423" s="1750">
        <f t="shared" si="101"/>
        <v>0</v>
      </c>
      <c r="GR423" s="1751"/>
      <c r="GS423" s="1751"/>
      <c r="GT423" s="1752"/>
      <c r="GU423" s="192">
        <f t="shared" si="105"/>
        <v>1</v>
      </c>
      <c r="GV423" s="192">
        <f>SUM($GU$337:GU423)</f>
        <v>79</v>
      </c>
      <c r="GW423" s="318"/>
      <c r="HC423" s="380">
        <f t="shared" si="118"/>
        <v>0</v>
      </c>
      <c r="HX423" s="380"/>
    </row>
    <row r="424" spans="4:232">
      <c r="BD424" s="387">
        <f t="shared" si="119"/>
        <v>7</v>
      </c>
      <c r="BE424" s="382">
        <f>IF(BD424&gt;0,87,0)</f>
        <v>87</v>
      </c>
      <c r="BG424" s="383">
        <f>IF($BE424&gt;$R$66-3+($BR$335*12),87,0)</f>
        <v>87</v>
      </c>
      <c r="BH424" s="1754">
        <f t="shared" si="120"/>
        <v>0</v>
      </c>
      <c r="BI424" s="1754"/>
      <c r="BJ424" s="1754"/>
      <c r="BK424" s="1754"/>
      <c r="BL424" s="1754">
        <f t="shared" si="90"/>
        <v>0</v>
      </c>
      <c r="BM424" s="1754"/>
      <c r="BN424" s="1754"/>
      <c r="BO424" s="1754">
        <f t="shared" si="81"/>
        <v>0</v>
      </c>
      <c r="BP424" s="1754"/>
      <c r="BQ424" s="1754"/>
      <c r="BR424" s="1754">
        <f t="shared" si="121"/>
        <v>0</v>
      </c>
      <c r="BS424" s="1754"/>
      <c r="BT424" s="1754"/>
      <c r="BU424" s="1754"/>
      <c r="BW424" s="383">
        <f>IF($BE424&gt;$R$66-3+($CH$335*12),87,0)</f>
        <v>87</v>
      </c>
      <c r="BX424" s="1754">
        <f t="shared" si="72"/>
        <v>0</v>
      </c>
      <c r="BY424" s="1754"/>
      <c r="BZ424" s="1754"/>
      <c r="CA424" s="1754"/>
      <c r="CB424" s="1754">
        <f t="shared" si="91"/>
        <v>0</v>
      </c>
      <c r="CC424" s="1754"/>
      <c r="CD424" s="1754"/>
      <c r="CE424" s="1754">
        <f t="shared" si="82"/>
        <v>0</v>
      </c>
      <c r="CF424" s="1754"/>
      <c r="CG424" s="1754"/>
      <c r="CH424" s="1754">
        <f t="shared" si="83"/>
        <v>0</v>
      </c>
      <c r="CI424" s="1754"/>
      <c r="CJ424" s="1754"/>
      <c r="CK424" s="1754"/>
      <c r="CM424" s="383">
        <f>IF($BE424&gt;$R$66-3+($CX$335*12),87,0)</f>
        <v>87</v>
      </c>
      <c r="CN424" s="1754">
        <f t="shared" si="73"/>
        <v>0</v>
      </c>
      <c r="CO424" s="1754"/>
      <c r="CP424" s="1754"/>
      <c r="CQ424" s="1754"/>
      <c r="CR424" s="1754">
        <f t="shared" si="92"/>
        <v>0</v>
      </c>
      <c r="CS424" s="1754"/>
      <c r="CT424" s="1754"/>
      <c r="CU424" s="1754">
        <f t="shared" si="84"/>
        <v>0</v>
      </c>
      <c r="CV424" s="1754"/>
      <c r="CW424" s="1754"/>
      <c r="CX424" s="1754">
        <f t="shared" si="85"/>
        <v>0</v>
      </c>
      <c r="CY424" s="1754"/>
      <c r="CZ424" s="1754"/>
      <c r="DA424" s="1754"/>
      <c r="DC424" s="383">
        <f>IF($BE424&gt;$R$66-3,87,0)</f>
        <v>87</v>
      </c>
      <c r="DD424" s="1754">
        <f t="shared" si="74"/>
        <v>0</v>
      </c>
      <c r="DE424" s="1754"/>
      <c r="DF424" s="1754"/>
      <c r="DG424" s="1754"/>
      <c r="DH424" s="1754">
        <f t="shared" si="93"/>
        <v>0</v>
      </c>
      <c r="DI424" s="1754"/>
      <c r="DJ424" s="1754"/>
      <c r="DK424" s="1754">
        <f t="shared" si="86"/>
        <v>0</v>
      </c>
      <c r="DL424" s="1754"/>
      <c r="DM424" s="1754"/>
      <c r="DN424" s="1754"/>
      <c r="DP424" s="383">
        <f t="shared" si="94"/>
        <v>87</v>
      </c>
      <c r="DQ424" s="1754">
        <f t="shared" si="95"/>
        <v>0</v>
      </c>
      <c r="DR424" s="1754"/>
      <c r="DS424" s="1754"/>
      <c r="DT424" s="1754"/>
      <c r="DU424" s="1754">
        <f t="shared" si="106"/>
        <v>0</v>
      </c>
      <c r="DV424" s="1754"/>
      <c r="DW424" s="1754"/>
      <c r="DX424" s="1754">
        <f t="shared" si="114"/>
        <v>0</v>
      </c>
      <c r="DY424" s="1754"/>
      <c r="DZ424" s="1754"/>
      <c r="EA424" s="1754">
        <f t="shared" si="115"/>
        <v>0</v>
      </c>
      <c r="EB424" s="1754"/>
      <c r="EC424" s="1754"/>
      <c r="ED424" s="1754"/>
      <c r="EE424" s="384"/>
      <c r="EF424" s="1750">
        <f t="shared" si="87"/>
        <v>0</v>
      </c>
      <c r="EG424" s="1751"/>
      <c r="EH424" s="1751"/>
      <c r="EI424" s="1751"/>
      <c r="EJ424" s="1752"/>
      <c r="EL424" s="1750">
        <f t="shared" si="116"/>
        <v>0</v>
      </c>
      <c r="EM424" s="1751"/>
      <c r="EN424" s="1751"/>
      <c r="EO424" s="1751"/>
      <c r="EP424" s="1752"/>
      <c r="ER424" s="1750">
        <f t="shared" si="88"/>
        <v>0</v>
      </c>
      <c r="ES424" s="1751"/>
      <c r="ET424" s="1751"/>
      <c r="EU424" s="1751"/>
      <c r="EV424" s="1752"/>
      <c r="EX424" s="1750">
        <f>IF(BE424&gt;0,Einstrahlung!$K$14*Kalkulation!$P$62/100*$AY$29*POWER((100-$P$64)/100,BD424-1),0)</f>
        <v>0</v>
      </c>
      <c r="EY424" s="1751"/>
      <c r="EZ424" s="1751"/>
      <c r="FA424" s="1751"/>
      <c r="FB424" s="1752"/>
      <c r="FD424" s="1750">
        <f t="shared" si="96"/>
        <v>0</v>
      </c>
      <c r="FE424" s="1751"/>
      <c r="FF424" s="1751"/>
      <c r="FG424" s="1751"/>
      <c r="FH424" s="1752"/>
      <c r="FI424" s="385"/>
      <c r="FJ424" s="380">
        <f t="shared" si="104"/>
        <v>0</v>
      </c>
      <c r="FK424" s="385"/>
      <c r="FL424" s="380">
        <f t="shared" si="122"/>
        <v>0</v>
      </c>
      <c r="FM424" s="385"/>
      <c r="FN424" s="380">
        <f t="shared" si="97"/>
        <v>0</v>
      </c>
      <c r="FO424" s="962">
        <f t="shared" si="102"/>
        <v>216</v>
      </c>
      <c r="FP424" s="956">
        <f t="shared" si="89"/>
        <v>0.4</v>
      </c>
      <c r="FQ424" s="380">
        <f t="shared" si="111"/>
        <v>0</v>
      </c>
      <c r="FR424" s="626">
        <f t="shared" si="123"/>
        <v>1</v>
      </c>
      <c r="FT424" s="1819">
        <f t="shared" si="103"/>
        <v>0</v>
      </c>
      <c r="FU424" s="1820"/>
      <c r="FV424" s="1820"/>
      <c r="FW424" s="1820"/>
      <c r="FX424" s="1821"/>
      <c r="FY424" s="1819">
        <f t="shared" si="98"/>
        <v>0</v>
      </c>
      <c r="FZ424" s="1820"/>
      <c r="GA424" s="1820"/>
      <c r="GB424" s="1821"/>
      <c r="GC424" s="1825">
        <f t="shared" si="117"/>
        <v>0</v>
      </c>
      <c r="GD424" s="1826"/>
      <c r="GE424" s="1826"/>
      <c r="GF424" s="1827"/>
      <c r="GH424" s="1750">
        <f t="shared" si="99"/>
        <v>0</v>
      </c>
      <c r="GI424" s="1751"/>
      <c r="GJ424" s="1751"/>
      <c r="GK424" s="1752"/>
      <c r="GL424" s="1750">
        <f t="shared" si="100"/>
        <v>0</v>
      </c>
      <c r="GM424" s="1751"/>
      <c r="GN424" s="1751"/>
      <c r="GO424" s="1752"/>
      <c r="GP424" s="385"/>
      <c r="GQ424" s="1750">
        <f t="shared" si="101"/>
        <v>0</v>
      </c>
      <c r="GR424" s="1751"/>
      <c r="GS424" s="1751"/>
      <c r="GT424" s="1752"/>
      <c r="GU424" s="192">
        <f t="shared" si="105"/>
        <v>1</v>
      </c>
      <c r="GV424" s="192">
        <f>SUM($GU$337:GU424)</f>
        <v>80</v>
      </c>
      <c r="GW424" s="318"/>
      <c r="HC424" s="380">
        <f t="shared" si="118"/>
        <v>0</v>
      </c>
      <c r="HX424" s="380"/>
    </row>
    <row r="425" spans="4:232">
      <c r="BD425" s="387">
        <f t="shared" si="119"/>
        <v>7</v>
      </c>
      <c r="BE425" s="382">
        <f>IF(BD425&gt;0,88,0)</f>
        <v>88</v>
      </c>
      <c r="BG425" s="383">
        <f>IF($BE425&gt;$R$66-3+($BR$335*12),88,0)</f>
        <v>88</v>
      </c>
      <c r="BH425" s="1754">
        <f t="shared" si="120"/>
        <v>0</v>
      </c>
      <c r="BI425" s="1754"/>
      <c r="BJ425" s="1754"/>
      <c r="BK425" s="1754"/>
      <c r="BL425" s="1754">
        <f t="shared" si="90"/>
        <v>0</v>
      </c>
      <c r="BM425" s="1754"/>
      <c r="BN425" s="1754"/>
      <c r="BO425" s="1754">
        <f t="shared" si="81"/>
        <v>0</v>
      </c>
      <c r="BP425" s="1754"/>
      <c r="BQ425" s="1754"/>
      <c r="BR425" s="1754">
        <f t="shared" si="121"/>
        <v>0</v>
      </c>
      <c r="BS425" s="1754"/>
      <c r="BT425" s="1754"/>
      <c r="BU425" s="1754"/>
      <c r="BW425" s="383">
        <f>IF($BE425&gt;$R$66-3+($CH$335*12),88,0)</f>
        <v>88</v>
      </c>
      <c r="BX425" s="1754">
        <f t="shared" si="72"/>
        <v>0</v>
      </c>
      <c r="BY425" s="1754"/>
      <c r="BZ425" s="1754"/>
      <c r="CA425" s="1754"/>
      <c r="CB425" s="1754">
        <f t="shared" si="91"/>
        <v>0</v>
      </c>
      <c r="CC425" s="1754"/>
      <c r="CD425" s="1754"/>
      <c r="CE425" s="1754">
        <f t="shared" si="82"/>
        <v>0</v>
      </c>
      <c r="CF425" s="1754"/>
      <c r="CG425" s="1754"/>
      <c r="CH425" s="1754">
        <f t="shared" si="83"/>
        <v>0</v>
      </c>
      <c r="CI425" s="1754"/>
      <c r="CJ425" s="1754"/>
      <c r="CK425" s="1754"/>
      <c r="CM425" s="383">
        <f>IF($BE425&gt;$R$66-3+($CX$335*12),88,0)</f>
        <v>88</v>
      </c>
      <c r="CN425" s="1754">
        <f t="shared" si="73"/>
        <v>0</v>
      </c>
      <c r="CO425" s="1754"/>
      <c r="CP425" s="1754"/>
      <c r="CQ425" s="1754"/>
      <c r="CR425" s="1754">
        <f t="shared" si="92"/>
        <v>0</v>
      </c>
      <c r="CS425" s="1754"/>
      <c r="CT425" s="1754"/>
      <c r="CU425" s="1754">
        <f t="shared" si="84"/>
        <v>0</v>
      </c>
      <c r="CV425" s="1754"/>
      <c r="CW425" s="1754"/>
      <c r="CX425" s="1754">
        <f t="shared" si="85"/>
        <v>0</v>
      </c>
      <c r="CY425" s="1754"/>
      <c r="CZ425" s="1754"/>
      <c r="DA425" s="1754"/>
      <c r="DC425" s="383">
        <f>IF($BE425&gt;$R$66-3,88,0)</f>
        <v>88</v>
      </c>
      <c r="DD425" s="1754">
        <f t="shared" si="74"/>
        <v>0</v>
      </c>
      <c r="DE425" s="1754"/>
      <c r="DF425" s="1754"/>
      <c r="DG425" s="1754"/>
      <c r="DH425" s="1754">
        <f t="shared" si="93"/>
        <v>0</v>
      </c>
      <c r="DI425" s="1754"/>
      <c r="DJ425" s="1754"/>
      <c r="DK425" s="1754">
        <f t="shared" si="86"/>
        <v>0</v>
      </c>
      <c r="DL425" s="1754"/>
      <c r="DM425" s="1754"/>
      <c r="DN425" s="1754"/>
      <c r="DP425" s="383">
        <f t="shared" si="94"/>
        <v>88</v>
      </c>
      <c r="DQ425" s="1754">
        <f t="shared" si="95"/>
        <v>0</v>
      </c>
      <c r="DR425" s="1754"/>
      <c r="DS425" s="1754"/>
      <c r="DT425" s="1754"/>
      <c r="DU425" s="1754">
        <f t="shared" si="106"/>
        <v>0</v>
      </c>
      <c r="DV425" s="1754"/>
      <c r="DW425" s="1754"/>
      <c r="DX425" s="1754">
        <f t="shared" si="114"/>
        <v>0</v>
      </c>
      <c r="DY425" s="1754"/>
      <c r="DZ425" s="1754"/>
      <c r="EA425" s="1754">
        <f t="shared" si="115"/>
        <v>0</v>
      </c>
      <c r="EB425" s="1754"/>
      <c r="EC425" s="1754"/>
      <c r="ED425" s="1754"/>
      <c r="EE425" s="384"/>
      <c r="EF425" s="1750">
        <f t="shared" si="87"/>
        <v>0</v>
      </c>
      <c r="EG425" s="1751"/>
      <c r="EH425" s="1751"/>
      <c r="EI425" s="1751"/>
      <c r="EJ425" s="1752"/>
      <c r="EL425" s="1750">
        <f t="shared" si="116"/>
        <v>0</v>
      </c>
      <c r="EM425" s="1751"/>
      <c r="EN425" s="1751"/>
      <c r="EO425" s="1751"/>
      <c r="EP425" s="1752"/>
      <c r="ER425" s="1750">
        <f t="shared" si="88"/>
        <v>0</v>
      </c>
      <c r="ES425" s="1751"/>
      <c r="ET425" s="1751"/>
      <c r="EU425" s="1751"/>
      <c r="EV425" s="1752"/>
      <c r="EX425" s="1750">
        <f>IF(BE425&gt;0,Einstrahlung!$K$16*Kalkulation!$P$62/100*$AY$29*POWER((100-$P$64)/100,BD425-1),0)</f>
        <v>0</v>
      </c>
      <c r="EY425" s="1751"/>
      <c r="EZ425" s="1751"/>
      <c r="FA425" s="1751"/>
      <c r="FB425" s="1752"/>
      <c r="FD425" s="1750">
        <f t="shared" si="96"/>
        <v>0</v>
      </c>
      <c r="FE425" s="1751"/>
      <c r="FF425" s="1751"/>
      <c r="FG425" s="1751"/>
      <c r="FH425" s="1752"/>
      <c r="FI425" s="385"/>
      <c r="FJ425" s="380">
        <f t="shared" si="104"/>
        <v>0</v>
      </c>
      <c r="FK425" s="385"/>
      <c r="FL425" s="380">
        <f t="shared" si="122"/>
        <v>0</v>
      </c>
      <c r="FM425" s="385"/>
      <c r="FN425" s="380">
        <f t="shared" si="97"/>
        <v>0</v>
      </c>
      <c r="FO425" s="962">
        <f t="shared" si="102"/>
        <v>217</v>
      </c>
      <c r="FP425" s="956">
        <f t="shared" si="89"/>
        <v>0.4</v>
      </c>
      <c r="FQ425" s="380">
        <f t="shared" si="111"/>
        <v>0</v>
      </c>
      <c r="FR425" s="626">
        <f t="shared" si="123"/>
        <v>1</v>
      </c>
      <c r="FT425" s="1819">
        <f t="shared" si="103"/>
        <v>0</v>
      </c>
      <c r="FU425" s="1820"/>
      <c r="FV425" s="1820"/>
      <c r="FW425" s="1820"/>
      <c r="FX425" s="1821"/>
      <c r="FY425" s="1819">
        <f t="shared" si="98"/>
        <v>0</v>
      </c>
      <c r="FZ425" s="1820"/>
      <c r="GA425" s="1820"/>
      <c r="GB425" s="1821"/>
      <c r="GC425" s="1825">
        <f t="shared" si="117"/>
        <v>0</v>
      </c>
      <c r="GD425" s="1826"/>
      <c r="GE425" s="1826"/>
      <c r="GF425" s="1827"/>
      <c r="GH425" s="1750">
        <f t="shared" si="99"/>
        <v>0</v>
      </c>
      <c r="GI425" s="1751"/>
      <c r="GJ425" s="1751"/>
      <c r="GK425" s="1752"/>
      <c r="GL425" s="1750">
        <f t="shared" si="100"/>
        <v>0</v>
      </c>
      <c r="GM425" s="1751"/>
      <c r="GN425" s="1751"/>
      <c r="GO425" s="1752"/>
      <c r="GP425" s="385"/>
      <c r="GQ425" s="1750">
        <f t="shared" si="101"/>
        <v>0</v>
      </c>
      <c r="GR425" s="1751"/>
      <c r="GS425" s="1751"/>
      <c r="GT425" s="1752"/>
      <c r="GU425" s="192">
        <f t="shared" si="105"/>
        <v>1</v>
      </c>
      <c r="GV425" s="192">
        <f>SUM($GU$337:GU425)</f>
        <v>81</v>
      </c>
      <c r="GW425" s="318"/>
      <c r="HC425" s="380">
        <f t="shared" si="118"/>
        <v>0</v>
      </c>
      <c r="HX425" s="380"/>
    </row>
    <row r="426" spans="4:232">
      <c r="BD426" s="387">
        <f t="shared" si="119"/>
        <v>7</v>
      </c>
      <c r="BE426" s="382">
        <f>IF(BD426&gt;0,89,0)</f>
        <v>89</v>
      </c>
      <c r="BG426" s="383">
        <f>IF($BE426&gt;$R$66-3+($BR$335*12),89,0)</f>
        <v>89</v>
      </c>
      <c r="BH426" s="1754">
        <f t="shared" si="120"/>
        <v>0</v>
      </c>
      <c r="BI426" s="1754"/>
      <c r="BJ426" s="1754"/>
      <c r="BK426" s="1754"/>
      <c r="BL426" s="1754">
        <f t="shared" si="90"/>
        <v>0</v>
      </c>
      <c r="BM426" s="1754"/>
      <c r="BN426" s="1754"/>
      <c r="BO426" s="1754">
        <f t="shared" si="81"/>
        <v>0</v>
      </c>
      <c r="BP426" s="1754"/>
      <c r="BQ426" s="1754"/>
      <c r="BR426" s="1754">
        <f t="shared" si="121"/>
        <v>0</v>
      </c>
      <c r="BS426" s="1754"/>
      <c r="BT426" s="1754"/>
      <c r="BU426" s="1754"/>
      <c r="BW426" s="383">
        <f>IF($BE426&gt;$R$66-3+($CH$335*12),89,0)</f>
        <v>89</v>
      </c>
      <c r="BX426" s="1754">
        <f t="shared" si="72"/>
        <v>0</v>
      </c>
      <c r="BY426" s="1754"/>
      <c r="BZ426" s="1754"/>
      <c r="CA426" s="1754"/>
      <c r="CB426" s="1754">
        <f t="shared" si="91"/>
        <v>0</v>
      </c>
      <c r="CC426" s="1754"/>
      <c r="CD426" s="1754"/>
      <c r="CE426" s="1754">
        <f t="shared" si="82"/>
        <v>0</v>
      </c>
      <c r="CF426" s="1754"/>
      <c r="CG426" s="1754"/>
      <c r="CH426" s="1754">
        <f t="shared" si="83"/>
        <v>0</v>
      </c>
      <c r="CI426" s="1754"/>
      <c r="CJ426" s="1754"/>
      <c r="CK426" s="1754"/>
      <c r="CM426" s="383">
        <f>IF($BE426&gt;$R$66-3+($CX$335*12),89,0)</f>
        <v>89</v>
      </c>
      <c r="CN426" s="1754">
        <f t="shared" si="73"/>
        <v>0</v>
      </c>
      <c r="CO426" s="1754"/>
      <c r="CP426" s="1754"/>
      <c r="CQ426" s="1754"/>
      <c r="CR426" s="1754">
        <f t="shared" si="92"/>
        <v>0</v>
      </c>
      <c r="CS426" s="1754"/>
      <c r="CT426" s="1754"/>
      <c r="CU426" s="1754">
        <f t="shared" si="84"/>
        <v>0</v>
      </c>
      <c r="CV426" s="1754"/>
      <c r="CW426" s="1754"/>
      <c r="CX426" s="1754">
        <f t="shared" si="85"/>
        <v>0</v>
      </c>
      <c r="CY426" s="1754"/>
      <c r="CZ426" s="1754"/>
      <c r="DA426" s="1754"/>
      <c r="DC426" s="383">
        <f>IF($BE426&gt;$R$66-3,89,0)</f>
        <v>89</v>
      </c>
      <c r="DD426" s="1754">
        <f t="shared" si="74"/>
        <v>0</v>
      </c>
      <c r="DE426" s="1754"/>
      <c r="DF426" s="1754"/>
      <c r="DG426" s="1754"/>
      <c r="DH426" s="1754">
        <f t="shared" si="93"/>
        <v>0</v>
      </c>
      <c r="DI426" s="1754"/>
      <c r="DJ426" s="1754"/>
      <c r="DK426" s="1754">
        <f t="shared" si="86"/>
        <v>0</v>
      </c>
      <c r="DL426" s="1754"/>
      <c r="DM426" s="1754"/>
      <c r="DN426" s="1754"/>
      <c r="DP426" s="383">
        <f t="shared" si="94"/>
        <v>89</v>
      </c>
      <c r="DQ426" s="1754">
        <f t="shared" si="95"/>
        <v>0</v>
      </c>
      <c r="DR426" s="1754"/>
      <c r="DS426" s="1754"/>
      <c r="DT426" s="1754"/>
      <c r="DU426" s="1754">
        <f t="shared" si="106"/>
        <v>0</v>
      </c>
      <c r="DV426" s="1754"/>
      <c r="DW426" s="1754"/>
      <c r="DX426" s="1754">
        <f t="shared" si="114"/>
        <v>0</v>
      </c>
      <c r="DY426" s="1754"/>
      <c r="DZ426" s="1754"/>
      <c r="EA426" s="1754">
        <f t="shared" si="115"/>
        <v>0</v>
      </c>
      <c r="EB426" s="1754"/>
      <c r="EC426" s="1754"/>
      <c r="ED426" s="1754"/>
      <c r="EE426" s="384"/>
      <c r="EF426" s="1750">
        <f t="shared" si="87"/>
        <v>0</v>
      </c>
      <c r="EG426" s="1751"/>
      <c r="EH426" s="1751"/>
      <c r="EI426" s="1751"/>
      <c r="EJ426" s="1752"/>
      <c r="EL426" s="1750">
        <f t="shared" si="116"/>
        <v>0</v>
      </c>
      <c r="EM426" s="1751"/>
      <c r="EN426" s="1751"/>
      <c r="EO426" s="1751"/>
      <c r="EP426" s="1752"/>
      <c r="ER426" s="1750">
        <f t="shared" si="88"/>
        <v>0</v>
      </c>
      <c r="ES426" s="1751"/>
      <c r="ET426" s="1751"/>
      <c r="EU426" s="1751"/>
      <c r="EV426" s="1752"/>
      <c r="EX426" s="1750">
        <f>IF(BE426&gt;0,Einstrahlung!$K$18*Kalkulation!$P$62/100*$AY$29*POWER((100-$P$64)/100,BD426-1),0)</f>
        <v>0</v>
      </c>
      <c r="EY426" s="1751"/>
      <c r="EZ426" s="1751"/>
      <c r="FA426" s="1751"/>
      <c r="FB426" s="1752"/>
      <c r="FD426" s="1750">
        <f t="shared" si="96"/>
        <v>0</v>
      </c>
      <c r="FE426" s="1751"/>
      <c r="FF426" s="1751"/>
      <c r="FG426" s="1751"/>
      <c r="FH426" s="1752"/>
      <c r="FI426" s="385"/>
      <c r="FJ426" s="380">
        <f t="shared" si="104"/>
        <v>0</v>
      </c>
      <c r="FK426" s="385"/>
      <c r="FL426" s="380">
        <f t="shared" si="122"/>
        <v>0</v>
      </c>
      <c r="FM426" s="385"/>
      <c r="FN426" s="380">
        <f t="shared" si="97"/>
        <v>0</v>
      </c>
      <c r="FO426" s="962">
        <f t="shared" si="102"/>
        <v>218</v>
      </c>
      <c r="FP426" s="956">
        <f t="shared" si="89"/>
        <v>0.4</v>
      </c>
      <c r="FQ426" s="380">
        <f t="shared" si="111"/>
        <v>0</v>
      </c>
      <c r="FR426" s="626">
        <f t="shared" si="123"/>
        <v>1</v>
      </c>
      <c r="FT426" s="1819">
        <f t="shared" si="103"/>
        <v>0</v>
      </c>
      <c r="FU426" s="1820"/>
      <c r="FV426" s="1820"/>
      <c r="FW426" s="1820"/>
      <c r="FX426" s="1821"/>
      <c r="FY426" s="1819">
        <f t="shared" si="98"/>
        <v>0</v>
      </c>
      <c r="FZ426" s="1820"/>
      <c r="GA426" s="1820"/>
      <c r="GB426" s="1821"/>
      <c r="GC426" s="1825">
        <f t="shared" si="117"/>
        <v>0</v>
      </c>
      <c r="GD426" s="1826"/>
      <c r="GE426" s="1826"/>
      <c r="GF426" s="1827"/>
      <c r="GH426" s="1750">
        <f t="shared" si="99"/>
        <v>0</v>
      </c>
      <c r="GI426" s="1751"/>
      <c r="GJ426" s="1751"/>
      <c r="GK426" s="1752"/>
      <c r="GL426" s="1750">
        <f t="shared" si="100"/>
        <v>0</v>
      </c>
      <c r="GM426" s="1751"/>
      <c r="GN426" s="1751"/>
      <c r="GO426" s="1752"/>
      <c r="GP426" s="385"/>
      <c r="GQ426" s="1750">
        <f t="shared" si="101"/>
        <v>0</v>
      </c>
      <c r="GR426" s="1751"/>
      <c r="GS426" s="1751"/>
      <c r="GT426" s="1752"/>
      <c r="GU426" s="192">
        <f t="shared" si="105"/>
        <v>1</v>
      </c>
      <c r="GV426" s="192">
        <f>SUM($GU$337:GU426)</f>
        <v>82</v>
      </c>
      <c r="GW426" s="318"/>
      <c r="HC426" s="380">
        <f t="shared" si="118"/>
        <v>0</v>
      </c>
      <c r="HX426" s="380"/>
    </row>
    <row r="427" spans="4:232">
      <c r="D427" s="408" t="s">
        <v>479</v>
      </c>
      <c r="E427" s="408"/>
      <c r="AP427" s="247"/>
      <c r="AQ427" s="247"/>
      <c r="AR427" s="247"/>
      <c r="AS427" s="247"/>
      <c r="AT427" s="247"/>
      <c r="AU427" s="1622"/>
      <c r="AV427" s="1615"/>
      <c r="AW427" s="1615"/>
      <c r="AX427" s="1615"/>
      <c r="BD427" s="387">
        <f t="shared" si="119"/>
        <v>7</v>
      </c>
      <c r="BE427" s="382">
        <f>IF(BD427&gt;0,90,0)</f>
        <v>90</v>
      </c>
      <c r="BG427" s="383">
        <f>IF($BE427&gt;$R$66-3+($BR$335*12),90,0)</f>
        <v>90</v>
      </c>
      <c r="BH427" s="1754">
        <f t="shared" si="120"/>
        <v>0</v>
      </c>
      <c r="BI427" s="1754"/>
      <c r="BJ427" s="1754"/>
      <c r="BK427" s="1754"/>
      <c r="BL427" s="1754">
        <f t="shared" si="90"/>
        <v>0</v>
      </c>
      <c r="BM427" s="1754"/>
      <c r="BN427" s="1754"/>
      <c r="BO427" s="1754">
        <f t="shared" si="81"/>
        <v>0</v>
      </c>
      <c r="BP427" s="1754"/>
      <c r="BQ427" s="1754"/>
      <c r="BR427" s="1754">
        <f t="shared" si="121"/>
        <v>0</v>
      </c>
      <c r="BS427" s="1754"/>
      <c r="BT427" s="1754"/>
      <c r="BU427" s="1754"/>
      <c r="BW427" s="383">
        <f>IF($BE427&gt;$R$66-3+($CH$335*12),90,0)</f>
        <v>90</v>
      </c>
      <c r="BX427" s="1754">
        <f t="shared" si="72"/>
        <v>0</v>
      </c>
      <c r="BY427" s="1754"/>
      <c r="BZ427" s="1754"/>
      <c r="CA427" s="1754"/>
      <c r="CB427" s="1754">
        <f t="shared" si="91"/>
        <v>0</v>
      </c>
      <c r="CC427" s="1754"/>
      <c r="CD427" s="1754"/>
      <c r="CE427" s="1754">
        <f t="shared" si="82"/>
        <v>0</v>
      </c>
      <c r="CF427" s="1754"/>
      <c r="CG427" s="1754"/>
      <c r="CH427" s="1754">
        <f t="shared" si="83"/>
        <v>0</v>
      </c>
      <c r="CI427" s="1754"/>
      <c r="CJ427" s="1754"/>
      <c r="CK427" s="1754"/>
      <c r="CM427" s="383">
        <f>IF($BE427&gt;$R$66-3+($CX$335*12),90,0)</f>
        <v>90</v>
      </c>
      <c r="CN427" s="1754">
        <f t="shared" si="73"/>
        <v>0</v>
      </c>
      <c r="CO427" s="1754"/>
      <c r="CP427" s="1754"/>
      <c r="CQ427" s="1754"/>
      <c r="CR427" s="1754">
        <f t="shared" si="92"/>
        <v>0</v>
      </c>
      <c r="CS427" s="1754"/>
      <c r="CT427" s="1754"/>
      <c r="CU427" s="1754">
        <f t="shared" si="84"/>
        <v>0</v>
      </c>
      <c r="CV427" s="1754"/>
      <c r="CW427" s="1754"/>
      <c r="CX427" s="1754">
        <f t="shared" si="85"/>
        <v>0</v>
      </c>
      <c r="CY427" s="1754"/>
      <c r="CZ427" s="1754"/>
      <c r="DA427" s="1754"/>
      <c r="DC427" s="383">
        <f>IF($BE427&gt;$R$66-3,90,0)</f>
        <v>90</v>
      </c>
      <c r="DD427" s="1754">
        <f t="shared" si="74"/>
        <v>0</v>
      </c>
      <c r="DE427" s="1754"/>
      <c r="DF427" s="1754"/>
      <c r="DG427" s="1754"/>
      <c r="DH427" s="1754">
        <f t="shared" si="93"/>
        <v>0</v>
      </c>
      <c r="DI427" s="1754"/>
      <c r="DJ427" s="1754"/>
      <c r="DK427" s="1754">
        <f t="shared" si="86"/>
        <v>0</v>
      </c>
      <c r="DL427" s="1754"/>
      <c r="DM427" s="1754"/>
      <c r="DN427" s="1754"/>
      <c r="DP427" s="383">
        <f t="shared" si="94"/>
        <v>90</v>
      </c>
      <c r="DQ427" s="1754">
        <f t="shared" si="95"/>
        <v>0</v>
      </c>
      <c r="DR427" s="1754"/>
      <c r="DS427" s="1754"/>
      <c r="DT427" s="1754"/>
      <c r="DU427" s="1754">
        <f t="shared" si="106"/>
        <v>0</v>
      </c>
      <c r="DV427" s="1754"/>
      <c r="DW427" s="1754"/>
      <c r="DX427" s="1754">
        <f t="shared" si="114"/>
        <v>0</v>
      </c>
      <c r="DY427" s="1754"/>
      <c r="DZ427" s="1754"/>
      <c r="EA427" s="1754">
        <f t="shared" si="115"/>
        <v>0</v>
      </c>
      <c r="EB427" s="1754"/>
      <c r="EC427" s="1754"/>
      <c r="ED427" s="1754"/>
      <c r="EE427" s="384"/>
      <c r="EF427" s="1750">
        <f t="shared" si="87"/>
        <v>0</v>
      </c>
      <c r="EG427" s="1751"/>
      <c r="EH427" s="1751"/>
      <c r="EI427" s="1751"/>
      <c r="EJ427" s="1752"/>
      <c r="EL427" s="1750">
        <f t="shared" si="116"/>
        <v>0</v>
      </c>
      <c r="EM427" s="1751"/>
      <c r="EN427" s="1751"/>
      <c r="EO427" s="1751"/>
      <c r="EP427" s="1752"/>
      <c r="ER427" s="1750">
        <f t="shared" si="88"/>
        <v>0</v>
      </c>
      <c r="ES427" s="1751"/>
      <c r="ET427" s="1751"/>
      <c r="EU427" s="1751"/>
      <c r="EV427" s="1752"/>
      <c r="EX427" s="1750">
        <f>IF(BE427&gt;0,Einstrahlung!$K$20*Kalkulation!$P$62/100*$AY$29*POWER((100-$P$64)/100,BD427-1),0)</f>
        <v>0</v>
      </c>
      <c r="EY427" s="1751"/>
      <c r="EZ427" s="1751"/>
      <c r="FA427" s="1751"/>
      <c r="FB427" s="1752"/>
      <c r="FD427" s="1750">
        <f t="shared" si="96"/>
        <v>0</v>
      </c>
      <c r="FE427" s="1751"/>
      <c r="FF427" s="1751"/>
      <c r="FG427" s="1751"/>
      <c r="FH427" s="1752"/>
      <c r="FI427" s="385"/>
      <c r="FJ427" s="380">
        <f t="shared" si="104"/>
        <v>0</v>
      </c>
      <c r="FK427" s="385"/>
      <c r="FL427" s="380">
        <f t="shared" si="122"/>
        <v>0</v>
      </c>
      <c r="FM427" s="385"/>
      <c r="FN427" s="380">
        <f t="shared" si="97"/>
        <v>0</v>
      </c>
      <c r="FO427" s="962">
        <f t="shared" si="102"/>
        <v>219</v>
      </c>
      <c r="FP427" s="956">
        <f t="shared" si="89"/>
        <v>0.4</v>
      </c>
      <c r="FQ427" s="380">
        <f t="shared" si="111"/>
        <v>0</v>
      </c>
      <c r="FR427" s="626">
        <f t="shared" si="123"/>
        <v>1</v>
      </c>
      <c r="FT427" s="1819">
        <f t="shared" si="103"/>
        <v>0</v>
      </c>
      <c r="FU427" s="1820"/>
      <c r="FV427" s="1820"/>
      <c r="FW427" s="1820"/>
      <c r="FX427" s="1821"/>
      <c r="FY427" s="1819">
        <f t="shared" si="98"/>
        <v>0</v>
      </c>
      <c r="FZ427" s="1820"/>
      <c r="GA427" s="1820"/>
      <c r="GB427" s="1821"/>
      <c r="GC427" s="1825">
        <f t="shared" si="117"/>
        <v>0</v>
      </c>
      <c r="GD427" s="1826"/>
      <c r="GE427" s="1826"/>
      <c r="GF427" s="1827"/>
      <c r="GH427" s="1750">
        <f t="shared" si="99"/>
        <v>0</v>
      </c>
      <c r="GI427" s="1751"/>
      <c r="GJ427" s="1751"/>
      <c r="GK427" s="1752"/>
      <c r="GL427" s="1750">
        <f t="shared" si="100"/>
        <v>0</v>
      </c>
      <c r="GM427" s="1751"/>
      <c r="GN427" s="1751"/>
      <c r="GO427" s="1752"/>
      <c r="GP427" s="385"/>
      <c r="GQ427" s="1750">
        <f t="shared" si="101"/>
        <v>0</v>
      </c>
      <c r="GR427" s="1751"/>
      <c r="GS427" s="1751"/>
      <c r="GT427" s="1752"/>
      <c r="GU427" s="192">
        <f t="shared" si="105"/>
        <v>1</v>
      </c>
      <c r="GV427" s="192">
        <f>SUM($GU$337:GU427)</f>
        <v>83</v>
      </c>
      <c r="GW427" s="318"/>
      <c r="HC427" s="380">
        <f t="shared" si="118"/>
        <v>0</v>
      </c>
      <c r="HX427" s="380"/>
    </row>
    <row r="428" spans="4:232">
      <c r="D428" s="192" t="s">
        <v>480</v>
      </c>
      <c r="I428" s="192" t="s">
        <v>481</v>
      </c>
      <c r="BD428" s="387">
        <f t="shared" si="119"/>
        <v>7</v>
      </c>
      <c r="BE428" s="382">
        <f>IF(BD428&gt;0,91,0)</f>
        <v>91</v>
      </c>
      <c r="BG428" s="383">
        <f>IF($BE428&gt;$R$66-3+($BR$335*12),91,0)</f>
        <v>91</v>
      </c>
      <c r="BH428" s="1754">
        <f t="shared" si="120"/>
        <v>0</v>
      </c>
      <c r="BI428" s="1754"/>
      <c r="BJ428" s="1754"/>
      <c r="BK428" s="1754"/>
      <c r="BL428" s="1754">
        <f t="shared" si="90"/>
        <v>0</v>
      </c>
      <c r="BM428" s="1754"/>
      <c r="BN428" s="1754"/>
      <c r="BO428" s="1754">
        <f t="shared" si="81"/>
        <v>0</v>
      </c>
      <c r="BP428" s="1754"/>
      <c r="BQ428" s="1754"/>
      <c r="BR428" s="1754">
        <f t="shared" si="121"/>
        <v>0</v>
      </c>
      <c r="BS428" s="1754"/>
      <c r="BT428" s="1754"/>
      <c r="BU428" s="1754"/>
      <c r="BW428" s="383">
        <f>IF($BE428&gt;$R$66-3+($CH$335*12),91,0)</f>
        <v>91</v>
      </c>
      <c r="BX428" s="1754">
        <f t="shared" si="72"/>
        <v>0</v>
      </c>
      <c r="BY428" s="1754"/>
      <c r="BZ428" s="1754"/>
      <c r="CA428" s="1754"/>
      <c r="CB428" s="1754">
        <f t="shared" si="91"/>
        <v>0</v>
      </c>
      <c r="CC428" s="1754"/>
      <c r="CD428" s="1754"/>
      <c r="CE428" s="1754">
        <f t="shared" si="82"/>
        <v>0</v>
      </c>
      <c r="CF428" s="1754"/>
      <c r="CG428" s="1754"/>
      <c r="CH428" s="1754">
        <f t="shared" si="83"/>
        <v>0</v>
      </c>
      <c r="CI428" s="1754"/>
      <c r="CJ428" s="1754"/>
      <c r="CK428" s="1754"/>
      <c r="CM428" s="383">
        <f>IF($BE428&gt;$R$66-3+($CX$335*12),91,0)</f>
        <v>91</v>
      </c>
      <c r="CN428" s="1754">
        <f t="shared" si="73"/>
        <v>0</v>
      </c>
      <c r="CO428" s="1754"/>
      <c r="CP428" s="1754"/>
      <c r="CQ428" s="1754"/>
      <c r="CR428" s="1754">
        <f t="shared" si="92"/>
        <v>0</v>
      </c>
      <c r="CS428" s="1754"/>
      <c r="CT428" s="1754"/>
      <c r="CU428" s="1754">
        <f t="shared" si="84"/>
        <v>0</v>
      </c>
      <c r="CV428" s="1754"/>
      <c r="CW428" s="1754"/>
      <c r="CX428" s="1754">
        <f t="shared" si="85"/>
        <v>0</v>
      </c>
      <c r="CY428" s="1754"/>
      <c r="CZ428" s="1754"/>
      <c r="DA428" s="1754"/>
      <c r="DC428" s="383">
        <f>IF($BE428&gt;$R$66-3,91,0)</f>
        <v>91</v>
      </c>
      <c r="DD428" s="1754">
        <f t="shared" si="74"/>
        <v>0</v>
      </c>
      <c r="DE428" s="1754"/>
      <c r="DF428" s="1754"/>
      <c r="DG428" s="1754"/>
      <c r="DH428" s="1754">
        <f t="shared" si="93"/>
        <v>0</v>
      </c>
      <c r="DI428" s="1754"/>
      <c r="DJ428" s="1754"/>
      <c r="DK428" s="1754">
        <f t="shared" si="86"/>
        <v>0</v>
      </c>
      <c r="DL428" s="1754"/>
      <c r="DM428" s="1754"/>
      <c r="DN428" s="1754"/>
      <c r="DP428" s="383">
        <f t="shared" si="94"/>
        <v>91</v>
      </c>
      <c r="DQ428" s="1754">
        <f t="shared" si="95"/>
        <v>0</v>
      </c>
      <c r="DR428" s="1754"/>
      <c r="DS428" s="1754"/>
      <c r="DT428" s="1754"/>
      <c r="DU428" s="1754">
        <f t="shared" si="106"/>
        <v>0</v>
      </c>
      <c r="DV428" s="1754"/>
      <c r="DW428" s="1754"/>
      <c r="DX428" s="1754">
        <f t="shared" si="114"/>
        <v>0</v>
      </c>
      <c r="DY428" s="1754"/>
      <c r="DZ428" s="1754"/>
      <c r="EA428" s="1754">
        <f t="shared" si="115"/>
        <v>0</v>
      </c>
      <c r="EB428" s="1754"/>
      <c r="EC428" s="1754"/>
      <c r="ED428" s="1754"/>
      <c r="EE428" s="384"/>
      <c r="EF428" s="1750">
        <f t="shared" si="87"/>
        <v>0</v>
      </c>
      <c r="EG428" s="1751"/>
      <c r="EH428" s="1751"/>
      <c r="EI428" s="1751"/>
      <c r="EJ428" s="1752"/>
      <c r="EL428" s="1750">
        <f t="shared" si="116"/>
        <v>0</v>
      </c>
      <c r="EM428" s="1751"/>
      <c r="EN428" s="1751"/>
      <c r="EO428" s="1751"/>
      <c r="EP428" s="1752"/>
      <c r="ER428" s="1750">
        <f t="shared" si="88"/>
        <v>0</v>
      </c>
      <c r="ES428" s="1751"/>
      <c r="ET428" s="1751"/>
      <c r="EU428" s="1751"/>
      <c r="EV428" s="1752"/>
      <c r="EX428" s="1750">
        <f>IF(BE428&gt;0,Einstrahlung!$K$22*Kalkulation!$P$62/100*$AY$29*POWER((100-$P$64)/100,BD428-1),0)</f>
        <v>0</v>
      </c>
      <c r="EY428" s="1751"/>
      <c r="EZ428" s="1751"/>
      <c r="FA428" s="1751"/>
      <c r="FB428" s="1752"/>
      <c r="FD428" s="1750">
        <f t="shared" si="96"/>
        <v>0</v>
      </c>
      <c r="FE428" s="1751"/>
      <c r="FF428" s="1751"/>
      <c r="FG428" s="1751"/>
      <c r="FH428" s="1752"/>
      <c r="FI428" s="385"/>
      <c r="FJ428" s="380">
        <f t="shared" si="104"/>
        <v>0</v>
      </c>
      <c r="FK428" s="385"/>
      <c r="FL428" s="380">
        <f t="shared" si="122"/>
        <v>0</v>
      </c>
      <c r="FM428" s="385"/>
      <c r="FN428" s="380">
        <f t="shared" si="97"/>
        <v>0</v>
      </c>
      <c r="FO428" s="962">
        <f t="shared" si="102"/>
        <v>220</v>
      </c>
      <c r="FP428" s="956">
        <f t="shared" si="89"/>
        <v>0.4</v>
      </c>
      <c r="FQ428" s="380">
        <f t="shared" si="111"/>
        <v>0</v>
      </c>
      <c r="FR428" s="626">
        <f t="shared" si="123"/>
        <v>1</v>
      </c>
      <c r="FT428" s="1819">
        <f t="shared" si="103"/>
        <v>0</v>
      </c>
      <c r="FU428" s="1820"/>
      <c r="FV428" s="1820"/>
      <c r="FW428" s="1820"/>
      <c r="FX428" s="1821"/>
      <c r="FY428" s="1819">
        <f t="shared" si="98"/>
        <v>0</v>
      </c>
      <c r="FZ428" s="1820"/>
      <c r="GA428" s="1820"/>
      <c r="GB428" s="1821"/>
      <c r="GC428" s="1825">
        <f t="shared" si="117"/>
        <v>0</v>
      </c>
      <c r="GD428" s="1826"/>
      <c r="GE428" s="1826"/>
      <c r="GF428" s="1827"/>
      <c r="GH428" s="1750">
        <f t="shared" si="99"/>
        <v>0</v>
      </c>
      <c r="GI428" s="1751"/>
      <c r="GJ428" s="1751"/>
      <c r="GK428" s="1752"/>
      <c r="GL428" s="1750">
        <f t="shared" si="100"/>
        <v>0</v>
      </c>
      <c r="GM428" s="1751"/>
      <c r="GN428" s="1751"/>
      <c r="GO428" s="1752"/>
      <c r="GP428" s="385"/>
      <c r="GQ428" s="1750">
        <f t="shared" si="101"/>
        <v>0</v>
      </c>
      <c r="GR428" s="1751"/>
      <c r="GS428" s="1751"/>
      <c r="GT428" s="1752"/>
      <c r="GU428" s="192">
        <f t="shared" si="105"/>
        <v>1</v>
      </c>
      <c r="GV428" s="192">
        <f>SUM($GU$337:GU428)</f>
        <v>84</v>
      </c>
      <c r="GW428" s="318"/>
      <c r="HC428" s="380">
        <f t="shared" si="118"/>
        <v>0</v>
      </c>
      <c r="HX428" s="380"/>
    </row>
    <row r="429" spans="4:232">
      <c r="I429" s="192" t="s">
        <v>482</v>
      </c>
      <c r="BD429" s="387">
        <f t="shared" si="119"/>
        <v>7</v>
      </c>
      <c r="BE429" s="382">
        <f>IF(BD429&gt;0,92,0)</f>
        <v>92</v>
      </c>
      <c r="BG429" s="383">
        <f>IF($BE429&gt;$R$66-3+($BR$335*12),92,0)</f>
        <v>92</v>
      </c>
      <c r="BH429" s="1754">
        <f t="shared" si="120"/>
        <v>0</v>
      </c>
      <c r="BI429" s="1754"/>
      <c r="BJ429" s="1754"/>
      <c r="BK429" s="1754"/>
      <c r="BL429" s="1754">
        <f t="shared" si="90"/>
        <v>0</v>
      </c>
      <c r="BM429" s="1754"/>
      <c r="BN429" s="1754"/>
      <c r="BO429" s="1754">
        <f t="shared" si="81"/>
        <v>0</v>
      </c>
      <c r="BP429" s="1754"/>
      <c r="BQ429" s="1754"/>
      <c r="BR429" s="1754">
        <f t="shared" si="121"/>
        <v>0</v>
      </c>
      <c r="BS429" s="1754"/>
      <c r="BT429" s="1754"/>
      <c r="BU429" s="1754"/>
      <c r="BW429" s="383">
        <f>IF($BE429&gt;$R$66-3+($CH$335*12),92,0)</f>
        <v>92</v>
      </c>
      <c r="BX429" s="1754">
        <f t="shared" si="72"/>
        <v>0</v>
      </c>
      <c r="BY429" s="1754"/>
      <c r="BZ429" s="1754"/>
      <c r="CA429" s="1754"/>
      <c r="CB429" s="1754">
        <f t="shared" si="91"/>
        <v>0</v>
      </c>
      <c r="CC429" s="1754"/>
      <c r="CD429" s="1754"/>
      <c r="CE429" s="1754">
        <f t="shared" si="82"/>
        <v>0</v>
      </c>
      <c r="CF429" s="1754"/>
      <c r="CG429" s="1754"/>
      <c r="CH429" s="1754">
        <f t="shared" si="83"/>
        <v>0</v>
      </c>
      <c r="CI429" s="1754"/>
      <c r="CJ429" s="1754"/>
      <c r="CK429" s="1754"/>
      <c r="CM429" s="383">
        <f>IF($BE429&gt;$R$66-3+($CX$335*12),92,0)</f>
        <v>92</v>
      </c>
      <c r="CN429" s="1754">
        <f t="shared" si="73"/>
        <v>0</v>
      </c>
      <c r="CO429" s="1754"/>
      <c r="CP429" s="1754"/>
      <c r="CQ429" s="1754"/>
      <c r="CR429" s="1754">
        <f t="shared" si="92"/>
        <v>0</v>
      </c>
      <c r="CS429" s="1754"/>
      <c r="CT429" s="1754"/>
      <c r="CU429" s="1754">
        <f t="shared" si="84"/>
        <v>0</v>
      </c>
      <c r="CV429" s="1754"/>
      <c r="CW429" s="1754"/>
      <c r="CX429" s="1754">
        <f t="shared" si="85"/>
        <v>0</v>
      </c>
      <c r="CY429" s="1754"/>
      <c r="CZ429" s="1754"/>
      <c r="DA429" s="1754"/>
      <c r="DC429" s="383">
        <f>IF($BE429&gt;$R$66-3,92,0)</f>
        <v>92</v>
      </c>
      <c r="DD429" s="1754">
        <f t="shared" si="74"/>
        <v>0</v>
      </c>
      <c r="DE429" s="1754"/>
      <c r="DF429" s="1754"/>
      <c r="DG429" s="1754"/>
      <c r="DH429" s="1754">
        <f t="shared" si="93"/>
        <v>0</v>
      </c>
      <c r="DI429" s="1754"/>
      <c r="DJ429" s="1754"/>
      <c r="DK429" s="1754">
        <f t="shared" si="86"/>
        <v>0</v>
      </c>
      <c r="DL429" s="1754"/>
      <c r="DM429" s="1754"/>
      <c r="DN429" s="1754"/>
      <c r="DP429" s="383">
        <f t="shared" si="94"/>
        <v>92</v>
      </c>
      <c r="DQ429" s="1754">
        <f t="shared" si="95"/>
        <v>0</v>
      </c>
      <c r="DR429" s="1754"/>
      <c r="DS429" s="1754"/>
      <c r="DT429" s="1754"/>
      <c r="DU429" s="1754">
        <f t="shared" si="106"/>
        <v>0</v>
      </c>
      <c r="DV429" s="1754"/>
      <c r="DW429" s="1754"/>
      <c r="DX429" s="1754">
        <f t="shared" si="114"/>
        <v>0</v>
      </c>
      <c r="DY429" s="1754"/>
      <c r="DZ429" s="1754"/>
      <c r="EA429" s="1754">
        <f t="shared" si="115"/>
        <v>0</v>
      </c>
      <c r="EB429" s="1754"/>
      <c r="EC429" s="1754"/>
      <c r="ED429" s="1754"/>
      <c r="EE429" s="384"/>
      <c r="EF429" s="1750">
        <f t="shared" si="87"/>
        <v>0</v>
      </c>
      <c r="EG429" s="1751"/>
      <c r="EH429" s="1751"/>
      <c r="EI429" s="1751"/>
      <c r="EJ429" s="1752"/>
      <c r="EL429" s="1750">
        <f t="shared" si="116"/>
        <v>0</v>
      </c>
      <c r="EM429" s="1751"/>
      <c r="EN429" s="1751"/>
      <c r="EO429" s="1751"/>
      <c r="EP429" s="1752"/>
      <c r="ER429" s="1750">
        <f t="shared" si="88"/>
        <v>0</v>
      </c>
      <c r="ES429" s="1751"/>
      <c r="ET429" s="1751"/>
      <c r="EU429" s="1751"/>
      <c r="EV429" s="1752"/>
      <c r="EX429" s="1750">
        <f>IF(BE429&gt;0,Einstrahlung!$K$24*Kalkulation!$P$62/100*$AY$29*POWER((100-$P$64)/100,BD429-1),0)</f>
        <v>0</v>
      </c>
      <c r="EY429" s="1751"/>
      <c r="EZ429" s="1751"/>
      <c r="FA429" s="1751"/>
      <c r="FB429" s="1752"/>
      <c r="FD429" s="1750">
        <f t="shared" si="96"/>
        <v>0</v>
      </c>
      <c r="FE429" s="1751"/>
      <c r="FF429" s="1751"/>
      <c r="FG429" s="1751"/>
      <c r="FH429" s="1752"/>
      <c r="FI429" s="385"/>
      <c r="FJ429" s="380">
        <f t="shared" si="104"/>
        <v>0</v>
      </c>
      <c r="FK429" s="385"/>
      <c r="FL429" s="380">
        <f t="shared" si="122"/>
        <v>0</v>
      </c>
      <c r="FM429" s="385"/>
      <c r="FN429" s="380">
        <f t="shared" si="97"/>
        <v>0</v>
      </c>
      <c r="FO429" s="962">
        <f t="shared" si="102"/>
        <v>221</v>
      </c>
      <c r="FP429" s="956">
        <f t="shared" si="89"/>
        <v>0.4</v>
      </c>
      <c r="FQ429" s="380">
        <f t="shared" si="111"/>
        <v>0</v>
      </c>
      <c r="FR429" s="626">
        <f t="shared" si="123"/>
        <v>1</v>
      </c>
      <c r="FT429" s="1819">
        <f t="shared" si="103"/>
        <v>0</v>
      </c>
      <c r="FU429" s="1820"/>
      <c r="FV429" s="1820"/>
      <c r="FW429" s="1820"/>
      <c r="FX429" s="1821"/>
      <c r="FY429" s="1819">
        <f t="shared" si="98"/>
        <v>0</v>
      </c>
      <c r="FZ429" s="1820"/>
      <c r="GA429" s="1820"/>
      <c r="GB429" s="1821"/>
      <c r="GC429" s="1825">
        <f t="shared" si="117"/>
        <v>0</v>
      </c>
      <c r="GD429" s="1826"/>
      <c r="GE429" s="1826"/>
      <c r="GF429" s="1827"/>
      <c r="GH429" s="1750">
        <f t="shared" si="99"/>
        <v>0</v>
      </c>
      <c r="GI429" s="1751"/>
      <c r="GJ429" s="1751"/>
      <c r="GK429" s="1752"/>
      <c r="GL429" s="1750">
        <f t="shared" si="100"/>
        <v>0</v>
      </c>
      <c r="GM429" s="1751"/>
      <c r="GN429" s="1751"/>
      <c r="GO429" s="1752"/>
      <c r="GP429" s="385"/>
      <c r="GQ429" s="1750">
        <f t="shared" si="101"/>
        <v>0</v>
      </c>
      <c r="GR429" s="1751"/>
      <c r="GS429" s="1751"/>
      <c r="GT429" s="1752"/>
      <c r="GU429" s="192">
        <f t="shared" si="105"/>
        <v>1</v>
      </c>
      <c r="GV429" s="192">
        <f>SUM($GU$337:GU429)</f>
        <v>85</v>
      </c>
      <c r="GW429" s="318"/>
      <c r="HC429" s="380">
        <f t="shared" si="118"/>
        <v>0</v>
      </c>
      <c r="HX429" s="380"/>
    </row>
    <row r="430" spans="4:232">
      <c r="I430" s="192" t="s">
        <v>483</v>
      </c>
      <c r="BD430" s="387">
        <f t="shared" si="119"/>
        <v>7</v>
      </c>
      <c r="BE430" s="382">
        <f>IF(BD430&gt;0,93,0)</f>
        <v>93</v>
      </c>
      <c r="BG430" s="383">
        <f>IF($BE430&gt;$R$66-3+($BR$335*12),93,0)</f>
        <v>93</v>
      </c>
      <c r="BH430" s="1754">
        <f t="shared" si="120"/>
        <v>0</v>
      </c>
      <c r="BI430" s="1754"/>
      <c r="BJ430" s="1754"/>
      <c r="BK430" s="1754"/>
      <c r="BL430" s="1754">
        <f t="shared" si="90"/>
        <v>0</v>
      </c>
      <c r="BM430" s="1754"/>
      <c r="BN430" s="1754"/>
      <c r="BO430" s="1754">
        <f t="shared" si="81"/>
        <v>0</v>
      </c>
      <c r="BP430" s="1754"/>
      <c r="BQ430" s="1754"/>
      <c r="BR430" s="1754">
        <f t="shared" si="121"/>
        <v>0</v>
      </c>
      <c r="BS430" s="1754"/>
      <c r="BT430" s="1754"/>
      <c r="BU430" s="1754"/>
      <c r="BW430" s="383">
        <f>IF($BE430&gt;$R$66-3+($CH$335*12),93,0)</f>
        <v>93</v>
      </c>
      <c r="BX430" s="1754">
        <f t="shared" si="72"/>
        <v>0</v>
      </c>
      <c r="BY430" s="1754"/>
      <c r="BZ430" s="1754"/>
      <c r="CA430" s="1754"/>
      <c r="CB430" s="1754">
        <f t="shared" si="91"/>
        <v>0</v>
      </c>
      <c r="CC430" s="1754"/>
      <c r="CD430" s="1754"/>
      <c r="CE430" s="1754">
        <f t="shared" si="82"/>
        <v>0</v>
      </c>
      <c r="CF430" s="1754"/>
      <c r="CG430" s="1754"/>
      <c r="CH430" s="1754">
        <f t="shared" si="83"/>
        <v>0</v>
      </c>
      <c r="CI430" s="1754"/>
      <c r="CJ430" s="1754"/>
      <c r="CK430" s="1754"/>
      <c r="CM430" s="383">
        <f>IF($BE430&gt;$R$66-3+($CX$335*12),93,0)</f>
        <v>93</v>
      </c>
      <c r="CN430" s="1754">
        <f t="shared" si="73"/>
        <v>0</v>
      </c>
      <c r="CO430" s="1754"/>
      <c r="CP430" s="1754"/>
      <c r="CQ430" s="1754"/>
      <c r="CR430" s="1754">
        <f t="shared" si="92"/>
        <v>0</v>
      </c>
      <c r="CS430" s="1754"/>
      <c r="CT430" s="1754"/>
      <c r="CU430" s="1754">
        <f t="shared" si="84"/>
        <v>0</v>
      </c>
      <c r="CV430" s="1754"/>
      <c r="CW430" s="1754"/>
      <c r="CX430" s="1754">
        <f t="shared" si="85"/>
        <v>0</v>
      </c>
      <c r="CY430" s="1754"/>
      <c r="CZ430" s="1754"/>
      <c r="DA430" s="1754"/>
      <c r="DC430" s="383">
        <f>IF($BE430&gt;$R$66-3,93,0)</f>
        <v>93</v>
      </c>
      <c r="DD430" s="1754">
        <f t="shared" si="74"/>
        <v>0</v>
      </c>
      <c r="DE430" s="1754"/>
      <c r="DF430" s="1754"/>
      <c r="DG430" s="1754"/>
      <c r="DH430" s="1754">
        <f t="shared" si="93"/>
        <v>0</v>
      </c>
      <c r="DI430" s="1754"/>
      <c r="DJ430" s="1754"/>
      <c r="DK430" s="1754">
        <f t="shared" si="86"/>
        <v>0</v>
      </c>
      <c r="DL430" s="1754"/>
      <c r="DM430" s="1754"/>
      <c r="DN430" s="1754"/>
      <c r="DP430" s="383">
        <f t="shared" si="94"/>
        <v>93</v>
      </c>
      <c r="DQ430" s="1754">
        <f t="shared" si="95"/>
        <v>0</v>
      </c>
      <c r="DR430" s="1754"/>
      <c r="DS430" s="1754"/>
      <c r="DT430" s="1754"/>
      <c r="DU430" s="1754">
        <f t="shared" si="106"/>
        <v>0</v>
      </c>
      <c r="DV430" s="1754"/>
      <c r="DW430" s="1754"/>
      <c r="DX430" s="1754">
        <f t="shared" si="114"/>
        <v>0</v>
      </c>
      <c r="DY430" s="1754"/>
      <c r="DZ430" s="1754"/>
      <c r="EA430" s="1754">
        <f t="shared" si="115"/>
        <v>0</v>
      </c>
      <c r="EB430" s="1754"/>
      <c r="EC430" s="1754"/>
      <c r="ED430" s="1754"/>
      <c r="EE430" s="384"/>
      <c r="EF430" s="1750">
        <f t="shared" si="87"/>
        <v>0</v>
      </c>
      <c r="EG430" s="1751"/>
      <c r="EH430" s="1751"/>
      <c r="EI430" s="1751"/>
      <c r="EJ430" s="1752"/>
      <c r="EL430" s="1750">
        <f t="shared" si="116"/>
        <v>0</v>
      </c>
      <c r="EM430" s="1751"/>
      <c r="EN430" s="1751"/>
      <c r="EO430" s="1751"/>
      <c r="EP430" s="1752"/>
      <c r="ER430" s="1750">
        <f t="shared" si="88"/>
        <v>0</v>
      </c>
      <c r="ES430" s="1751"/>
      <c r="ET430" s="1751"/>
      <c r="EU430" s="1751"/>
      <c r="EV430" s="1752"/>
      <c r="EX430" s="1750">
        <f>IF(BE430&gt;0,Einstrahlung!$K$26*Kalkulation!$P$62/100*$AY$29*POWER((100-$P$64)/100,BD430-1),0)</f>
        <v>0</v>
      </c>
      <c r="EY430" s="1751"/>
      <c r="EZ430" s="1751"/>
      <c r="FA430" s="1751"/>
      <c r="FB430" s="1752"/>
      <c r="FD430" s="1750">
        <f t="shared" si="96"/>
        <v>0</v>
      </c>
      <c r="FE430" s="1751"/>
      <c r="FF430" s="1751"/>
      <c r="FG430" s="1751"/>
      <c r="FH430" s="1752"/>
      <c r="FI430" s="385"/>
      <c r="FJ430" s="380">
        <f t="shared" si="104"/>
        <v>0</v>
      </c>
      <c r="FK430" s="385"/>
      <c r="FL430" s="380">
        <f t="shared" si="122"/>
        <v>0</v>
      </c>
      <c r="FM430" s="385"/>
      <c r="FN430" s="380">
        <f t="shared" si="97"/>
        <v>0</v>
      </c>
      <c r="FO430" s="962">
        <f t="shared" si="102"/>
        <v>222</v>
      </c>
      <c r="FP430" s="956">
        <f t="shared" si="89"/>
        <v>0.4</v>
      </c>
      <c r="FQ430" s="380">
        <f t="shared" si="111"/>
        <v>0</v>
      </c>
      <c r="FR430" s="626">
        <f t="shared" si="123"/>
        <v>1</v>
      </c>
      <c r="FT430" s="1819">
        <f t="shared" si="103"/>
        <v>0</v>
      </c>
      <c r="FU430" s="1820"/>
      <c r="FV430" s="1820"/>
      <c r="FW430" s="1820"/>
      <c r="FX430" s="1821"/>
      <c r="FY430" s="1819">
        <f t="shared" si="98"/>
        <v>0</v>
      </c>
      <c r="FZ430" s="1820"/>
      <c r="GA430" s="1820"/>
      <c r="GB430" s="1821"/>
      <c r="GC430" s="1825">
        <f t="shared" si="117"/>
        <v>0</v>
      </c>
      <c r="GD430" s="1826"/>
      <c r="GE430" s="1826"/>
      <c r="GF430" s="1827"/>
      <c r="GH430" s="1750">
        <f t="shared" si="99"/>
        <v>0</v>
      </c>
      <c r="GI430" s="1751"/>
      <c r="GJ430" s="1751"/>
      <c r="GK430" s="1752"/>
      <c r="GL430" s="1750">
        <f t="shared" si="100"/>
        <v>0</v>
      </c>
      <c r="GM430" s="1751"/>
      <c r="GN430" s="1751"/>
      <c r="GO430" s="1752"/>
      <c r="GP430" s="385"/>
      <c r="GQ430" s="1750">
        <f t="shared" si="101"/>
        <v>0</v>
      </c>
      <c r="GR430" s="1751"/>
      <c r="GS430" s="1751"/>
      <c r="GT430" s="1752"/>
      <c r="GU430" s="192">
        <f t="shared" si="105"/>
        <v>1</v>
      </c>
      <c r="GV430" s="192">
        <f>SUM($GU$337:GU430)</f>
        <v>86</v>
      </c>
      <c r="GW430" s="318"/>
      <c r="HC430" s="380">
        <f t="shared" si="118"/>
        <v>0</v>
      </c>
      <c r="HX430" s="380"/>
    </row>
    <row r="431" spans="4:232">
      <c r="I431" s="247" t="s">
        <v>484</v>
      </c>
      <c r="J431" s="247"/>
      <c r="K431" s="247"/>
      <c r="L431" s="247"/>
      <c r="M431" s="247"/>
      <c r="N431" s="247"/>
      <c r="O431" s="247"/>
      <c r="P431" s="247"/>
      <c r="Q431" s="247"/>
      <c r="R431" s="247"/>
      <c r="S431" s="247"/>
      <c r="T431" s="247"/>
      <c r="U431" s="247"/>
      <c r="V431" s="247"/>
      <c r="BD431" s="387">
        <f t="shared" si="119"/>
        <v>7</v>
      </c>
      <c r="BE431" s="382">
        <f>IF(BD431&gt;0,94,0)</f>
        <v>94</v>
      </c>
      <c r="BG431" s="383">
        <f>IF($BE431&gt;$R$66-3+($BR$335*12),94,0)</f>
        <v>94</v>
      </c>
      <c r="BH431" s="1754">
        <f t="shared" si="120"/>
        <v>0</v>
      </c>
      <c r="BI431" s="1754"/>
      <c r="BJ431" s="1754"/>
      <c r="BK431" s="1754"/>
      <c r="BL431" s="1754">
        <f t="shared" si="90"/>
        <v>0</v>
      </c>
      <c r="BM431" s="1754"/>
      <c r="BN431" s="1754"/>
      <c r="BO431" s="1754">
        <f t="shared" si="81"/>
        <v>0</v>
      </c>
      <c r="BP431" s="1754"/>
      <c r="BQ431" s="1754"/>
      <c r="BR431" s="1754">
        <f t="shared" si="121"/>
        <v>0</v>
      </c>
      <c r="BS431" s="1754"/>
      <c r="BT431" s="1754"/>
      <c r="BU431" s="1754"/>
      <c r="BW431" s="383">
        <f>IF($BE431&gt;$R$66-3+($CH$335*12),94,0)</f>
        <v>94</v>
      </c>
      <c r="BX431" s="1754">
        <f t="shared" si="72"/>
        <v>0</v>
      </c>
      <c r="BY431" s="1754"/>
      <c r="BZ431" s="1754"/>
      <c r="CA431" s="1754"/>
      <c r="CB431" s="1754">
        <f t="shared" si="91"/>
        <v>0</v>
      </c>
      <c r="CC431" s="1754"/>
      <c r="CD431" s="1754"/>
      <c r="CE431" s="1754">
        <f t="shared" si="82"/>
        <v>0</v>
      </c>
      <c r="CF431" s="1754"/>
      <c r="CG431" s="1754"/>
      <c r="CH431" s="1754">
        <f t="shared" si="83"/>
        <v>0</v>
      </c>
      <c r="CI431" s="1754"/>
      <c r="CJ431" s="1754"/>
      <c r="CK431" s="1754"/>
      <c r="CM431" s="383">
        <f>IF($BE431&gt;$R$66-3+($CX$335*12),94,0)</f>
        <v>94</v>
      </c>
      <c r="CN431" s="1754">
        <f t="shared" si="73"/>
        <v>0</v>
      </c>
      <c r="CO431" s="1754"/>
      <c r="CP431" s="1754"/>
      <c r="CQ431" s="1754"/>
      <c r="CR431" s="1754">
        <f t="shared" si="92"/>
        <v>0</v>
      </c>
      <c r="CS431" s="1754"/>
      <c r="CT431" s="1754"/>
      <c r="CU431" s="1754">
        <f t="shared" si="84"/>
        <v>0</v>
      </c>
      <c r="CV431" s="1754"/>
      <c r="CW431" s="1754"/>
      <c r="CX431" s="1754">
        <f t="shared" si="85"/>
        <v>0</v>
      </c>
      <c r="CY431" s="1754"/>
      <c r="CZ431" s="1754"/>
      <c r="DA431" s="1754"/>
      <c r="DC431" s="383">
        <f>IF($BE431&gt;$R$66-3,94,0)</f>
        <v>94</v>
      </c>
      <c r="DD431" s="1754">
        <f t="shared" si="74"/>
        <v>0</v>
      </c>
      <c r="DE431" s="1754"/>
      <c r="DF431" s="1754"/>
      <c r="DG431" s="1754"/>
      <c r="DH431" s="1754">
        <f t="shared" si="93"/>
        <v>0</v>
      </c>
      <c r="DI431" s="1754"/>
      <c r="DJ431" s="1754"/>
      <c r="DK431" s="1754">
        <f t="shared" si="86"/>
        <v>0</v>
      </c>
      <c r="DL431" s="1754"/>
      <c r="DM431" s="1754"/>
      <c r="DN431" s="1754"/>
      <c r="DP431" s="383">
        <f t="shared" si="94"/>
        <v>94</v>
      </c>
      <c r="DQ431" s="1754">
        <f t="shared" si="95"/>
        <v>0</v>
      </c>
      <c r="DR431" s="1754"/>
      <c r="DS431" s="1754"/>
      <c r="DT431" s="1754"/>
      <c r="DU431" s="1754">
        <f t="shared" si="106"/>
        <v>0</v>
      </c>
      <c r="DV431" s="1754"/>
      <c r="DW431" s="1754"/>
      <c r="DX431" s="1754">
        <f t="shared" si="114"/>
        <v>0</v>
      </c>
      <c r="DY431" s="1754"/>
      <c r="DZ431" s="1754"/>
      <c r="EA431" s="1754">
        <f t="shared" si="115"/>
        <v>0</v>
      </c>
      <c r="EB431" s="1754"/>
      <c r="EC431" s="1754"/>
      <c r="ED431" s="1754"/>
      <c r="EE431" s="384"/>
      <c r="EF431" s="1750">
        <f t="shared" si="87"/>
        <v>0</v>
      </c>
      <c r="EG431" s="1751"/>
      <c r="EH431" s="1751"/>
      <c r="EI431" s="1751"/>
      <c r="EJ431" s="1752"/>
      <c r="EL431" s="1750">
        <f t="shared" si="116"/>
        <v>0</v>
      </c>
      <c r="EM431" s="1751"/>
      <c r="EN431" s="1751"/>
      <c r="EO431" s="1751"/>
      <c r="EP431" s="1752"/>
      <c r="ER431" s="1750">
        <f t="shared" si="88"/>
        <v>0</v>
      </c>
      <c r="ES431" s="1751"/>
      <c r="ET431" s="1751"/>
      <c r="EU431" s="1751"/>
      <c r="EV431" s="1752"/>
      <c r="EX431" s="1750">
        <f>IF(BE431&gt;0,Einstrahlung!$K$28*Kalkulation!$P$62/100*$AY$29*POWER((100-$P$64)/100,BD431-1),0)</f>
        <v>0</v>
      </c>
      <c r="EY431" s="1751"/>
      <c r="EZ431" s="1751"/>
      <c r="FA431" s="1751"/>
      <c r="FB431" s="1752"/>
      <c r="FD431" s="1750">
        <f t="shared" si="96"/>
        <v>0</v>
      </c>
      <c r="FE431" s="1751"/>
      <c r="FF431" s="1751"/>
      <c r="FG431" s="1751"/>
      <c r="FH431" s="1752"/>
      <c r="FI431" s="385"/>
      <c r="FJ431" s="380">
        <f t="shared" si="104"/>
        <v>0</v>
      </c>
      <c r="FK431" s="385"/>
      <c r="FL431" s="380">
        <f t="shared" si="122"/>
        <v>0</v>
      </c>
      <c r="FM431" s="385"/>
      <c r="FN431" s="380">
        <f t="shared" si="97"/>
        <v>0</v>
      </c>
      <c r="FO431" s="962">
        <f t="shared" si="102"/>
        <v>223</v>
      </c>
      <c r="FP431" s="956">
        <f t="shared" si="89"/>
        <v>0.4</v>
      </c>
      <c r="FQ431" s="380">
        <f t="shared" si="111"/>
        <v>0</v>
      </c>
      <c r="FR431" s="626">
        <f t="shared" si="123"/>
        <v>1</v>
      </c>
      <c r="FT431" s="1819">
        <f t="shared" si="103"/>
        <v>0</v>
      </c>
      <c r="FU431" s="1820"/>
      <c r="FV431" s="1820"/>
      <c r="FW431" s="1820"/>
      <c r="FX431" s="1821"/>
      <c r="FY431" s="1819">
        <f t="shared" si="98"/>
        <v>0</v>
      </c>
      <c r="FZ431" s="1820"/>
      <c r="GA431" s="1820"/>
      <c r="GB431" s="1821"/>
      <c r="GC431" s="1825">
        <f t="shared" si="117"/>
        <v>0</v>
      </c>
      <c r="GD431" s="1826"/>
      <c r="GE431" s="1826"/>
      <c r="GF431" s="1827"/>
      <c r="GH431" s="1750">
        <f t="shared" si="99"/>
        <v>0</v>
      </c>
      <c r="GI431" s="1751"/>
      <c r="GJ431" s="1751"/>
      <c r="GK431" s="1752"/>
      <c r="GL431" s="1750">
        <f t="shared" si="100"/>
        <v>0</v>
      </c>
      <c r="GM431" s="1751"/>
      <c r="GN431" s="1751"/>
      <c r="GO431" s="1752"/>
      <c r="GP431" s="385"/>
      <c r="GQ431" s="1750">
        <f t="shared" si="101"/>
        <v>0</v>
      </c>
      <c r="GR431" s="1751"/>
      <c r="GS431" s="1751"/>
      <c r="GT431" s="1752"/>
      <c r="GU431" s="192">
        <f t="shared" si="105"/>
        <v>1</v>
      </c>
      <c r="GV431" s="192">
        <f>SUM($GU$337:GU431)</f>
        <v>87</v>
      </c>
      <c r="GW431" s="318"/>
      <c r="HC431" s="380">
        <f t="shared" si="118"/>
        <v>0</v>
      </c>
      <c r="HX431" s="380"/>
    </row>
    <row r="432" spans="4:232">
      <c r="I432" s="402" t="s">
        <v>493</v>
      </c>
      <c r="J432" s="402"/>
      <c r="K432" s="402"/>
      <c r="L432" s="402"/>
      <c r="M432" s="402"/>
      <c r="N432" s="402"/>
      <c r="O432" s="402"/>
      <c r="P432" s="402"/>
      <c r="Q432" s="402"/>
      <c r="R432" s="402"/>
      <c r="S432" s="402"/>
      <c r="T432" s="402"/>
      <c r="U432" s="402"/>
      <c r="BD432" s="387">
        <f t="shared" si="119"/>
        <v>7</v>
      </c>
      <c r="BE432" s="382">
        <f>IF(BD432&gt;0,95,0)</f>
        <v>95</v>
      </c>
      <c r="BG432" s="383">
        <f>IF($BE432&gt;$R$66-3+($BR$335*12),95,0)</f>
        <v>95</v>
      </c>
      <c r="BH432" s="1754">
        <f t="shared" si="120"/>
        <v>0</v>
      </c>
      <c r="BI432" s="1754"/>
      <c r="BJ432" s="1754"/>
      <c r="BK432" s="1754"/>
      <c r="BL432" s="1754">
        <f t="shared" si="90"/>
        <v>0</v>
      </c>
      <c r="BM432" s="1754"/>
      <c r="BN432" s="1754"/>
      <c r="BO432" s="1754">
        <f t="shared" si="81"/>
        <v>0</v>
      </c>
      <c r="BP432" s="1754"/>
      <c r="BQ432" s="1754"/>
      <c r="BR432" s="1754">
        <f t="shared" si="121"/>
        <v>0</v>
      </c>
      <c r="BS432" s="1754"/>
      <c r="BT432" s="1754"/>
      <c r="BU432" s="1754"/>
      <c r="BW432" s="383">
        <f>IF($BE432&gt;$R$66-3+($CH$335*12),95,0)</f>
        <v>95</v>
      </c>
      <c r="BX432" s="1754">
        <f t="shared" si="72"/>
        <v>0</v>
      </c>
      <c r="BY432" s="1754"/>
      <c r="BZ432" s="1754"/>
      <c r="CA432" s="1754"/>
      <c r="CB432" s="1754">
        <f t="shared" si="91"/>
        <v>0</v>
      </c>
      <c r="CC432" s="1754"/>
      <c r="CD432" s="1754"/>
      <c r="CE432" s="1754">
        <f t="shared" si="82"/>
        <v>0</v>
      </c>
      <c r="CF432" s="1754"/>
      <c r="CG432" s="1754"/>
      <c r="CH432" s="1754">
        <f t="shared" si="83"/>
        <v>0</v>
      </c>
      <c r="CI432" s="1754"/>
      <c r="CJ432" s="1754"/>
      <c r="CK432" s="1754"/>
      <c r="CM432" s="383">
        <f>IF($BE432&gt;$R$66-3+($CX$335*12),95,0)</f>
        <v>95</v>
      </c>
      <c r="CN432" s="1754">
        <f t="shared" si="73"/>
        <v>0</v>
      </c>
      <c r="CO432" s="1754"/>
      <c r="CP432" s="1754"/>
      <c r="CQ432" s="1754"/>
      <c r="CR432" s="1754">
        <f t="shared" si="92"/>
        <v>0</v>
      </c>
      <c r="CS432" s="1754"/>
      <c r="CT432" s="1754"/>
      <c r="CU432" s="1754">
        <f t="shared" si="84"/>
        <v>0</v>
      </c>
      <c r="CV432" s="1754"/>
      <c r="CW432" s="1754"/>
      <c r="CX432" s="1754">
        <f t="shared" si="85"/>
        <v>0</v>
      </c>
      <c r="CY432" s="1754"/>
      <c r="CZ432" s="1754"/>
      <c r="DA432" s="1754"/>
      <c r="DC432" s="383">
        <f>IF($BE432&gt;$R$66-3,95,0)</f>
        <v>95</v>
      </c>
      <c r="DD432" s="1754">
        <f t="shared" si="74"/>
        <v>0</v>
      </c>
      <c r="DE432" s="1754"/>
      <c r="DF432" s="1754"/>
      <c r="DG432" s="1754"/>
      <c r="DH432" s="1754">
        <f t="shared" si="93"/>
        <v>0</v>
      </c>
      <c r="DI432" s="1754"/>
      <c r="DJ432" s="1754"/>
      <c r="DK432" s="1754">
        <f t="shared" si="86"/>
        <v>0</v>
      </c>
      <c r="DL432" s="1754"/>
      <c r="DM432" s="1754"/>
      <c r="DN432" s="1754"/>
      <c r="DP432" s="383">
        <f t="shared" si="94"/>
        <v>95</v>
      </c>
      <c r="DQ432" s="1754">
        <f t="shared" si="95"/>
        <v>0</v>
      </c>
      <c r="DR432" s="1754"/>
      <c r="DS432" s="1754"/>
      <c r="DT432" s="1754"/>
      <c r="DU432" s="1754">
        <f t="shared" si="106"/>
        <v>0</v>
      </c>
      <c r="DV432" s="1754"/>
      <c r="DW432" s="1754"/>
      <c r="DX432" s="1754">
        <f t="shared" si="114"/>
        <v>0</v>
      </c>
      <c r="DY432" s="1754"/>
      <c r="DZ432" s="1754"/>
      <c r="EA432" s="1754">
        <f t="shared" si="115"/>
        <v>0</v>
      </c>
      <c r="EB432" s="1754"/>
      <c r="EC432" s="1754"/>
      <c r="ED432" s="1754"/>
      <c r="EE432" s="384"/>
      <c r="EF432" s="1750">
        <f t="shared" si="87"/>
        <v>0</v>
      </c>
      <c r="EG432" s="1751"/>
      <c r="EH432" s="1751"/>
      <c r="EI432" s="1751"/>
      <c r="EJ432" s="1752"/>
      <c r="EL432" s="1750">
        <f t="shared" si="116"/>
        <v>0</v>
      </c>
      <c r="EM432" s="1751"/>
      <c r="EN432" s="1751"/>
      <c r="EO432" s="1751"/>
      <c r="EP432" s="1752"/>
      <c r="ER432" s="1750">
        <f t="shared" si="88"/>
        <v>0</v>
      </c>
      <c r="ES432" s="1751"/>
      <c r="ET432" s="1751"/>
      <c r="EU432" s="1751"/>
      <c r="EV432" s="1752"/>
      <c r="EX432" s="1750">
        <f>IF(BE432&gt;0,Einstrahlung!$K$30*Kalkulation!$P$62/100*$AY$29*POWER((100-$P$64)/100,BD432-1),0)</f>
        <v>0</v>
      </c>
      <c r="EY432" s="1751"/>
      <c r="EZ432" s="1751"/>
      <c r="FA432" s="1751"/>
      <c r="FB432" s="1752"/>
      <c r="FD432" s="1750">
        <f t="shared" si="96"/>
        <v>0</v>
      </c>
      <c r="FE432" s="1751"/>
      <c r="FF432" s="1751"/>
      <c r="FG432" s="1751"/>
      <c r="FH432" s="1752"/>
      <c r="FI432" s="385"/>
      <c r="FJ432" s="380">
        <f t="shared" si="104"/>
        <v>0</v>
      </c>
      <c r="FK432" s="385"/>
      <c r="FL432" s="380">
        <f t="shared" si="122"/>
        <v>0</v>
      </c>
      <c r="FM432" s="385"/>
      <c r="FN432" s="380">
        <f t="shared" si="97"/>
        <v>0</v>
      </c>
      <c r="FO432" s="962">
        <f t="shared" si="102"/>
        <v>224</v>
      </c>
      <c r="FP432" s="956">
        <f t="shared" si="89"/>
        <v>0.4</v>
      </c>
      <c r="FQ432" s="380">
        <f t="shared" si="111"/>
        <v>0</v>
      </c>
      <c r="FR432" s="626">
        <f t="shared" si="123"/>
        <v>1</v>
      </c>
      <c r="FT432" s="1819">
        <f t="shared" si="103"/>
        <v>0</v>
      </c>
      <c r="FU432" s="1820"/>
      <c r="FV432" s="1820"/>
      <c r="FW432" s="1820"/>
      <c r="FX432" s="1821"/>
      <c r="FY432" s="1819">
        <f t="shared" si="98"/>
        <v>0</v>
      </c>
      <c r="FZ432" s="1820"/>
      <c r="GA432" s="1820"/>
      <c r="GB432" s="1821"/>
      <c r="GC432" s="1825">
        <f t="shared" si="117"/>
        <v>0</v>
      </c>
      <c r="GD432" s="1826"/>
      <c r="GE432" s="1826"/>
      <c r="GF432" s="1827"/>
      <c r="GH432" s="1750">
        <f t="shared" si="99"/>
        <v>0</v>
      </c>
      <c r="GI432" s="1751"/>
      <c r="GJ432" s="1751"/>
      <c r="GK432" s="1752"/>
      <c r="GL432" s="1750">
        <f t="shared" si="100"/>
        <v>0</v>
      </c>
      <c r="GM432" s="1751"/>
      <c r="GN432" s="1751"/>
      <c r="GO432" s="1752"/>
      <c r="GP432" s="385"/>
      <c r="GQ432" s="1750">
        <f t="shared" si="101"/>
        <v>0</v>
      </c>
      <c r="GR432" s="1751"/>
      <c r="GS432" s="1751"/>
      <c r="GT432" s="1752"/>
      <c r="GU432" s="192">
        <f t="shared" si="105"/>
        <v>1</v>
      </c>
      <c r="GV432" s="192">
        <f>SUM($GU$337:GU432)</f>
        <v>88</v>
      </c>
      <c r="GW432" s="318"/>
      <c r="HC432" s="380">
        <f t="shared" si="118"/>
        <v>0</v>
      </c>
      <c r="HX432" s="380"/>
    </row>
    <row r="433" spans="6:232" ht="13.5" thickBot="1">
      <c r="I433" s="192" t="s">
        <v>485</v>
      </c>
      <c r="BD433" s="389">
        <f t="shared" si="119"/>
        <v>7</v>
      </c>
      <c r="BE433" s="390">
        <f>IF(BD433&gt;0,96,0)</f>
        <v>96</v>
      </c>
      <c r="BG433" s="391">
        <f>IF($BE433&gt;$R$66-3+($BR$335*12),96,0)</f>
        <v>96</v>
      </c>
      <c r="BH433" s="1753">
        <f t="shared" si="120"/>
        <v>0</v>
      </c>
      <c r="BI433" s="1753"/>
      <c r="BJ433" s="1753"/>
      <c r="BK433" s="1753"/>
      <c r="BL433" s="1753">
        <f t="shared" si="90"/>
        <v>0</v>
      </c>
      <c r="BM433" s="1753"/>
      <c r="BN433" s="1753"/>
      <c r="BO433" s="1753">
        <f t="shared" si="81"/>
        <v>0</v>
      </c>
      <c r="BP433" s="1753"/>
      <c r="BQ433" s="1753"/>
      <c r="BR433" s="1753">
        <f t="shared" si="121"/>
        <v>0</v>
      </c>
      <c r="BS433" s="1753"/>
      <c r="BT433" s="1753"/>
      <c r="BU433" s="1753"/>
      <c r="BW433" s="391">
        <f>IF($BE433&gt;$R$66-3+($CH$335*12),96,0)</f>
        <v>96</v>
      </c>
      <c r="BX433" s="1753">
        <f t="shared" si="72"/>
        <v>0</v>
      </c>
      <c r="BY433" s="1753"/>
      <c r="BZ433" s="1753"/>
      <c r="CA433" s="1753"/>
      <c r="CB433" s="1753">
        <f t="shared" si="91"/>
        <v>0</v>
      </c>
      <c r="CC433" s="1753"/>
      <c r="CD433" s="1753"/>
      <c r="CE433" s="1753">
        <f t="shared" si="82"/>
        <v>0</v>
      </c>
      <c r="CF433" s="1753"/>
      <c r="CG433" s="1753"/>
      <c r="CH433" s="1753">
        <f t="shared" si="83"/>
        <v>0</v>
      </c>
      <c r="CI433" s="1753"/>
      <c r="CJ433" s="1753"/>
      <c r="CK433" s="1753"/>
      <c r="CM433" s="391">
        <f>IF($BE433&gt;$R$66-3+($CX$335*12),96,0)</f>
        <v>96</v>
      </c>
      <c r="CN433" s="1753">
        <f t="shared" si="73"/>
        <v>0</v>
      </c>
      <c r="CO433" s="1753"/>
      <c r="CP433" s="1753"/>
      <c r="CQ433" s="1753"/>
      <c r="CR433" s="1753">
        <f t="shared" si="92"/>
        <v>0</v>
      </c>
      <c r="CS433" s="1753"/>
      <c r="CT433" s="1753"/>
      <c r="CU433" s="1753">
        <f t="shared" si="84"/>
        <v>0</v>
      </c>
      <c r="CV433" s="1753"/>
      <c r="CW433" s="1753"/>
      <c r="CX433" s="1753">
        <f t="shared" si="85"/>
        <v>0</v>
      </c>
      <c r="CY433" s="1753"/>
      <c r="CZ433" s="1753"/>
      <c r="DA433" s="1753"/>
      <c r="DC433" s="391">
        <f>IF($BE433&gt;$R$66-3,96,0)</f>
        <v>96</v>
      </c>
      <c r="DD433" s="1753">
        <f t="shared" si="74"/>
        <v>0</v>
      </c>
      <c r="DE433" s="1753"/>
      <c r="DF433" s="1753"/>
      <c r="DG433" s="1753"/>
      <c r="DH433" s="1753">
        <f t="shared" si="93"/>
        <v>0</v>
      </c>
      <c r="DI433" s="1753"/>
      <c r="DJ433" s="1753"/>
      <c r="DK433" s="1753">
        <f t="shared" si="86"/>
        <v>0</v>
      </c>
      <c r="DL433" s="1753"/>
      <c r="DM433" s="1753"/>
      <c r="DN433" s="1753"/>
      <c r="DP433" s="391">
        <f t="shared" si="94"/>
        <v>96</v>
      </c>
      <c r="DQ433" s="1753">
        <f t="shared" si="95"/>
        <v>0</v>
      </c>
      <c r="DR433" s="1753"/>
      <c r="DS433" s="1753"/>
      <c r="DT433" s="1753"/>
      <c r="DU433" s="1753">
        <f t="shared" si="106"/>
        <v>0</v>
      </c>
      <c r="DV433" s="1753"/>
      <c r="DW433" s="1753"/>
      <c r="DX433" s="1753">
        <f t="shared" si="114"/>
        <v>0</v>
      </c>
      <c r="DY433" s="1753"/>
      <c r="DZ433" s="1753"/>
      <c r="EA433" s="1753">
        <f t="shared" si="115"/>
        <v>0</v>
      </c>
      <c r="EB433" s="1753"/>
      <c r="EC433" s="1753"/>
      <c r="ED433" s="1753"/>
      <c r="EE433" s="384"/>
      <c r="EF433" s="1744">
        <f t="shared" si="87"/>
        <v>0</v>
      </c>
      <c r="EG433" s="1745"/>
      <c r="EH433" s="1745"/>
      <c r="EI433" s="1745"/>
      <c r="EJ433" s="1746"/>
      <c r="EL433" s="1744">
        <f t="shared" si="116"/>
        <v>0</v>
      </c>
      <c r="EM433" s="1745"/>
      <c r="EN433" s="1745"/>
      <c r="EO433" s="1745"/>
      <c r="EP433" s="1746"/>
      <c r="ER433" s="1744">
        <f t="shared" si="88"/>
        <v>0</v>
      </c>
      <c r="ES433" s="1745"/>
      <c r="ET433" s="1745"/>
      <c r="EU433" s="1745"/>
      <c r="EV433" s="1746"/>
      <c r="EX433" s="1744">
        <f>IF(BE433&gt;0,Einstrahlung!$K$32*Kalkulation!$P$62/100*$AY$29*POWER((100-$P$64)/100,BD433-1),0)</f>
        <v>0</v>
      </c>
      <c r="EY433" s="1745"/>
      <c r="EZ433" s="1745"/>
      <c r="FA433" s="1745"/>
      <c r="FB433" s="1746"/>
      <c r="FD433" s="1744">
        <f t="shared" si="96"/>
        <v>0</v>
      </c>
      <c r="FE433" s="1745"/>
      <c r="FF433" s="1745"/>
      <c r="FG433" s="1745"/>
      <c r="FH433" s="1746"/>
      <c r="FI433" s="385"/>
      <c r="FJ433" s="453">
        <f t="shared" si="104"/>
        <v>0</v>
      </c>
      <c r="FK433" s="385"/>
      <c r="FL433" s="453">
        <f t="shared" si="122"/>
        <v>0</v>
      </c>
      <c r="FM433" s="385"/>
      <c r="FN433" s="453">
        <f t="shared" si="97"/>
        <v>0</v>
      </c>
      <c r="FO433" s="962">
        <f t="shared" si="102"/>
        <v>225</v>
      </c>
      <c r="FP433" s="956">
        <f t="shared" si="89"/>
        <v>0.4</v>
      </c>
      <c r="FQ433" s="453">
        <f t="shared" si="111"/>
        <v>0</v>
      </c>
      <c r="FR433" s="957">
        <f>POWER(1+$FQ$333,FS433)</f>
        <v>1</v>
      </c>
      <c r="FS433" s="617">
        <f>FS421+1</f>
        <v>7</v>
      </c>
      <c r="FT433" s="1822">
        <f t="shared" si="103"/>
        <v>0</v>
      </c>
      <c r="FU433" s="1823"/>
      <c r="FV433" s="1823"/>
      <c r="FW433" s="1823"/>
      <c r="FX433" s="1824"/>
      <c r="FY433" s="1822">
        <f t="shared" si="98"/>
        <v>0</v>
      </c>
      <c r="FZ433" s="1823"/>
      <c r="GA433" s="1823"/>
      <c r="GB433" s="1824"/>
      <c r="GC433" s="1831">
        <f t="shared" si="117"/>
        <v>0</v>
      </c>
      <c r="GD433" s="1832"/>
      <c r="GE433" s="1832"/>
      <c r="GF433" s="1833"/>
      <c r="GH433" s="1744">
        <f t="shared" si="99"/>
        <v>0</v>
      </c>
      <c r="GI433" s="1745"/>
      <c r="GJ433" s="1745"/>
      <c r="GK433" s="1746"/>
      <c r="GL433" s="1744">
        <f t="shared" si="100"/>
        <v>0</v>
      </c>
      <c r="GM433" s="1745"/>
      <c r="GN433" s="1745"/>
      <c r="GO433" s="1746"/>
      <c r="GP433" s="385"/>
      <c r="GQ433" s="1744">
        <f t="shared" si="101"/>
        <v>0</v>
      </c>
      <c r="GR433" s="1745"/>
      <c r="GS433" s="1745"/>
      <c r="GT433" s="1746"/>
      <c r="GU433" s="192">
        <f t="shared" si="105"/>
        <v>1</v>
      </c>
      <c r="GV433" s="192">
        <f>SUM($GU$337:GU433)</f>
        <v>89</v>
      </c>
      <c r="GW433" s="318"/>
      <c r="HD433" s="380">
        <f t="shared" ref="HD433:HD444" si="124">IF(GV433=96,SUM(GQ422:GT433),0)</f>
        <v>0</v>
      </c>
      <c r="HX433" s="380"/>
    </row>
    <row r="434" spans="6:232">
      <c r="F434" s="192" t="s">
        <v>486</v>
      </c>
      <c r="Y434" s="247" t="s">
        <v>490</v>
      </c>
      <c r="Z434" s="247"/>
      <c r="AA434" s="247"/>
      <c r="AB434" s="251"/>
      <c r="AD434" s="247"/>
      <c r="AE434" s="247"/>
      <c r="AF434" s="247"/>
      <c r="AG434" s="247"/>
      <c r="AH434" s="247"/>
      <c r="AI434" s="247"/>
      <c r="AJ434" s="247"/>
      <c r="AK434" s="247"/>
      <c r="AL434" s="247"/>
      <c r="AM434" s="247"/>
      <c r="AN434" s="247"/>
      <c r="BD434" s="381">
        <f t="shared" ref="BD434:BD445" si="125">IF(BH434&lt;0,0,IF($V$21&gt;0,8,0))</f>
        <v>8</v>
      </c>
      <c r="BE434" s="382">
        <f>IF(BD434&gt;0,97,0)</f>
        <v>97</v>
      </c>
      <c r="BG434" s="395">
        <f>IF($BE434&gt;$R$66-3+($BR$335*12),97,0)</f>
        <v>97</v>
      </c>
      <c r="BH434" s="1754">
        <f t="shared" ref="BH434:BH445" si="126">IF(BR433&lt;=0,0,BR433)</f>
        <v>0</v>
      </c>
      <c r="BI434" s="1754"/>
      <c r="BJ434" s="1754"/>
      <c r="BK434" s="1754"/>
      <c r="BL434" s="1754">
        <f t="shared" si="90"/>
        <v>0</v>
      </c>
      <c r="BM434" s="1754"/>
      <c r="BN434" s="1754"/>
      <c r="BO434" s="1754">
        <f t="shared" si="81"/>
        <v>0</v>
      </c>
      <c r="BP434" s="1754"/>
      <c r="BQ434" s="1754"/>
      <c r="BR434" s="1754">
        <f t="shared" ref="BR434:BR445" si="127">BH434-BL434</f>
        <v>0</v>
      </c>
      <c r="BS434" s="1754"/>
      <c r="BT434" s="1754"/>
      <c r="BU434" s="1754"/>
      <c r="BW434" s="395">
        <f>IF($BE434&gt;$R$66-3+($CH$335*12),97,0)</f>
        <v>97</v>
      </c>
      <c r="BX434" s="1754">
        <f t="shared" si="72"/>
        <v>0</v>
      </c>
      <c r="BY434" s="1754"/>
      <c r="BZ434" s="1754"/>
      <c r="CA434" s="1754"/>
      <c r="CB434" s="1754">
        <f t="shared" si="91"/>
        <v>0</v>
      </c>
      <c r="CC434" s="1754"/>
      <c r="CD434" s="1754"/>
      <c r="CE434" s="1754">
        <f t="shared" si="82"/>
        <v>0</v>
      </c>
      <c r="CF434" s="1754"/>
      <c r="CG434" s="1754"/>
      <c r="CH434" s="1754">
        <f t="shared" si="83"/>
        <v>0</v>
      </c>
      <c r="CI434" s="1754"/>
      <c r="CJ434" s="1754"/>
      <c r="CK434" s="1754"/>
      <c r="CM434" s="395">
        <f>IF($BE434&gt;$R$66-3+($CX$335*12),97,0)</f>
        <v>97</v>
      </c>
      <c r="CN434" s="1754">
        <f t="shared" si="73"/>
        <v>0</v>
      </c>
      <c r="CO434" s="1754"/>
      <c r="CP434" s="1754"/>
      <c r="CQ434" s="1754"/>
      <c r="CR434" s="1754">
        <f t="shared" si="92"/>
        <v>0</v>
      </c>
      <c r="CS434" s="1754"/>
      <c r="CT434" s="1754"/>
      <c r="CU434" s="1754">
        <f t="shared" si="84"/>
        <v>0</v>
      </c>
      <c r="CV434" s="1754"/>
      <c r="CW434" s="1754"/>
      <c r="CX434" s="1754">
        <f t="shared" si="85"/>
        <v>0</v>
      </c>
      <c r="CY434" s="1754"/>
      <c r="CZ434" s="1754"/>
      <c r="DA434" s="1754"/>
      <c r="DC434" s="395">
        <f>IF($BE434&gt;$R$66-3,97,0)</f>
        <v>97</v>
      </c>
      <c r="DD434" s="1754">
        <f t="shared" si="74"/>
        <v>0</v>
      </c>
      <c r="DE434" s="1754"/>
      <c r="DF434" s="1754"/>
      <c r="DG434" s="1754"/>
      <c r="DH434" s="1754">
        <f t="shared" si="93"/>
        <v>0</v>
      </c>
      <c r="DI434" s="1754"/>
      <c r="DJ434" s="1754"/>
      <c r="DK434" s="1754">
        <f t="shared" si="86"/>
        <v>0</v>
      </c>
      <c r="DL434" s="1754"/>
      <c r="DM434" s="1754"/>
      <c r="DN434" s="1754"/>
      <c r="DP434" s="395">
        <f t="shared" si="94"/>
        <v>97</v>
      </c>
      <c r="DQ434" s="1754">
        <f t="shared" si="95"/>
        <v>0</v>
      </c>
      <c r="DR434" s="1754"/>
      <c r="DS434" s="1754"/>
      <c r="DT434" s="1754"/>
      <c r="DU434" s="1754">
        <f t="shared" si="106"/>
        <v>0</v>
      </c>
      <c r="DV434" s="1754"/>
      <c r="DW434" s="1754"/>
      <c r="DX434" s="1754">
        <f t="shared" si="114"/>
        <v>0</v>
      </c>
      <c r="DY434" s="1754"/>
      <c r="DZ434" s="1754"/>
      <c r="EA434" s="1754">
        <f t="shared" si="115"/>
        <v>0</v>
      </c>
      <c r="EB434" s="1754"/>
      <c r="EC434" s="1754"/>
      <c r="ED434" s="1754"/>
      <c r="EE434" s="384"/>
      <c r="EF434" s="1750">
        <f t="shared" si="87"/>
        <v>0</v>
      </c>
      <c r="EG434" s="1751"/>
      <c r="EH434" s="1751"/>
      <c r="EI434" s="1751"/>
      <c r="EJ434" s="1752"/>
      <c r="EL434" s="1750">
        <f t="shared" si="116"/>
        <v>0</v>
      </c>
      <c r="EM434" s="1751"/>
      <c r="EN434" s="1751"/>
      <c r="EO434" s="1751"/>
      <c r="EP434" s="1752"/>
      <c r="ER434" s="1750">
        <f t="shared" si="88"/>
        <v>0</v>
      </c>
      <c r="ES434" s="1751"/>
      <c r="ET434" s="1751"/>
      <c r="EU434" s="1751"/>
      <c r="EV434" s="1752"/>
      <c r="EX434" s="1750">
        <f>IF(BE434&gt;0,Einstrahlung!$K$10*Kalkulation!$P$62/100*$AY$29*POWER((100-$P$64)/100,BD434-1),0)</f>
        <v>0</v>
      </c>
      <c r="EY434" s="1751"/>
      <c r="EZ434" s="1751"/>
      <c r="FA434" s="1751"/>
      <c r="FB434" s="1752"/>
      <c r="FD434" s="1750">
        <f t="shared" si="96"/>
        <v>0</v>
      </c>
      <c r="FE434" s="1751"/>
      <c r="FF434" s="1751"/>
      <c r="FG434" s="1751"/>
      <c r="FH434" s="1752"/>
      <c r="FI434" s="385"/>
      <c r="FJ434" s="380">
        <f t="shared" si="104"/>
        <v>0</v>
      </c>
      <c r="FK434" s="385"/>
      <c r="FL434" s="380">
        <f>IF(BE434&gt;0,IF($FL$336&gt;SUM($EX$434:$FB$445),SUM($EX$434:$FB$445)/12,$FL$336/12),0)</f>
        <v>0</v>
      </c>
      <c r="FM434" s="385"/>
      <c r="FN434" s="380">
        <f t="shared" si="97"/>
        <v>0</v>
      </c>
      <c r="FO434" s="962">
        <f t="shared" si="102"/>
        <v>226</v>
      </c>
      <c r="FP434" s="956">
        <f t="shared" si="89"/>
        <v>0.4</v>
      </c>
      <c r="FQ434" s="380">
        <f t="shared" si="111"/>
        <v>0</v>
      </c>
      <c r="FR434" s="626">
        <f>IF(AND(GV434&gt;84,GV434&lt;=96),$FR$433,IF(AND(GV434&gt;96,GV434&lt;=108),$FR$445,0))</f>
        <v>1</v>
      </c>
      <c r="FT434" s="1819">
        <f t="shared" si="103"/>
        <v>0</v>
      </c>
      <c r="FU434" s="1820"/>
      <c r="FV434" s="1820"/>
      <c r="FW434" s="1820"/>
      <c r="FX434" s="1821"/>
      <c r="FY434" s="1819">
        <f t="shared" si="98"/>
        <v>0</v>
      </c>
      <c r="FZ434" s="1820"/>
      <c r="GA434" s="1820"/>
      <c r="GB434" s="1821"/>
      <c r="GC434" s="1825">
        <f t="shared" si="117"/>
        <v>0</v>
      </c>
      <c r="GD434" s="1826"/>
      <c r="GE434" s="1826"/>
      <c r="GF434" s="1827"/>
      <c r="GH434" s="1750">
        <f t="shared" si="99"/>
        <v>0</v>
      </c>
      <c r="GI434" s="1751"/>
      <c r="GJ434" s="1751"/>
      <c r="GK434" s="1751"/>
      <c r="GL434" s="1750">
        <f t="shared" si="100"/>
        <v>0</v>
      </c>
      <c r="GM434" s="1751"/>
      <c r="GN434" s="1751"/>
      <c r="GO434" s="1752"/>
      <c r="GP434" s="385"/>
      <c r="GQ434" s="1865">
        <f t="shared" si="101"/>
        <v>0</v>
      </c>
      <c r="GR434" s="1866"/>
      <c r="GS434" s="1866"/>
      <c r="GT434" s="1867"/>
      <c r="GU434" s="192">
        <f t="shared" si="105"/>
        <v>1</v>
      </c>
      <c r="GV434" s="192">
        <f>SUM($GU$337:GU434)</f>
        <v>90</v>
      </c>
      <c r="GW434" s="318"/>
      <c r="HD434" s="380">
        <f t="shared" si="124"/>
        <v>0</v>
      </c>
      <c r="HX434" s="380"/>
    </row>
    <row r="435" spans="6:232" ht="13.5" thickBot="1">
      <c r="N435" s="192" t="s">
        <v>487</v>
      </c>
      <c r="Y435" s="396"/>
      <c r="Z435" s="397"/>
      <c r="AA435" s="397"/>
      <c r="AB435" s="398"/>
      <c r="AC435" s="398"/>
      <c r="AD435" s="397"/>
      <c r="AE435" s="397"/>
      <c r="AF435" s="386" t="s">
        <v>559</v>
      </c>
      <c r="AG435" s="386"/>
      <c r="AH435" s="386"/>
      <c r="AI435" s="386"/>
      <c r="AJ435" s="386"/>
      <c r="AK435" s="386"/>
      <c r="AL435" s="386"/>
      <c r="AM435" s="386"/>
      <c r="AN435" s="386"/>
      <c r="AO435" s="386"/>
      <c r="AP435" s="518"/>
      <c r="AQ435" s="318"/>
      <c r="AR435" s="318"/>
      <c r="AS435" s="318"/>
      <c r="AT435" s="318"/>
      <c r="AU435" s="1614"/>
      <c r="AV435" s="1615"/>
      <c r="AW435" s="1615"/>
      <c r="AX435" s="1615"/>
      <c r="BD435" s="387">
        <f t="shared" si="125"/>
        <v>8</v>
      </c>
      <c r="BE435" s="382">
        <f>IF(BD435&gt;0,98,0)</f>
        <v>98</v>
      </c>
      <c r="BG435" s="383">
        <f>IF($BE435&gt;$R$66-3+($BR$335*12),98,0)</f>
        <v>98</v>
      </c>
      <c r="BH435" s="1754">
        <f t="shared" si="126"/>
        <v>0</v>
      </c>
      <c r="BI435" s="1754"/>
      <c r="BJ435" s="1754"/>
      <c r="BK435" s="1754"/>
      <c r="BL435" s="1754">
        <f t="shared" si="90"/>
        <v>0</v>
      </c>
      <c r="BM435" s="1754"/>
      <c r="BN435" s="1754"/>
      <c r="BO435" s="1754">
        <f t="shared" si="81"/>
        <v>0</v>
      </c>
      <c r="BP435" s="1754"/>
      <c r="BQ435" s="1754"/>
      <c r="BR435" s="1754">
        <f t="shared" si="127"/>
        <v>0</v>
      </c>
      <c r="BS435" s="1754"/>
      <c r="BT435" s="1754"/>
      <c r="BU435" s="1754"/>
      <c r="BW435" s="383">
        <f>IF($BE435&gt;$R$66-3+($CH$335*12),98,0)</f>
        <v>98</v>
      </c>
      <c r="BX435" s="1754">
        <f t="shared" si="72"/>
        <v>0</v>
      </c>
      <c r="BY435" s="1754"/>
      <c r="BZ435" s="1754"/>
      <c r="CA435" s="1754"/>
      <c r="CB435" s="1754">
        <f t="shared" si="91"/>
        <v>0</v>
      </c>
      <c r="CC435" s="1754"/>
      <c r="CD435" s="1754"/>
      <c r="CE435" s="1754">
        <f t="shared" si="82"/>
        <v>0</v>
      </c>
      <c r="CF435" s="1754"/>
      <c r="CG435" s="1754"/>
      <c r="CH435" s="1754">
        <f t="shared" si="83"/>
        <v>0</v>
      </c>
      <c r="CI435" s="1754"/>
      <c r="CJ435" s="1754"/>
      <c r="CK435" s="1754"/>
      <c r="CM435" s="383">
        <f>IF($BE435&gt;$R$66-3+($CX$335*12),98,0)</f>
        <v>98</v>
      </c>
      <c r="CN435" s="1754">
        <f t="shared" si="73"/>
        <v>0</v>
      </c>
      <c r="CO435" s="1754"/>
      <c r="CP435" s="1754"/>
      <c r="CQ435" s="1754"/>
      <c r="CR435" s="1754">
        <f t="shared" si="92"/>
        <v>0</v>
      </c>
      <c r="CS435" s="1754"/>
      <c r="CT435" s="1754"/>
      <c r="CU435" s="1754">
        <f t="shared" si="84"/>
        <v>0</v>
      </c>
      <c r="CV435" s="1754"/>
      <c r="CW435" s="1754"/>
      <c r="CX435" s="1754">
        <f t="shared" si="85"/>
        <v>0</v>
      </c>
      <c r="CY435" s="1754"/>
      <c r="CZ435" s="1754"/>
      <c r="DA435" s="1754"/>
      <c r="DC435" s="383">
        <f>IF($BE435&gt;$R$66-3,98,0)</f>
        <v>98</v>
      </c>
      <c r="DD435" s="1754">
        <f t="shared" si="74"/>
        <v>0</v>
      </c>
      <c r="DE435" s="1754"/>
      <c r="DF435" s="1754"/>
      <c r="DG435" s="1754"/>
      <c r="DH435" s="1754">
        <f t="shared" si="93"/>
        <v>0</v>
      </c>
      <c r="DI435" s="1754"/>
      <c r="DJ435" s="1754"/>
      <c r="DK435" s="1754">
        <f t="shared" si="86"/>
        <v>0</v>
      </c>
      <c r="DL435" s="1754"/>
      <c r="DM435" s="1754"/>
      <c r="DN435" s="1754"/>
      <c r="DP435" s="383">
        <f t="shared" si="94"/>
        <v>98</v>
      </c>
      <c r="DQ435" s="1754">
        <f t="shared" si="95"/>
        <v>0</v>
      </c>
      <c r="DR435" s="1754"/>
      <c r="DS435" s="1754"/>
      <c r="DT435" s="1754"/>
      <c r="DU435" s="1754">
        <f t="shared" si="106"/>
        <v>0</v>
      </c>
      <c r="DV435" s="1754"/>
      <c r="DW435" s="1754"/>
      <c r="DX435" s="1754">
        <f t="shared" si="114"/>
        <v>0</v>
      </c>
      <c r="DY435" s="1754"/>
      <c r="DZ435" s="1754"/>
      <c r="EA435" s="1754">
        <f t="shared" si="115"/>
        <v>0</v>
      </c>
      <c r="EB435" s="1754"/>
      <c r="EC435" s="1754"/>
      <c r="ED435" s="1754"/>
      <c r="EE435" s="384"/>
      <c r="EF435" s="1750">
        <f t="shared" si="87"/>
        <v>0</v>
      </c>
      <c r="EG435" s="1751"/>
      <c r="EH435" s="1751"/>
      <c r="EI435" s="1751"/>
      <c r="EJ435" s="1752"/>
      <c r="EL435" s="1750">
        <f t="shared" si="116"/>
        <v>0</v>
      </c>
      <c r="EM435" s="1751"/>
      <c r="EN435" s="1751"/>
      <c r="EO435" s="1751"/>
      <c r="EP435" s="1752"/>
      <c r="ER435" s="1750">
        <f t="shared" si="88"/>
        <v>0</v>
      </c>
      <c r="ES435" s="1751"/>
      <c r="ET435" s="1751"/>
      <c r="EU435" s="1751"/>
      <c r="EV435" s="1752"/>
      <c r="EX435" s="1750">
        <f>IF(BE435&gt;0,Einstrahlung!$K$12*Kalkulation!$P$62/100*$AY$29*POWER((100-$P$64)/100,BD435-1),0)</f>
        <v>0</v>
      </c>
      <c r="EY435" s="1751"/>
      <c r="EZ435" s="1751"/>
      <c r="FA435" s="1751"/>
      <c r="FB435" s="1752"/>
      <c r="FD435" s="1750">
        <f t="shared" si="96"/>
        <v>0</v>
      </c>
      <c r="FE435" s="1751"/>
      <c r="FF435" s="1751"/>
      <c r="FG435" s="1751"/>
      <c r="FH435" s="1752"/>
      <c r="FI435" s="385"/>
      <c r="FJ435" s="380">
        <f t="shared" si="104"/>
        <v>0</v>
      </c>
      <c r="FK435" s="385"/>
      <c r="FL435" s="380">
        <f t="shared" ref="FL435:FL445" si="128">IF(BE435&gt;0,IF($FL$336&gt;SUM($EX$434:$FB$445),SUM($EX$434:$FB$445)/12,$FL$336/12),0)</f>
        <v>0</v>
      </c>
      <c r="FM435" s="385"/>
      <c r="FN435" s="380">
        <f t="shared" si="97"/>
        <v>0</v>
      </c>
      <c r="FO435" s="962">
        <f t="shared" si="102"/>
        <v>227</v>
      </c>
      <c r="FP435" s="956">
        <f t="shared" si="89"/>
        <v>0.4</v>
      </c>
      <c r="FQ435" s="380">
        <f t="shared" si="111"/>
        <v>0</v>
      </c>
      <c r="FR435" s="626">
        <f t="shared" ref="FR435:FR444" si="129">IF(AND(GV435&gt;84,GV435&lt;=96),$FR$433,IF(AND(GV435&gt;96,GV435&lt;=108),$FR$445,0))</f>
        <v>1</v>
      </c>
      <c r="FT435" s="1819">
        <f t="shared" si="103"/>
        <v>0</v>
      </c>
      <c r="FU435" s="1820"/>
      <c r="FV435" s="1820"/>
      <c r="FW435" s="1820"/>
      <c r="FX435" s="1821"/>
      <c r="FY435" s="1819">
        <f t="shared" si="98"/>
        <v>0</v>
      </c>
      <c r="FZ435" s="1820"/>
      <c r="GA435" s="1820"/>
      <c r="GB435" s="1821"/>
      <c r="GC435" s="1825">
        <f t="shared" si="117"/>
        <v>0</v>
      </c>
      <c r="GD435" s="1826"/>
      <c r="GE435" s="1826"/>
      <c r="GF435" s="1827"/>
      <c r="GH435" s="1750">
        <f t="shared" si="99"/>
        <v>0</v>
      </c>
      <c r="GI435" s="1751"/>
      <c r="GJ435" s="1751"/>
      <c r="GK435" s="1752"/>
      <c r="GL435" s="1750">
        <f t="shared" si="100"/>
        <v>0</v>
      </c>
      <c r="GM435" s="1751"/>
      <c r="GN435" s="1751"/>
      <c r="GO435" s="1752"/>
      <c r="GP435" s="385"/>
      <c r="GQ435" s="1750">
        <f t="shared" si="101"/>
        <v>0</v>
      </c>
      <c r="GR435" s="1751"/>
      <c r="GS435" s="1751"/>
      <c r="GT435" s="1752"/>
      <c r="GU435" s="192">
        <f t="shared" si="105"/>
        <v>1</v>
      </c>
      <c r="GV435" s="192">
        <f>SUM($GU$337:GU435)</f>
        <v>91</v>
      </c>
      <c r="GW435" s="318"/>
      <c r="HD435" s="380">
        <f t="shared" si="124"/>
        <v>0</v>
      </c>
      <c r="HX435" s="380"/>
    </row>
    <row r="436" spans="6:232" ht="13.5" thickBot="1">
      <c r="F436" s="246" t="s">
        <v>391</v>
      </c>
      <c r="H436" s="246" t="s">
        <v>478</v>
      </c>
      <c r="N436" s="1676">
        <f>-T33</f>
        <v>0</v>
      </c>
      <c r="O436" s="1677"/>
      <c r="P436" s="1677"/>
      <c r="Q436" s="1677"/>
      <c r="R436" s="1678"/>
      <c r="S436" s="192" t="s">
        <v>502</v>
      </c>
      <c r="Y436" s="409" t="s">
        <v>391</v>
      </c>
      <c r="Z436" s="247"/>
      <c r="AA436" s="247"/>
      <c r="AB436" s="251"/>
      <c r="AD436" s="247"/>
      <c r="AE436" s="247"/>
      <c r="AF436" s="247"/>
      <c r="AG436" s="247"/>
      <c r="AH436" s="247"/>
      <c r="AI436" s="247"/>
      <c r="AJ436" s="247"/>
      <c r="AK436" s="247"/>
      <c r="AL436" s="247"/>
      <c r="AM436" s="247"/>
      <c r="AN436" s="247"/>
      <c r="AO436" s="247"/>
      <c r="AP436" s="314" t="s">
        <v>560</v>
      </c>
      <c r="AQ436" s="247"/>
      <c r="AR436" s="247"/>
      <c r="AS436" s="247"/>
      <c r="AT436" s="247"/>
      <c r="AU436" s="1614"/>
      <c r="AV436" s="1615"/>
      <c r="AW436" s="1615"/>
      <c r="AX436" s="1615"/>
      <c r="BD436" s="387">
        <f t="shared" si="125"/>
        <v>8</v>
      </c>
      <c r="BE436" s="382">
        <f>IF(BD436&gt;0,99,0)</f>
        <v>99</v>
      </c>
      <c r="BG436" s="383">
        <f>IF($BE436&gt;$R$66-3+($BR$335*12),99,0)</f>
        <v>99</v>
      </c>
      <c r="BH436" s="1754">
        <f t="shared" si="126"/>
        <v>0</v>
      </c>
      <c r="BI436" s="1754"/>
      <c r="BJ436" s="1754"/>
      <c r="BK436" s="1754"/>
      <c r="BL436" s="1754">
        <f t="shared" si="90"/>
        <v>0</v>
      </c>
      <c r="BM436" s="1754"/>
      <c r="BN436" s="1754"/>
      <c r="BO436" s="1754">
        <f t="shared" si="81"/>
        <v>0</v>
      </c>
      <c r="BP436" s="1754"/>
      <c r="BQ436" s="1754"/>
      <c r="BR436" s="1754">
        <f t="shared" si="127"/>
        <v>0</v>
      </c>
      <c r="BS436" s="1754"/>
      <c r="BT436" s="1754"/>
      <c r="BU436" s="1754"/>
      <c r="BW436" s="383">
        <f>IF($BE436&gt;$R$66-3+($CH$335*12),99,0)</f>
        <v>99</v>
      </c>
      <c r="BX436" s="1754">
        <f t="shared" si="72"/>
        <v>0</v>
      </c>
      <c r="BY436" s="1754"/>
      <c r="BZ436" s="1754"/>
      <c r="CA436" s="1754"/>
      <c r="CB436" s="1754">
        <f t="shared" si="91"/>
        <v>0</v>
      </c>
      <c r="CC436" s="1754"/>
      <c r="CD436" s="1754"/>
      <c r="CE436" s="1754">
        <f t="shared" si="82"/>
        <v>0</v>
      </c>
      <c r="CF436" s="1754"/>
      <c r="CG436" s="1754"/>
      <c r="CH436" s="1754">
        <f t="shared" si="83"/>
        <v>0</v>
      </c>
      <c r="CI436" s="1754"/>
      <c r="CJ436" s="1754"/>
      <c r="CK436" s="1754"/>
      <c r="CM436" s="383">
        <f>IF($BE436&gt;$R$66-3+($CX$335*12),99,0)</f>
        <v>99</v>
      </c>
      <c r="CN436" s="1754">
        <f t="shared" si="73"/>
        <v>0</v>
      </c>
      <c r="CO436" s="1754"/>
      <c r="CP436" s="1754"/>
      <c r="CQ436" s="1754"/>
      <c r="CR436" s="1754">
        <f t="shared" si="92"/>
        <v>0</v>
      </c>
      <c r="CS436" s="1754"/>
      <c r="CT436" s="1754"/>
      <c r="CU436" s="1754">
        <f t="shared" si="84"/>
        <v>0</v>
      </c>
      <c r="CV436" s="1754"/>
      <c r="CW436" s="1754"/>
      <c r="CX436" s="1754">
        <f t="shared" si="85"/>
        <v>0</v>
      </c>
      <c r="CY436" s="1754"/>
      <c r="CZ436" s="1754"/>
      <c r="DA436" s="1754"/>
      <c r="DC436" s="383">
        <f>IF($BE436&gt;$R$66-3,99,0)</f>
        <v>99</v>
      </c>
      <c r="DD436" s="1754">
        <f t="shared" si="74"/>
        <v>0</v>
      </c>
      <c r="DE436" s="1754"/>
      <c r="DF436" s="1754"/>
      <c r="DG436" s="1754"/>
      <c r="DH436" s="1754">
        <f t="shared" si="93"/>
        <v>0</v>
      </c>
      <c r="DI436" s="1754"/>
      <c r="DJ436" s="1754"/>
      <c r="DK436" s="1754">
        <f t="shared" si="86"/>
        <v>0</v>
      </c>
      <c r="DL436" s="1754"/>
      <c r="DM436" s="1754"/>
      <c r="DN436" s="1754"/>
      <c r="DP436" s="383">
        <f t="shared" si="94"/>
        <v>99</v>
      </c>
      <c r="DQ436" s="1754">
        <f t="shared" si="95"/>
        <v>0</v>
      </c>
      <c r="DR436" s="1754"/>
      <c r="DS436" s="1754"/>
      <c r="DT436" s="1754"/>
      <c r="DU436" s="1754">
        <f t="shared" si="106"/>
        <v>0</v>
      </c>
      <c r="DV436" s="1754"/>
      <c r="DW436" s="1754"/>
      <c r="DX436" s="1754">
        <f t="shared" si="114"/>
        <v>0</v>
      </c>
      <c r="DY436" s="1754"/>
      <c r="DZ436" s="1754"/>
      <c r="EA436" s="1754">
        <f t="shared" si="115"/>
        <v>0</v>
      </c>
      <c r="EB436" s="1754"/>
      <c r="EC436" s="1754"/>
      <c r="ED436" s="1754"/>
      <c r="EE436" s="384"/>
      <c r="EF436" s="1750">
        <f t="shared" si="87"/>
        <v>0</v>
      </c>
      <c r="EG436" s="1751"/>
      <c r="EH436" s="1751"/>
      <c r="EI436" s="1751"/>
      <c r="EJ436" s="1752"/>
      <c r="EL436" s="1750">
        <f t="shared" si="116"/>
        <v>0</v>
      </c>
      <c r="EM436" s="1751"/>
      <c r="EN436" s="1751"/>
      <c r="EO436" s="1751"/>
      <c r="EP436" s="1752"/>
      <c r="ER436" s="1750">
        <f t="shared" si="88"/>
        <v>0</v>
      </c>
      <c r="ES436" s="1751"/>
      <c r="ET436" s="1751"/>
      <c r="EU436" s="1751"/>
      <c r="EV436" s="1752"/>
      <c r="EX436" s="1750">
        <f>IF(BE436&gt;0,Einstrahlung!$K$14*Kalkulation!$P$62/100*$AY$29*POWER((100-$P$64)/100,BD436-1),0)</f>
        <v>0</v>
      </c>
      <c r="EY436" s="1751"/>
      <c r="EZ436" s="1751"/>
      <c r="FA436" s="1751"/>
      <c r="FB436" s="1752"/>
      <c r="FD436" s="1750">
        <f t="shared" si="96"/>
        <v>0</v>
      </c>
      <c r="FE436" s="1751"/>
      <c r="FF436" s="1751"/>
      <c r="FG436" s="1751"/>
      <c r="FH436" s="1752"/>
      <c r="FI436" s="385"/>
      <c r="FJ436" s="380">
        <f t="shared" si="104"/>
        <v>0</v>
      </c>
      <c r="FK436" s="385"/>
      <c r="FL436" s="380">
        <f t="shared" si="128"/>
        <v>0</v>
      </c>
      <c r="FM436" s="385"/>
      <c r="FN436" s="380">
        <f t="shared" si="97"/>
        <v>0</v>
      </c>
      <c r="FO436" s="962">
        <f t="shared" si="102"/>
        <v>228</v>
      </c>
      <c r="FP436" s="956">
        <f t="shared" si="89"/>
        <v>0.4</v>
      </c>
      <c r="FQ436" s="380">
        <f t="shared" si="111"/>
        <v>0</v>
      </c>
      <c r="FR436" s="626">
        <f t="shared" si="129"/>
        <v>1</v>
      </c>
      <c r="FT436" s="1819">
        <f t="shared" si="103"/>
        <v>0</v>
      </c>
      <c r="FU436" s="1820"/>
      <c r="FV436" s="1820"/>
      <c r="FW436" s="1820"/>
      <c r="FX436" s="1821"/>
      <c r="FY436" s="1819">
        <f t="shared" si="98"/>
        <v>0</v>
      </c>
      <c r="FZ436" s="1820"/>
      <c r="GA436" s="1820"/>
      <c r="GB436" s="1821"/>
      <c r="GC436" s="1825">
        <f t="shared" si="117"/>
        <v>0</v>
      </c>
      <c r="GD436" s="1826"/>
      <c r="GE436" s="1826"/>
      <c r="GF436" s="1827"/>
      <c r="GH436" s="1750">
        <f t="shared" si="99"/>
        <v>0</v>
      </c>
      <c r="GI436" s="1751"/>
      <c r="GJ436" s="1751"/>
      <c r="GK436" s="1752"/>
      <c r="GL436" s="1750">
        <f t="shared" si="100"/>
        <v>0</v>
      </c>
      <c r="GM436" s="1751"/>
      <c r="GN436" s="1751"/>
      <c r="GO436" s="1752"/>
      <c r="GP436" s="385"/>
      <c r="GQ436" s="1750">
        <f t="shared" si="101"/>
        <v>0</v>
      </c>
      <c r="GR436" s="1751"/>
      <c r="GS436" s="1751"/>
      <c r="GT436" s="1752"/>
      <c r="GU436" s="192">
        <f t="shared" si="105"/>
        <v>1</v>
      </c>
      <c r="GV436" s="192">
        <f>SUM($GU$337:GU436)</f>
        <v>92</v>
      </c>
      <c r="GW436" s="318"/>
      <c r="HD436" s="380">
        <f t="shared" si="124"/>
        <v>0</v>
      </c>
      <c r="HX436" s="380"/>
    </row>
    <row r="437" spans="6:232">
      <c r="F437" s="410" t="s">
        <v>192</v>
      </c>
      <c r="H437" s="1723">
        <f>IF($V$21&gt;=0,GW337,0)</f>
        <v>0</v>
      </c>
      <c r="I437" s="1724"/>
      <c r="J437" s="1724"/>
      <c r="K437" s="1724"/>
      <c r="L437" s="1725"/>
      <c r="N437" s="1602">
        <f>H437</f>
        <v>0</v>
      </c>
      <c r="O437" s="1603"/>
      <c r="P437" s="1603"/>
      <c r="Q437" s="1603"/>
      <c r="R437" s="1604"/>
      <c r="Y437" s="411" t="s">
        <v>67</v>
      </c>
      <c r="Z437" s="247"/>
      <c r="AA437" s="247"/>
      <c r="AB437" s="251"/>
      <c r="AD437" s="247"/>
      <c r="AE437" s="247"/>
      <c r="AF437" s="247"/>
      <c r="AG437" s="247"/>
      <c r="AH437" s="247"/>
      <c r="AI437" s="247"/>
      <c r="AJ437" s="247"/>
      <c r="AK437" s="247"/>
      <c r="AL437" s="247"/>
      <c r="AM437" s="247"/>
      <c r="AN437" s="247"/>
      <c r="AO437" s="247"/>
      <c r="AP437" s="412">
        <f>AA245</f>
        <v>0</v>
      </c>
      <c r="AQ437" s="428"/>
      <c r="AR437" s="428"/>
      <c r="AS437" s="428"/>
      <c r="AT437" s="428"/>
      <c r="AU437" s="1614"/>
      <c r="AV437" s="1615"/>
      <c r="AW437" s="1615"/>
      <c r="AX437" s="1615"/>
      <c r="BD437" s="387">
        <f t="shared" si="125"/>
        <v>8</v>
      </c>
      <c r="BE437" s="382">
        <f>IF(BD437&gt;0,100,0)</f>
        <v>100</v>
      </c>
      <c r="BG437" s="383">
        <f>IF($BE437&gt;$R$66-3+($BR$335*12),100,0)</f>
        <v>100</v>
      </c>
      <c r="BH437" s="1754">
        <f t="shared" si="126"/>
        <v>0</v>
      </c>
      <c r="BI437" s="1754"/>
      <c r="BJ437" s="1754"/>
      <c r="BK437" s="1754"/>
      <c r="BL437" s="1754">
        <f t="shared" si="90"/>
        <v>0</v>
      </c>
      <c r="BM437" s="1754"/>
      <c r="BN437" s="1754"/>
      <c r="BO437" s="1754">
        <f t="shared" si="81"/>
        <v>0</v>
      </c>
      <c r="BP437" s="1754"/>
      <c r="BQ437" s="1754"/>
      <c r="BR437" s="1754">
        <f t="shared" si="127"/>
        <v>0</v>
      </c>
      <c r="BS437" s="1754"/>
      <c r="BT437" s="1754"/>
      <c r="BU437" s="1754"/>
      <c r="BW437" s="383">
        <f>IF($BE437&gt;$R$66-3+($CH$335*12),100,0)</f>
        <v>100</v>
      </c>
      <c r="BX437" s="1754">
        <f t="shared" si="72"/>
        <v>0</v>
      </c>
      <c r="BY437" s="1754"/>
      <c r="BZ437" s="1754"/>
      <c r="CA437" s="1754"/>
      <c r="CB437" s="1754">
        <f t="shared" si="91"/>
        <v>0</v>
      </c>
      <c r="CC437" s="1754"/>
      <c r="CD437" s="1754"/>
      <c r="CE437" s="1754">
        <f t="shared" si="82"/>
        <v>0</v>
      </c>
      <c r="CF437" s="1754"/>
      <c r="CG437" s="1754"/>
      <c r="CH437" s="1754">
        <f t="shared" si="83"/>
        <v>0</v>
      </c>
      <c r="CI437" s="1754"/>
      <c r="CJ437" s="1754"/>
      <c r="CK437" s="1754"/>
      <c r="CM437" s="383">
        <f>IF($BE437&gt;$R$66-3+($CX$335*12),100,0)</f>
        <v>100</v>
      </c>
      <c r="CN437" s="1754">
        <f t="shared" si="73"/>
        <v>0</v>
      </c>
      <c r="CO437" s="1754"/>
      <c r="CP437" s="1754"/>
      <c r="CQ437" s="1754"/>
      <c r="CR437" s="1754">
        <f t="shared" si="92"/>
        <v>0</v>
      </c>
      <c r="CS437" s="1754"/>
      <c r="CT437" s="1754"/>
      <c r="CU437" s="1754">
        <f t="shared" si="84"/>
        <v>0</v>
      </c>
      <c r="CV437" s="1754"/>
      <c r="CW437" s="1754"/>
      <c r="CX437" s="1754">
        <f t="shared" si="85"/>
        <v>0</v>
      </c>
      <c r="CY437" s="1754"/>
      <c r="CZ437" s="1754"/>
      <c r="DA437" s="1754"/>
      <c r="DC437" s="383">
        <f>IF($BE437&gt;$R$66-3,100,0)</f>
        <v>100</v>
      </c>
      <c r="DD437" s="1754">
        <f t="shared" si="74"/>
        <v>0</v>
      </c>
      <c r="DE437" s="1754"/>
      <c r="DF437" s="1754"/>
      <c r="DG437" s="1754"/>
      <c r="DH437" s="1754">
        <f t="shared" si="93"/>
        <v>0</v>
      </c>
      <c r="DI437" s="1754"/>
      <c r="DJ437" s="1754"/>
      <c r="DK437" s="1754">
        <f t="shared" si="86"/>
        <v>0</v>
      </c>
      <c r="DL437" s="1754"/>
      <c r="DM437" s="1754"/>
      <c r="DN437" s="1754"/>
      <c r="DP437" s="383">
        <f t="shared" si="94"/>
        <v>100</v>
      </c>
      <c r="DQ437" s="1754">
        <f t="shared" si="95"/>
        <v>0</v>
      </c>
      <c r="DR437" s="1754"/>
      <c r="DS437" s="1754"/>
      <c r="DT437" s="1754"/>
      <c r="DU437" s="1754">
        <f t="shared" si="106"/>
        <v>0</v>
      </c>
      <c r="DV437" s="1754"/>
      <c r="DW437" s="1754"/>
      <c r="DX437" s="1754">
        <f t="shared" si="114"/>
        <v>0</v>
      </c>
      <c r="DY437" s="1754"/>
      <c r="DZ437" s="1754"/>
      <c r="EA437" s="1754">
        <f t="shared" si="115"/>
        <v>0</v>
      </c>
      <c r="EB437" s="1754"/>
      <c r="EC437" s="1754"/>
      <c r="ED437" s="1754"/>
      <c r="EE437" s="384"/>
      <c r="EF437" s="1750">
        <f t="shared" si="87"/>
        <v>0</v>
      </c>
      <c r="EG437" s="1751"/>
      <c r="EH437" s="1751"/>
      <c r="EI437" s="1751"/>
      <c r="EJ437" s="1752"/>
      <c r="EL437" s="1750">
        <f t="shared" si="116"/>
        <v>0</v>
      </c>
      <c r="EM437" s="1751"/>
      <c r="EN437" s="1751"/>
      <c r="EO437" s="1751"/>
      <c r="EP437" s="1752"/>
      <c r="ER437" s="1750">
        <f t="shared" si="88"/>
        <v>0</v>
      </c>
      <c r="ES437" s="1751"/>
      <c r="ET437" s="1751"/>
      <c r="EU437" s="1751"/>
      <c r="EV437" s="1752"/>
      <c r="EX437" s="1750">
        <f>IF(BE437&gt;0,Einstrahlung!$K$16*Kalkulation!$P$62/100*$AY$29*POWER((100-$P$64)/100,BD437-1),0)</f>
        <v>0</v>
      </c>
      <c r="EY437" s="1751"/>
      <c r="EZ437" s="1751"/>
      <c r="FA437" s="1751"/>
      <c r="FB437" s="1752"/>
      <c r="FD437" s="1750">
        <f t="shared" si="96"/>
        <v>0</v>
      </c>
      <c r="FE437" s="1751"/>
      <c r="FF437" s="1751"/>
      <c r="FG437" s="1751"/>
      <c r="FH437" s="1752"/>
      <c r="FI437" s="385"/>
      <c r="FJ437" s="380">
        <f t="shared" si="104"/>
        <v>0</v>
      </c>
      <c r="FK437" s="385"/>
      <c r="FL437" s="380">
        <f t="shared" si="128"/>
        <v>0</v>
      </c>
      <c r="FM437" s="385"/>
      <c r="FN437" s="380">
        <f t="shared" si="97"/>
        <v>0</v>
      </c>
      <c r="FO437" s="962">
        <f t="shared" si="102"/>
        <v>229</v>
      </c>
      <c r="FP437" s="956">
        <f t="shared" si="89"/>
        <v>0.4</v>
      </c>
      <c r="FQ437" s="380">
        <f t="shared" si="111"/>
        <v>0</v>
      </c>
      <c r="FR437" s="626">
        <f t="shared" si="129"/>
        <v>1</v>
      </c>
      <c r="FT437" s="1819">
        <f t="shared" si="103"/>
        <v>0</v>
      </c>
      <c r="FU437" s="1820"/>
      <c r="FV437" s="1820"/>
      <c r="FW437" s="1820"/>
      <c r="FX437" s="1821"/>
      <c r="FY437" s="1819">
        <f t="shared" si="98"/>
        <v>0</v>
      </c>
      <c r="FZ437" s="1820"/>
      <c r="GA437" s="1820"/>
      <c r="GB437" s="1821"/>
      <c r="GC437" s="1825">
        <f t="shared" si="117"/>
        <v>0</v>
      </c>
      <c r="GD437" s="1826"/>
      <c r="GE437" s="1826"/>
      <c r="GF437" s="1827"/>
      <c r="GH437" s="1750">
        <f t="shared" si="99"/>
        <v>0</v>
      </c>
      <c r="GI437" s="1751"/>
      <c r="GJ437" s="1751"/>
      <c r="GK437" s="1752"/>
      <c r="GL437" s="1750">
        <f t="shared" si="100"/>
        <v>0</v>
      </c>
      <c r="GM437" s="1751"/>
      <c r="GN437" s="1751"/>
      <c r="GO437" s="1752"/>
      <c r="GP437" s="385"/>
      <c r="GQ437" s="1750">
        <f t="shared" si="101"/>
        <v>0</v>
      </c>
      <c r="GR437" s="1751"/>
      <c r="GS437" s="1751"/>
      <c r="GT437" s="1752"/>
      <c r="GU437" s="192">
        <f t="shared" si="105"/>
        <v>1</v>
      </c>
      <c r="GV437" s="192">
        <f>SUM($GU$337:GU437)</f>
        <v>93</v>
      </c>
      <c r="GW437" s="318"/>
      <c r="HD437" s="380">
        <f t="shared" si="124"/>
        <v>0</v>
      </c>
      <c r="HX437" s="380"/>
    </row>
    <row r="438" spans="6:232">
      <c r="F438" s="413" t="s">
        <v>193</v>
      </c>
      <c r="H438" s="1599">
        <f>IF(D247&gt;0,GX337,0)</f>
        <v>0</v>
      </c>
      <c r="I438" s="1600"/>
      <c r="J438" s="1600"/>
      <c r="K438" s="1600"/>
      <c r="L438" s="1601"/>
      <c r="N438" s="1602">
        <f>H438</f>
        <v>0</v>
      </c>
      <c r="O438" s="1603"/>
      <c r="P438" s="1603"/>
      <c r="Q438" s="1603"/>
      <c r="R438" s="1604"/>
      <c r="S438" s="372"/>
      <c r="Y438" s="409">
        <v>1</v>
      </c>
      <c r="Z438" s="247"/>
      <c r="AA438" s="247"/>
      <c r="AB438" s="251"/>
      <c r="AD438" s="247"/>
      <c r="AE438" s="247"/>
      <c r="AF438" s="247"/>
      <c r="AG438" s="247"/>
      <c r="AH438" s="247"/>
      <c r="AI438" s="247"/>
      <c r="AJ438" s="247"/>
      <c r="AK438" s="247"/>
      <c r="AL438" s="247"/>
      <c r="AM438" s="247"/>
      <c r="AN438" s="247"/>
      <c r="AO438" s="247"/>
      <c r="AP438" s="412">
        <f>AA247</f>
        <v>0</v>
      </c>
      <c r="AQ438" s="428"/>
      <c r="AR438" s="428"/>
      <c r="AS438" s="428"/>
      <c r="AT438" s="428"/>
      <c r="AU438" s="1614"/>
      <c r="AV438" s="1615"/>
      <c r="AW438" s="1615"/>
      <c r="AX438" s="1615"/>
      <c r="BD438" s="387">
        <f t="shared" si="125"/>
        <v>8</v>
      </c>
      <c r="BE438" s="382">
        <f>IF(BD438&gt;0,101,0)</f>
        <v>101</v>
      </c>
      <c r="BG438" s="383">
        <f>IF($BE438&gt;$R$66-3+($BR$335*12),101,0)</f>
        <v>101</v>
      </c>
      <c r="BH438" s="1754">
        <f t="shared" si="126"/>
        <v>0</v>
      </c>
      <c r="BI438" s="1754"/>
      <c r="BJ438" s="1754"/>
      <c r="BK438" s="1754"/>
      <c r="BL438" s="1754">
        <f t="shared" si="90"/>
        <v>0</v>
      </c>
      <c r="BM438" s="1754"/>
      <c r="BN438" s="1754"/>
      <c r="BO438" s="1754">
        <f t="shared" si="81"/>
        <v>0</v>
      </c>
      <c r="BP438" s="1754"/>
      <c r="BQ438" s="1754"/>
      <c r="BR438" s="1754">
        <f t="shared" si="127"/>
        <v>0</v>
      </c>
      <c r="BS438" s="1754"/>
      <c r="BT438" s="1754"/>
      <c r="BU438" s="1754"/>
      <c r="BW438" s="383">
        <f>IF($BE438&gt;$R$66-3+($CH$335*12),101,0)</f>
        <v>101</v>
      </c>
      <c r="BX438" s="1754">
        <f t="shared" si="72"/>
        <v>0</v>
      </c>
      <c r="BY438" s="1754"/>
      <c r="BZ438" s="1754"/>
      <c r="CA438" s="1754"/>
      <c r="CB438" s="1754">
        <f t="shared" si="91"/>
        <v>0</v>
      </c>
      <c r="CC438" s="1754"/>
      <c r="CD438" s="1754"/>
      <c r="CE438" s="1754">
        <f t="shared" si="82"/>
        <v>0</v>
      </c>
      <c r="CF438" s="1754"/>
      <c r="CG438" s="1754"/>
      <c r="CH438" s="1754">
        <f t="shared" si="83"/>
        <v>0</v>
      </c>
      <c r="CI438" s="1754"/>
      <c r="CJ438" s="1754"/>
      <c r="CK438" s="1754"/>
      <c r="CM438" s="383">
        <f>IF($BE438&gt;$R$66-3+($CX$335*12),101,0)</f>
        <v>101</v>
      </c>
      <c r="CN438" s="1754">
        <f t="shared" si="73"/>
        <v>0</v>
      </c>
      <c r="CO438" s="1754"/>
      <c r="CP438" s="1754"/>
      <c r="CQ438" s="1754"/>
      <c r="CR438" s="1754">
        <f t="shared" si="92"/>
        <v>0</v>
      </c>
      <c r="CS438" s="1754"/>
      <c r="CT438" s="1754"/>
      <c r="CU438" s="1754">
        <f t="shared" si="84"/>
        <v>0</v>
      </c>
      <c r="CV438" s="1754"/>
      <c r="CW438" s="1754"/>
      <c r="CX438" s="1754">
        <f t="shared" si="85"/>
        <v>0</v>
      </c>
      <c r="CY438" s="1754"/>
      <c r="CZ438" s="1754"/>
      <c r="DA438" s="1754"/>
      <c r="DC438" s="383">
        <f>IF($BE438&gt;$R$66-3,101,0)</f>
        <v>101</v>
      </c>
      <c r="DD438" s="1754">
        <f t="shared" si="74"/>
        <v>0</v>
      </c>
      <c r="DE438" s="1754"/>
      <c r="DF438" s="1754"/>
      <c r="DG438" s="1754"/>
      <c r="DH438" s="1754">
        <f t="shared" si="93"/>
        <v>0</v>
      </c>
      <c r="DI438" s="1754"/>
      <c r="DJ438" s="1754"/>
      <c r="DK438" s="1754">
        <f t="shared" si="86"/>
        <v>0</v>
      </c>
      <c r="DL438" s="1754"/>
      <c r="DM438" s="1754"/>
      <c r="DN438" s="1754"/>
      <c r="DP438" s="383">
        <f t="shared" si="94"/>
        <v>101</v>
      </c>
      <c r="DQ438" s="1754">
        <f t="shared" si="95"/>
        <v>0</v>
      </c>
      <c r="DR438" s="1754"/>
      <c r="DS438" s="1754"/>
      <c r="DT438" s="1754"/>
      <c r="DU438" s="1754">
        <f t="shared" si="106"/>
        <v>0</v>
      </c>
      <c r="DV438" s="1754"/>
      <c r="DW438" s="1754"/>
      <c r="DX438" s="1754">
        <f t="shared" si="114"/>
        <v>0</v>
      </c>
      <c r="DY438" s="1754"/>
      <c r="DZ438" s="1754"/>
      <c r="EA438" s="1754">
        <f t="shared" si="115"/>
        <v>0</v>
      </c>
      <c r="EB438" s="1754"/>
      <c r="EC438" s="1754"/>
      <c r="ED438" s="1754"/>
      <c r="EE438" s="384"/>
      <c r="EF438" s="1750">
        <f t="shared" si="87"/>
        <v>0</v>
      </c>
      <c r="EG438" s="1751"/>
      <c r="EH438" s="1751"/>
      <c r="EI438" s="1751"/>
      <c r="EJ438" s="1752"/>
      <c r="EL438" s="1750">
        <f t="shared" si="116"/>
        <v>0</v>
      </c>
      <c r="EM438" s="1751"/>
      <c r="EN438" s="1751"/>
      <c r="EO438" s="1751"/>
      <c r="EP438" s="1752"/>
      <c r="ER438" s="1750">
        <f t="shared" si="88"/>
        <v>0</v>
      </c>
      <c r="ES438" s="1751"/>
      <c r="ET438" s="1751"/>
      <c r="EU438" s="1751"/>
      <c r="EV438" s="1752"/>
      <c r="EX438" s="1750">
        <f>IF(BE438&gt;0,Einstrahlung!$K$18*Kalkulation!$P$62/100*$AY$29*POWER((100-$P$64)/100,BD438-1),0)</f>
        <v>0</v>
      </c>
      <c r="EY438" s="1751"/>
      <c r="EZ438" s="1751"/>
      <c r="FA438" s="1751"/>
      <c r="FB438" s="1752"/>
      <c r="FD438" s="1750">
        <f t="shared" si="96"/>
        <v>0</v>
      </c>
      <c r="FE438" s="1751"/>
      <c r="FF438" s="1751"/>
      <c r="FG438" s="1751"/>
      <c r="FH438" s="1752"/>
      <c r="FI438" s="385"/>
      <c r="FJ438" s="380">
        <f t="shared" si="104"/>
        <v>0</v>
      </c>
      <c r="FK438" s="385"/>
      <c r="FL438" s="380">
        <f t="shared" si="128"/>
        <v>0</v>
      </c>
      <c r="FM438" s="385"/>
      <c r="FN438" s="380">
        <f t="shared" si="97"/>
        <v>0</v>
      </c>
      <c r="FO438" s="962">
        <f t="shared" si="102"/>
        <v>230</v>
      </c>
      <c r="FP438" s="956">
        <f t="shared" si="89"/>
        <v>0.4</v>
      </c>
      <c r="FQ438" s="380">
        <f t="shared" si="111"/>
        <v>0</v>
      </c>
      <c r="FR438" s="626">
        <f t="shared" si="129"/>
        <v>1</v>
      </c>
      <c r="FT438" s="1819">
        <f t="shared" si="103"/>
        <v>0</v>
      </c>
      <c r="FU438" s="1820"/>
      <c r="FV438" s="1820"/>
      <c r="FW438" s="1820"/>
      <c r="FX438" s="1821"/>
      <c r="FY438" s="1819">
        <f t="shared" si="98"/>
        <v>0</v>
      </c>
      <c r="FZ438" s="1820"/>
      <c r="GA438" s="1820"/>
      <c r="GB438" s="1821"/>
      <c r="GC438" s="1825">
        <f t="shared" si="117"/>
        <v>0</v>
      </c>
      <c r="GD438" s="1826"/>
      <c r="GE438" s="1826"/>
      <c r="GF438" s="1827"/>
      <c r="GH438" s="1750">
        <f t="shared" si="99"/>
        <v>0</v>
      </c>
      <c r="GI438" s="1751"/>
      <c r="GJ438" s="1751"/>
      <c r="GK438" s="1752"/>
      <c r="GL438" s="1750">
        <f t="shared" si="100"/>
        <v>0</v>
      </c>
      <c r="GM438" s="1751"/>
      <c r="GN438" s="1751"/>
      <c r="GO438" s="1752"/>
      <c r="GP438" s="385"/>
      <c r="GQ438" s="1750">
        <f t="shared" si="101"/>
        <v>0</v>
      </c>
      <c r="GR438" s="1751"/>
      <c r="GS438" s="1751"/>
      <c r="GT438" s="1752"/>
      <c r="GU438" s="192">
        <f t="shared" si="105"/>
        <v>1</v>
      </c>
      <c r="GV438" s="192">
        <f>SUM($GU$337:GU438)</f>
        <v>94</v>
      </c>
      <c r="GW438" s="318"/>
      <c r="HD438" s="380">
        <f t="shared" si="124"/>
        <v>0</v>
      </c>
      <c r="HX438" s="380"/>
    </row>
    <row r="439" spans="6:232">
      <c r="F439" s="413" t="s">
        <v>194</v>
      </c>
      <c r="H439" s="1599">
        <f>IF(D249&gt;0,GY337,0)</f>
        <v>0</v>
      </c>
      <c r="I439" s="1600"/>
      <c r="J439" s="1600"/>
      <c r="K439" s="1600"/>
      <c r="L439" s="1601"/>
      <c r="N439" s="1602">
        <f>H439</f>
        <v>0</v>
      </c>
      <c r="O439" s="1603"/>
      <c r="P439" s="1603"/>
      <c r="Q439" s="1603"/>
      <c r="R439" s="1604"/>
      <c r="Y439" s="409">
        <v>2</v>
      </c>
      <c r="Z439" s="247"/>
      <c r="AA439" s="247"/>
      <c r="AB439" s="251"/>
      <c r="AD439" s="247"/>
      <c r="AE439" s="247"/>
      <c r="AF439" s="247"/>
      <c r="AG439" s="247"/>
      <c r="AH439" s="247"/>
      <c r="AI439" s="247"/>
      <c r="AJ439" s="247"/>
      <c r="AK439" s="247"/>
      <c r="AL439" s="247"/>
      <c r="AM439" s="247"/>
      <c r="AN439" s="247"/>
      <c r="AO439" s="247"/>
      <c r="AP439" s="412">
        <f>AA249</f>
        <v>0</v>
      </c>
      <c r="AQ439" s="428"/>
      <c r="AR439" s="428"/>
      <c r="AS439" s="428"/>
      <c r="AT439" s="428"/>
      <c r="AU439" s="1614"/>
      <c r="AV439" s="1615"/>
      <c r="AW439" s="1615"/>
      <c r="AX439" s="1615"/>
      <c r="BD439" s="387">
        <f t="shared" si="125"/>
        <v>8</v>
      </c>
      <c r="BE439" s="382">
        <f>IF(BD439&gt;0,102,0)</f>
        <v>102</v>
      </c>
      <c r="BG439" s="383">
        <f>IF($BE439&gt;$R$66-3+($BR$335*12),102,0)</f>
        <v>102</v>
      </c>
      <c r="BH439" s="1754">
        <f t="shared" si="126"/>
        <v>0</v>
      </c>
      <c r="BI439" s="1754"/>
      <c r="BJ439" s="1754"/>
      <c r="BK439" s="1754"/>
      <c r="BL439" s="1754">
        <f t="shared" si="90"/>
        <v>0</v>
      </c>
      <c r="BM439" s="1754"/>
      <c r="BN439" s="1754"/>
      <c r="BO439" s="1754">
        <f t="shared" si="81"/>
        <v>0</v>
      </c>
      <c r="BP439" s="1754"/>
      <c r="BQ439" s="1754"/>
      <c r="BR439" s="1754">
        <f t="shared" si="127"/>
        <v>0</v>
      </c>
      <c r="BS439" s="1754"/>
      <c r="BT439" s="1754"/>
      <c r="BU439" s="1754"/>
      <c r="BW439" s="383">
        <f>IF($BE439&gt;$R$66-3+($CH$335*12),102,0)</f>
        <v>102</v>
      </c>
      <c r="BX439" s="1754">
        <f t="shared" si="72"/>
        <v>0</v>
      </c>
      <c r="BY439" s="1754"/>
      <c r="BZ439" s="1754"/>
      <c r="CA439" s="1754"/>
      <c r="CB439" s="1754">
        <f t="shared" si="91"/>
        <v>0</v>
      </c>
      <c r="CC439" s="1754"/>
      <c r="CD439" s="1754"/>
      <c r="CE439" s="1754">
        <f t="shared" si="82"/>
        <v>0</v>
      </c>
      <c r="CF439" s="1754"/>
      <c r="CG439" s="1754"/>
      <c r="CH439" s="1754">
        <f t="shared" si="83"/>
        <v>0</v>
      </c>
      <c r="CI439" s="1754"/>
      <c r="CJ439" s="1754"/>
      <c r="CK439" s="1754"/>
      <c r="CM439" s="383">
        <f>IF($BE439&gt;$R$66-3+($CX$335*12),102,0)</f>
        <v>102</v>
      </c>
      <c r="CN439" s="1754">
        <f t="shared" si="73"/>
        <v>0</v>
      </c>
      <c r="CO439" s="1754"/>
      <c r="CP439" s="1754"/>
      <c r="CQ439" s="1754"/>
      <c r="CR439" s="1754">
        <f t="shared" si="92"/>
        <v>0</v>
      </c>
      <c r="CS439" s="1754"/>
      <c r="CT439" s="1754"/>
      <c r="CU439" s="1754">
        <f t="shared" si="84"/>
        <v>0</v>
      </c>
      <c r="CV439" s="1754"/>
      <c r="CW439" s="1754"/>
      <c r="CX439" s="1754">
        <f t="shared" si="85"/>
        <v>0</v>
      </c>
      <c r="CY439" s="1754"/>
      <c r="CZ439" s="1754"/>
      <c r="DA439" s="1754"/>
      <c r="DC439" s="383">
        <f>IF($BE439&gt;$R$66-3,102,0)</f>
        <v>102</v>
      </c>
      <c r="DD439" s="1754">
        <f t="shared" si="74"/>
        <v>0</v>
      </c>
      <c r="DE439" s="1754"/>
      <c r="DF439" s="1754"/>
      <c r="DG439" s="1754"/>
      <c r="DH439" s="1754">
        <f t="shared" si="93"/>
        <v>0</v>
      </c>
      <c r="DI439" s="1754"/>
      <c r="DJ439" s="1754"/>
      <c r="DK439" s="1754">
        <f t="shared" si="86"/>
        <v>0</v>
      </c>
      <c r="DL439" s="1754"/>
      <c r="DM439" s="1754"/>
      <c r="DN439" s="1754"/>
      <c r="DP439" s="383">
        <f t="shared" si="94"/>
        <v>102</v>
      </c>
      <c r="DQ439" s="1754">
        <f t="shared" si="95"/>
        <v>0</v>
      </c>
      <c r="DR439" s="1754"/>
      <c r="DS439" s="1754"/>
      <c r="DT439" s="1754"/>
      <c r="DU439" s="1754">
        <f t="shared" si="106"/>
        <v>0</v>
      </c>
      <c r="DV439" s="1754"/>
      <c r="DW439" s="1754"/>
      <c r="DX439" s="1754">
        <f t="shared" si="114"/>
        <v>0</v>
      </c>
      <c r="DY439" s="1754"/>
      <c r="DZ439" s="1754"/>
      <c r="EA439" s="1754">
        <f t="shared" si="115"/>
        <v>0</v>
      </c>
      <c r="EB439" s="1754"/>
      <c r="EC439" s="1754"/>
      <c r="ED439" s="1754"/>
      <c r="EE439" s="384"/>
      <c r="EF439" s="1750">
        <f t="shared" si="87"/>
        <v>0</v>
      </c>
      <c r="EG439" s="1751"/>
      <c r="EH439" s="1751"/>
      <c r="EI439" s="1751"/>
      <c r="EJ439" s="1752"/>
      <c r="EL439" s="1750">
        <f t="shared" si="116"/>
        <v>0</v>
      </c>
      <c r="EM439" s="1751"/>
      <c r="EN439" s="1751"/>
      <c r="EO439" s="1751"/>
      <c r="EP439" s="1752"/>
      <c r="ER439" s="1750">
        <f t="shared" si="88"/>
        <v>0</v>
      </c>
      <c r="ES439" s="1751"/>
      <c r="ET439" s="1751"/>
      <c r="EU439" s="1751"/>
      <c r="EV439" s="1752"/>
      <c r="EX439" s="1750">
        <f>IF(BE439&gt;0,Einstrahlung!$K$20*Kalkulation!$P$62/100*$AY$29*POWER((100-$P$64)/100,BD439-1),0)</f>
        <v>0</v>
      </c>
      <c r="EY439" s="1751"/>
      <c r="EZ439" s="1751"/>
      <c r="FA439" s="1751"/>
      <c r="FB439" s="1752"/>
      <c r="FD439" s="1750">
        <f t="shared" si="96"/>
        <v>0</v>
      </c>
      <c r="FE439" s="1751"/>
      <c r="FF439" s="1751"/>
      <c r="FG439" s="1751"/>
      <c r="FH439" s="1752"/>
      <c r="FI439" s="385"/>
      <c r="FJ439" s="380">
        <f t="shared" si="104"/>
        <v>0</v>
      </c>
      <c r="FK439" s="385"/>
      <c r="FL439" s="380">
        <f t="shared" si="128"/>
        <v>0</v>
      </c>
      <c r="FM439" s="385"/>
      <c r="FN439" s="380">
        <f t="shared" si="97"/>
        <v>0</v>
      </c>
      <c r="FO439" s="962">
        <f t="shared" si="102"/>
        <v>231</v>
      </c>
      <c r="FP439" s="956">
        <f t="shared" si="89"/>
        <v>0.4</v>
      </c>
      <c r="FQ439" s="380">
        <f t="shared" si="111"/>
        <v>0</v>
      </c>
      <c r="FR439" s="626">
        <f t="shared" si="129"/>
        <v>1</v>
      </c>
      <c r="FT439" s="1819">
        <f t="shared" si="103"/>
        <v>0</v>
      </c>
      <c r="FU439" s="1820"/>
      <c r="FV439" s="1820"/>
      <c r="FW439" s="1820"/>
      <c r="FX439" s="1821"/>
      <c r="FY439" s="1819">
        <f t="shared" si="98"/>
        <v>0</v>
      </c>
      <c r="FZ439" s="1820"/>
      <c r="GA439" s="1820"/>
      <c r="GB439" s="1821"/>
      <c r="GC439" s="1825">
        <f t="shared" si="117"/>
        <v>0</v>
      </c>
      <c r="GD439" s="1826"/>
      <c r="GE439" s="1826"/>
      <c r="GF439" s="1827"/>
      <c r="GH439" s="1750">
        <f t="shared" si="99"/>
        <v>0</v>
      </c>
      <c r="GI439" s="1751"/>
      <c r="GJ439" s="1751"/>
      <c r="GK439" s="1752"/>
      <c r="GL439" s="1750">
        <f t="shared" si="100"/>
        <v>0</v>
      </c>
      <c r="GM439" s="1751"/>
      <c r="GN439" s="1751"/>
      <c r="GO439" s="1752"/>
      <c r="GP439" s="385"/>
      <c r="GQ439" s="1750">
        <f t="shared" si="101"/>
        <v>0</v>
      </c>
      <c r="GR439" s="1751"/>
      <c r="GS439" s="1751"/>
      <c r="GT439" s="1752"/>
      <c r="GU439" s="192">
        <f t="shared" si="105"/>
        <v>1</v>
      </c>
      <c r="GV439" s="192">
        <f>SUM($GU$337:GU439)</f>
        <v>95</v>
      </c>
      <c r="GW439" s="318"/>
      <c r="HD439" s="380">
        <f t="shared" si="124"/>
        <v>0</v>
      </c>
      <c r="HX439" s="380"/>
    </row>
    <row r="440" spans="6:232">
      <c r="F440" s="413" t="s">
        <v>195</v>
      </c>
      <c r="H440" s="1599">
        <f>IF(D251&gt;0,GZ337,0)</f>
        <v>0</v>
      </c>
      <c r="I440" s="1600"/>
      <c r="J440" s="1600"/>
      <c r="K440" s="1600"/>
      <c r="L440" s="1601"/>
      <c r="N440" s="1602">
        <f t="shared" ref="N440:N462" si="130">H440</f>
        <v>0</v>
      </c>
      <c r="O440" s="1603"/>
      <c r="P440" s="1603"/>
      <c r="Q440" s="1603"/>
      <c r="R440" s="1604"/>
      <c r="Y440" s="409">
        <v>3</v>
      </c>
      <c r="Z440" s="247"/>
      <c r="AA440" s="247"/>
      <c r="AB440" s="251"/>
      <c r="AD440" s="247"/>
      <c r="AE440" s="247"/>
      <c r="AF440" s="247"/>
      <c r="AG440" s="247"/>
      <c r="AH440" s="247"/>
      <c r="AI440" s="247"/>
      <c r="AJ440" s="247"/>
      <c r="AK440" s="247"/>
      <c r="AL440" s="247"/>
      <c r="AM440" s="247"/>
      <c r="AN440" s="247"/>
      <c r="AO440" s="247"/>
      <c r="AP440" s="412">
        <f>AA251</f>
        <v>0</v>
      </c>
      <c r="AQ440" s="428"/>
      <c r="AR440" s="428"/>
      <c r="AS440" s="428"/>
      <c r="AT440" s="428"/>
      <c r="AU440" s="1614"/>
      <c r="AV440" s="1615"/>
      <c r="AW440" s="1615"/>
      <c r="AX440" s="1615"/>
      <c r="BD440" s="387">
        <f t="shared" si="125"/>
        <v>8</v>
      </c>
      <c r="BE440" s="382">
        <f>IF(BD440&gt;0,103,0)</f>
        <v>103</v>
      </c>
      <c r="BG440" s="383">
        <f>IF($BE440&gt;$R$66-3+($BR$335*12),103,0)</f>
        <v>103</v>
      </c>
      <c r="BH440" s="1754">
        <f t="shared" si="126"/>
        <v>0</v>
      </c>
      <c r="BI440" s="1754"/>
      <c r="BJ440" s="1754"/>
      <c r="BK440" s="1754"/>
      <c r="BL440" s="1754">
        <f t="shared" si="90"/>
        <v>0</v>
      </c>
      <c r="BM440" s="1754"/>
      <c r="BN440" s="1754"/>
      <c r="BO440" s="1754">
        <f t="shared" si="81"/>
        <v>0</v>
      </c>
      <c r="BP440" s="1754"/>
      <c r="BQ440" s="1754"/>
      <c r="BR440" s="1754">
        <f t="shared" si="127"/>
        <v>0</v>
      </c>
      <c r="BS440" s="1754"/>
      <c r="BT440" s="1754"/>
      <c r="BU440" s="1754"/>
      <c r="BW440" s="383">
        <f>IF($BE440&gt;$R$66-3+($CH$335*12),103,0)</f>
        <v>103</v>
      </c>
      <c r="BX440" s="1754">
        <f t="shared" si="72"/>
        <v>0</v>
      </c>
      <c r="BY440" s="1754"/>
      <c r="BZ440" s="1754"/>
      <c r="CA440" s="1754"/>
      <c r="CB440" s="1754">
        <f t="shared" si="91"/>
        <v>0</v>
      </c>
      <c r="CC440" s="1754"/>
      <c r="CD440" s="1754"/>
      <c r="CE440" s="1754">
        <f t="shared" si="82"/>
        <v>0</v>
      </c>
      <c r="CF440" s="1754"/>
      <c r="CG440" s="1754"/>
      <c r="CH440" s="1754">
        <f t="shared" si="83"/>
        <v>0</v>
      </c>
      <c r="CI440" s="1754"/>
      <c r="CJ440" s="1754"/>
      <c r="CK440" s="1754"/>
      <c r="CM440" s="383">
        <f>IF($BE440&gt;$R$66-3+($CX$335*12),103,0)</f>
        <v>103</v>
      </c>
      <c r="CN440" s="1754">
        <f t="shared" si="73"/>
        <v>0</v>
      </c>
      <c r="CO440" s="1754"/>
      <c r="CP440" s="1754"/>
      <c r="CQ440" s="1754"/>
      <c r="CR440" s="1754">
        <f t="shared" si="92"/>
        <v>0</v>
      </c>
      <c r="CS440" s="1754"/>
      <c r="CT440" s="1754"/>
      <c r="CU440" s="1754">
        <f t="shared" si="84"/>
        <v>0</v>
      </c>
      <c r="CV440" s="1754"/>
      <c r="CW440" s="1754"/>
      <c r="CX440" s="1754">
        <f t="shared" si="85"/>
        <v>0</v>
      </c>
      <c r="CY440" s="1754"/>
      <c r="CZ440" s="1754"/>
      <c r="DA440" s="1754"/>
      <c r="DC440" s="383">
        <f>IF($BE440&gt;$R$66-3,103,0)</f>
        <v>103</v>
      </c>
      <c r="DD440" s="1754">
        <f t="shared" si="74"/>
        <v>0</v>
      </c>
      <c r="DE440" s="1754"/>
      <c r="DF440" s="1754"/>
      <c r="DG440" s="1754"/>
      <c r="DH440" s="1754">
        <f t="shared" si="93"/>
        <v>0</v>
      </c>
      <c r="DI440" s="1754"/>
      <c r="DJ440" s="1754"/>
      <c r="DK440" s="1754">
        <f t="shared" si="86"/>
        <v>0</v>
      </c>
      <c r="DL440" s="1754"/>
      <c r="DM440" s="1754"/>
      <c r="DN440" s="1754"/>
      <c r="DP440" s="383">
        <f t="shared" si="94"/>
        <v>103</v>
      </c>
      <c r="DQ440" s="1754">
        <f t="shared" si="95"/>
        <v>0</v>
      </c>
      <c r="DR440" s="1754"/>
      <c r="DS440" s="1754"/>
      <c r="DT440" s="1754"/>
      <c r="DU440" s="1754">
        <f t="shared" si="106"/>
        <v>0</v>
      </c>
      <c r="DV440" s="1754"/>
      <c r="DW440" s="1754"/>
      <c r="DX440" s="1754">
        <f t="shared" si="114"/>
        <v>0</v>
      </c>
      <c r="DY440" s="1754"/>
      <c r="DZ440" s="1754"/>
      <c r="EA440" s="1754">
        <f t="shared" si="115"/>
        <v>0</v>
      </c>
      <c r="EB440" s="1754"/>
      <c r="EC440" s="1754"/>
      <c r="ED440" s="1754"/>
      <c r="EE440" s="384"/>
      <c r="EF440" s="1750">
        <f t="shared" si="87"/>
        <v>0</v>
      </c>
      <c r="EG440" s="1751"/>
      <c r="EH440" s="1751"/>
      <c r="EI440" s="1751"/>
      <c r="EJ440" s="1752"/>
      <c r="EL440" s="1750">
        <f t="shared" si="116"/>
        <v>0</v>
      </c>
      <c r="EM440" s="1751"/>
      <c r="EN440" s="1751"/>
      <c r="EO440" s="1751"/>
      <c r="EP440" s="1752"/>
      <c r="ER440" s="1750">
        <f t="shared" si="88"/>
        <v>0</v>
      </c>
      <c r="ES440" s="1751"/>
      <c r="ET440" s="1751"/>
      <c r="EU440" s="1751"/>
      <c r="EV440" s="1752"/>
      <c r="EX440" s="1750">
        <f>IF(BE440&gt;0,Einstrahlung!$K$22*Kalkulation!$P$62/100*$AY$29*POWER((100-$P$64)/100,BD440-1),0)</f>
        <v>0</v>
      </c>
      <c r="EY440" s="1751"/>
      <c r="EZ440" s="1751"/>
      <c r="FA440" s="1751"/>
      <c r="FB440" s="1752"/>
      <c r="FD440" s="1750">
        <f t="shared" si="96"/>
        <v>0</v>
      </c>
      <c r="FE440" s="1751"/>
      <c r="FF440" s="1751"/>
      <c r="FG440" s="1751"/>
      <c r="FH440" s="1752"/>
      <c r="FI440" s="385"/>
      <c r="FJ440" s="380">
        <f t="shared" si="104"/>
        <v>0</v>
      </c>
      <c r="FK440" s="385"/>
      <c r="FL440" s="380">
        <f t="shared" si="128"/>
        <v>0</v>
      </c>
      <c r="FM440" s="385"/>
      <c r="FN440" s="380">
        <f t="shared" si="97"/>
        <v>0</v>
      </c>
      <c r="FO440" s="962">
        <f t="shared" si="102"/>
        <v>232</v>
      </c>
      <c r="FP440" s="956">
        <f t="shared" si="89"/>
        <v>0.4</v>
      </c>
      <c r="FQ440" s="380">
        <f t="shared" si="111"/>
        <v>0</v>
      </c>
      <c r="FR440" s="626">
        <f t="shared" si="129"/>
        <v>1</v>
      </c>
      <c r="FT440" s="1819">
        <f t="shared" si="103"/>
        <v>0</v>
      </c>
      <c r="FU440" s="1820"/>
      <c r="FV440" s="1820"/>
      <c r="FW440" s="1820"/>
      <c r="FX440" s="1821"/>
      <c r="FY440" s="1819">
        <f t="shared" si="98"/>
        <v>0</v>
      </c>
      <c r="FZ440" s="1820"/>
      <c r="GA440" s="1820"/>
      <c r="GB440" s="1821"/>
      <c r="GC440" s="1825">
        <f t="shared" si="117"/>
        <v>0</v>
      </c>
      <c r="GD440" s="1826"/>
      <c r="GE440" s="1826"/>
      <c r="GF440" s="1827"/>
      <c r="GH440" s="1750">
        <f t="shared" si="99"/>
        <v>0</v>
      </c>
      <c r="GI440" s="1751"/>
      <c r="GJ440" s="1751"/>
      <c r="GK440" s="1752"/>
      <c r="GL440" s="1750">
        <f t="shared" si="100"/>
        <v>0</v>
      </c>
      <c r="GM440" s="1751"/>
      <c r="GN440" s="1751"/>
      <c r="GO440" s="1752"/>
      <c r="GP440" s="385"/>
      <c r="GQ440" s="1750">
        <f t="shared" si="101"/>
        <v>0</v>
      </c>
      <c r="GR440" s="1751"/>
      <c r="GS440" s="1751"/>
      <c r="GT440" s="1752"/>
      <c r="GU440" s="192">
        <f t="shared" si="105"/>
        <v>1</v>
      </c>
      <c r="GV440" s="192">
        <f>SUM($GU$337:GU440)</f>
        <v>96</v>
      </c>
      <c r="GW440" s="318"/>
      <c r="HD440" s="380">
        <f t="shared" si="124"/>
        <v>0</v>
      </c>
      <c r="HX440" s="380"/>
    </row>
    <row r="441" spans="6:232">
      <c r="F441" s="413" t="s">
        <v>196</v>
      </c>
      <c r="H441" s="1599">
        <f>IF(D253&gt;0,HA337,0)</f>
        <v>0</v>
      </c>
      <c r="I441" s="1600"/>
      <c r="J441" s="1600"/>
      <c r="K441" s="1600"/>
      <c r="L441" s="1601"/>
      <c r="N441" s="1602">
        <f t="shared" si="130"/>
        <v>0</v>
      </c>
      <c r="O441" s="1603"/>
      <c r="P441" s="1603"/>
      <c r="Q441" s="1603"/>
      <c r="R441" s="1604"/>
      <c r="Y441" s="409">
        <v>4</v>
      </c>
      <c r="Z441" s="247"/>
      <c r="AA441" s="247"/>
      <c r="AB441" s="251"/>
      <c r="AD441" s="247"/>
      <c r="AE441" s="247"/>
      <c r="AF441" s="247"/>
      <c r="AG441" s="247"/>
      <c r="AH441" s="247"/>
      <c r="AI441" s="247"/>
      <c r="AJ441" s="247"/>
      <c r="AK441" s="247"/>
      <c r="AL441" s="247"/>
      <c r="AM441" s="247"/>
      <c r="AN441" s="247"/>
      <c r="AO441" s="247"/>
      <c r="AP441" s="412">
        <f>AA253</f>
        <v>0</v>
      </c>
      <c r="AQ441" s="428"/>
      <c r="AR441" s="428"/>
      <c r="AS441" s="428"/>
      <c r="AT441" s="428"/>
      <c r="AU441" s="1614"/>
      <c r="AV441" s="1615"/>
      <c r="AW441" s="1615"/>
      <c r="AX441" s="1615"/>
      <c r="BD441" s="387">
        <f t="shared" si="125"/>
        <v>8</v>
      </c>
      <c r="BE441" s="382">
        <f>IF(BD441&gt;0,104,0)</f>
        <v>104</v>
      </c>
      <c r="BG441" s="383">
        <f>IF($BE441&gt;$R$66-3+($BR$335*12),104,0)</f>
        <v>104</v>
      </c>
      <c r="BH441" s="1754">
        <f t="shared" si="126"/>
        <v>0</v>
      </c>
      <c r="BI441" s="1754"/>
      <c r="BJ441" s="1754"/>
      <c r="BK441" s="1754"/>
      <c r="BL441" s="1754">
        <f t="shared" si="90"/>
        <v>0</v>
      </c>
      <c r="BM441" s="1754"/>
      <c r="BN441" s="1754"/>
      <c r="BO441" s="1754">
        <f t="shared" si="81"/>
        <v>0</v>
      </c>
      <c r="BP441" s="1754"/>
      <c r="BQ441" s="1754"/>
      <c r="BR441" s="1754">
        <f t="shared" si="127"/>
        <v>0</v>
      </c>
      <c r="BS441" s="1754"/>
      <c r="BT441" s="1754"/>
      <c r="BU441" s="1754"/>
      <c r="BW441" s="383">
        <f>IF($BE441&gt;$R$66-3+($CH$335*12),104,0)</f>
        <v>104</v>
      </c>
      <c r="BX441" s="1754">
        <f t="shared" si="72"/>
        <v>0</v>
      </c>
      <c r="BY441" s="1754"/>
      <c r="BZ441" s="1754"/>
      <c r="CA441" s="1754"/>
      <c r="CB441" s="1754">
        <f t="shared" si="91"/>
        <v>0</v>
      </c>
      <c r="CC441" s="1754"/>
      <c r="CD441" s="1754"/>
      <c r="CE441" s="1754">
        <f t="shared" si="82"/>
        <v>0</v>
      </c>
      <c r="CF441" s="1754"/>
      <c r="CG441" s="1754"/>
      <c r="CH441" s="1754">
        <f t="shared" si="83"/>
        <v>0</v>
      </c>
      <c r="CI441" s="1754"/>
      <c r="CJ441" s="1754"/>
      <c r="CK441" s="1754"/>
      <c r="CM441" s="383">
        <f>IF($BE441&gt;$R$66-3+($CX$335*12),104,0)</f>
        <v>104</v>
      </c>
      <c r="CN441" s="1754">
        <f t="shared" si="73"/>
        <v>0</v>
      </c>
      <c r="CO441" s="1754"/>
      <c r="CP441" s="1754"/>
      <c r="CQ441" s="1754"/>
      <c r="CR441" s="1754">
        <f t="shared" si="92"/>
        <v>0</v>
      </c>
      <c r="CS441" s="1754"/>
      <c r="CT441" s="1754"/>
      <c r="CU441" s="1754">
        <f t="shared" si="84"/>
        <v>0</v>
      </c>
      <c r="CV441" s="1754"/>
      <c r="CW441" s="1754"/>
      <c r="CX441" s="1754">
        <f t="shared" si="85"/>
        <v>0</v>
      </c>
      <c r="CY441" s="1754"/>
      <c r="CZ441" s="1754"/>
      <c r="DA441" s="1754"/>
      <c r="DC441" s="383">
        <f>IF($BE441&gt;$R$66-3,104,0)</f>
        <v>104</v>
      </c>
      <c r="DD441" s="1754">
        <f t="shared" si="74"/>
        <v>0</v>
      </c>
      <c r="DE441" s="1754"/>
      <c r="DF441" s="1754"/>
      <c r="DG441" s="1754"/>
      <c r="DH441" s="1754">
        <f t="shared" si="93"/>
        <v>0</v>
      </c>
      <c r="DI441" s="1754"/>
      <c r="DJ441" s="1754"/>
      <c r="DK441" s="1754">
        <f t="shared" si="86"/>
        <v>0</v>
      </c>
      <c r="DL441" s="1754"/>
      <c r="DM441" s="1754"/>
      <c r="DN441" s="1754"/>
      <c r="DP441" s="383">
        <f t="shared" si="94"/>
        <v>104</v>
      </c>
      <c r="DQ441" s="1754">
        <f t="shared" si="95"/>
        <v>0</v>
      </c>
      <c r="DR441" s="1754"/>
      <c r="DS441" s="1754"/>
      <c r="DT441" s="1754"/>
      <c r="DU441" s="1754">
        <f t="shared" si="106"/>
        <v>0</v>
      </c>
      <c r="DV441" s="1754"/>
      <c r="DW441" s="1754"/>
      <c r="DX441" s="1754">
        <f t="shared" si="114"/>
        <v>0</v>
      </c>
      <c r="DY441" s="1754"/>
      <c r="DZ441" s="1754"/>
      <c r="EA441" s="1754">
        <f t="shared" si="115"/>
        <v>0</v>
      </c>
      <c r="EB441" s="1754"/>
      <c r="EC441" s="1754"/>
      <c r="ED441" s="1754"/>
      <c r="EE441" s="384"/>
      <c r="EF441" s="1750">
        <f t="shared" si="87"/>
        <v>0</v>
      </c>
      <c r="EG441" s="1751"/>
      <c r="EH441" s="1751"/>
      <c r="EI441" s="1751"/>
      <c r="EJ441" s="1752"/>
      <c r="EL441" s="1750">
        <f t="shared" si="116"/>
        <v>0</v>
      </c>
      <c r="EM441" s="1751"/>
      <c r="EN441" s="1751"/>
      <c r="EO441" s="1751"/>
      <c r="EP441" s="1752"/>
      <c r="ER441" s="1750">
        <f t="shared" si="88"/>
        <v>0</v>
      </c>
      <c r="ES441" s="1751"/>
      <c r="ET441" s="1751"/>
      <c r="EU441" s="1751"/>
      <c r="EV441" s="1752"/>
      <c r="EX441" s="1750">
        <f>IF(BE441&gt;0,Einstrahlung!$K$24*Kalkulation!$P$62/100*$AY$29*POWER((100-$P$64)/100,BD441-1),0)</f>
        <v>0</v>
      </c>
      <c r="EY441" s="1751"/>
      <c r="EZ441" s="1751"/>
      <c r="FA441" s="1751"/>
      <c r="FB441" s="1752"/>
      <c r="FD441" s="1750">
        <f t="shared" si="96"/>
        <v>0</v>
      </c>
      <c r="FE441" s="1751"/>
      <c r="FF441" s="1751"/>
      <c r="FG441" s="1751"/>
      <c r="FH441" s="1752"/>
      <c r="FI441" s="385"/>
      <c r="FJ441" s="380">
        <f t="shared" si="104"/>
        <v>0</v>
      </c>
      <c r="FK441" s="385"/>
      <c r="FL441" s="380">
        <f t="shared" si="128"/>
        <v>0</v>
      </c>
      <c r="FM441" s="385"/>
      <c r="FN441" s="380">
        <f t="shared" si="97"/>
        <v>0</v>
      </c>
      <c r="FO441" s="962">
        <f t="shared" si="102"/>
        <v>233</v>
      </c>
      <c r="FP441" s="956">
        <f t="shared" si="89"/>
        <v>0.4</v>
      </c>
      <c r="FQ441" s="380">
        <f t="shared" si="111"/>
        <v>0</v>
      </c>
      <c r="FR441" s="626">
        <f t="shared" si="129"/>
        <v>1</v>
      </c>
      <c r="FT441" s="1819">
        <f t="shared" si="103"/>
        <v>0</v>
      </c>
      <c r="FU441" s="1820"/>
      <c r="FV441" s="1820"/>
      <c r="FW441" s="1820"/>
      <c r="FX441" s="1821"/>
      <c r="FY441" s="1819">
        <f t="shared" si="98"/>
        <v>0</v>
      </c>
      <c r="FZ441" s="1820"/>
      <c r="GA441" s="1820"/>
      <c r="GB441" s="1821"/>
      <c r="GC441" s="1825">
        <f t="shared" si="117"/>
        <v>0</v>
      </c>
      <c r="GD441" s="1826"/>
      <c r="GE441" s="1826"/>
      <c r="GF441" s="1827"/>
      <c r="GH441" s="1750">
        <f t="shared" si="99"/>
        <v>0</v>
      </c>
      <c r="GI441" s="1751"/>
      <c r="GJ441" s="1751"/>
      <c r="GK441" s="1752"/>
      <c r="GL441" s="1750">
        <f t="shared" si="100"/>
        <v>0</v>
      </c>
      <c r="GM441" s="1751"/>
      <c r="GN441" s="1751"/>
      <c r="GO441" s="1752"/>
      <c r="GP441" s="385"/>
      <c r="GQ441" s="1750">
        <f t="shared" si="101"/>
        <v>0</v>
      </c>
      <c r="GR441" s="1751"/>
      <c r="GS441" s="1751"/>
      <c r="GT441" s="1752"/>
      <c r="GU441" s="192">
        <f t="shared" si="105"/>
        <v>1</v>
      </c>
      <c r="GV441" s="192">
        <f>SUM($GU$337:GU441)</f>
        <v>97</v>
      </c>
      <c r="GW441" s="318"/>
      <c r="HD441" s="380">
        <f t="shared" si="124"/>
        <v>0</v>
      </c>
      <c r="HX441" s="380"/>
    </row>
    <row r="442" spans="6:232">
      <c r="F442" s="413" t="s">
        <v>197</v>
      </c>
      <c r="H442" s="1599">
        <f>IF(D255&gt;0,HB337,0)</f>
        <v>0</v>
      </c>
      <c r="I442" s="1600"/>
      <c r="J442" s="1600"/>
      <c r="K442" s="1600"/>
      <c r="L442" s="1601"/>
      <c r="N442" s="1602">
        <f t="shared" si="130"/>
        <v>0</v>
      </c>
      <c r="O442" s="1603"/>
      <c r="P442" s="1603"/>
      <c r="Q442" s="1603"/>
      <c r="R442" s="1604"/>
      <c r="Y442" s="409">
        <v>5</v>
      </c>
      <c r="Z442" s="247"/>
      <c r="AA442" s="247"/>
      <c r="AB442" s="251"/>
      <c r="AD442" s="247"/>
      <c r="AE442" s="247"/>
      <c r="AF442" s="247"/>
      <c r="AG442" s="247"/>
      <c r="AH442" s="247"/>
      <c r="AI442" s="247"/>
      <c r="AJ442" s="247"/>
      <c r="AK442" s="247"/>
      <c r="AL442" s="247"/>
      <c r="AM442" s="247"/>
      <c r="AN442" s="247"/>
      <c r="AO442" s="247"/>
      <c r="AP442" s="412">
        <f>AA255</f>
        <v>0</v>
      </c>
      <c r="AQ442" s="428"/>
      <c r="AR442" s="428"/>
      <c r="AS442" s="428"/>
      <c r="AT442" s="428"/>
      <c r="AU442" s="1614"/>
      <c r="AV442" s="1615"/>
      <c r="AW442" s="1615"/>
      <c r="AX442" s="1615"/>
      <c r="BD442" s="387">
        <f t="shared" si="125"/>
        <v>8</v>
      </c>
      <c r="BE442" s="382">
        <f>IF(BD442&gt;0,105,0)</f>
        <v>105</v>
      </c>
      <c r="BG442" s="383">
        <f>IF($BE442&gt;$R$66-3+($BR$335*12),105,0)</f>
        <v>105</v>
      </c>
      <c r="BH442" s="1754">
        <f t="shared" si="126"/>
        <v>0</v>
      </c>
      <c r="BI442" s="1754"/>
      <c r="BJ442" s="1754"/>
      <c r="BK442" s="1754"/>
      <c r="BL442" s="1754">
        <f t="shared" si="90"/>
        <v>0</v>
      </c>
      <c r="BM442" s="1754"/>
      <c r="BN442" s="1754"/>
      <c r="BO442" s="1754">
        <f t="shared" si="81"/>
        <v>0</v>
      </c>
      <c r="BP442" s="1754"/>
      <c r="BQ442" s="1754"/>
      <c r="BR442" s="1754">
        <f t="shared" si="127"/>
        <v>0</v>
      </c>
      <c r="BS442" s="1754"/>
      <c r="BT442" s="1754"/>
      <c r="BU442" s="1754"/>
      <c r="BW442" s="383">
        <f>IF($BE442&gt;$R$66-3+($CH$335*12),105,0)</f>
        <v>105</v>
      </c>
      <c r="BX442" s="1754">
        <f t="shared" si="72"/>
        <v>0</v>
      </c>
      <c r="BY442" s="1754"/>
      <c r="BZ442" s="1754"/>
      <c r="CA442" s="1754"/>
      <c r="CB442" s="1754">
        <f t="shared" si="91"/>
        <v>0</v>
      </c>
      <c r="CC442" s="1754"/>
      <c r="CD442" s="1754"/>
      <c r="CE442" s="1754">
        <f t="shared" si="82"/>
        <v>0</v>
      </c>
      <c r="CF442" s="1754"/>
      <c r="CG442" s="1754"/>
      <c r="CH442" s="1754">
        <f t="shared" si="83"/>
        <v>0</v>
      </c>
      <c r="CI442" s="1754"/>
      <c r="CJ442" s="1754"/>
      <c r="CK442" s="1754"/>
      <c r="CM442" s="383">
        <f>IF($BE442&gt;$R$66-3+($CX$335*12),105,0)</f>
        <v>105</v>
      </c>
      <c r="CN442" s="1754">
        <f t="shared" si="73"/>
        <v>0</v>
      </c>
      <c r="CO442" s="1754"/>
      <c r="CP442" s="1754"/>
      <c r="CQ442" s="1754"/>
      <c r="CR442" s="1754">
        <f t="shared" si="92"/>
        <v>0</v>
      </c>
      <c r="CS442" s="1754"/>
      <c r="CT442" s="1754"/>
      <c r="CU442" s="1754">
        <f t="shared" si="84"/>
        <v>0</v>
      </c>
      <c r="CV442" s="1754"/>
      <c r="CW442" s="1754"/>
      <c r="CX442" s="1754">
        <f t="shared" si="85"/>
        <v>0</v>
      </c>
      <c r="CY442" s="1754"/>
      <c r="CZ442" s="1754"/>
      <c r="DA442" s="1754"/>
      <c r="DC442" s="383">
        <f>IF($BE442&gt;$R$66-3,105,0)</f>
        <v>105</v>
      </c>
      <c r="DD442" s="1754">
        <f t="shared" si="74"/>
        <v>0</v>
      </c>
      <c r="DE442" s="1754"/>
      <c r="DF442" s="1754"/>
      <c r="DG442" s="1754"/>
      <c r="DH442" s="1754">
        <f t="shared" si="93"/>
        <v>0</v>
      </c>
      <c r="DI442" s="1754"/>
      <c r="DJ442" s="1754"/>
      <c r="DK442" s="1754">
        <f t="shared" si="86"/>
        <v>0</v>
      </c>
      <c r="DL442" s="1754"/>
      <c r="DM442" s="1754"/>
      <c r="DN442" s="1754"/>
      <c r="DP442" s="383">
        <f t="shared" si="94"/>
        <v>105</v>
      </c>
      <c r="DQ442" s="1754">
        <f t="shared" si="95"/>
        <v>0</v>
      </c>
      <c r="DR442" s="1754"/>
      <c r="DS442" s="1754"/>
      <c r="DT442" s="1754"/>
      <c r="DU442" s="1754">
        <f t="shared" si="106"/>
        <v>0</v>
      </c>
      <c r="DV442" s="1754"/>
      <c r="DW442" s="1754"/>
      <c r="DX442" s="1754">
        <f t="shared" si="114"/>
        <v>0</v>
      </c>
      <c r="DY442" s="1754"/>
      <c r="DZ442" s="1754"/>
      <c r="EA442" s="1754">
        <f t="shared" si="115"/>
        <v>0</v>
      </c>
      <c r="EB442" s="1754"/>
      <c r="EC442" s="1754"/>
      <c r="ED442" s="1754"/>
      <c r="EE442" s="384"/>
      <c r="EF442" s="1750">
        <f t="shared" si="87"/>
        <v>0</v>
      </c>
      <c r="EG442" s="1751"/>
      <c r="EH442" s="1751"/>
      <c r="EI442" s="1751"/>
      <c r="EJ442" s="1752"/>
      <c r="EL442" s="1750">
        <f t="shared" si="116"/>
        <v>0</v>
      </c>
      <c r="EM442" s="1751"/>
      <c r="EN442" s="1751"/>
      <c r="EO442" s="1751"/>
      <c r="EP442" s="1752"/>
      <c r="ER442" s="1750">
        <f t="shared" si="88"/>
        <v>0</v>
      </c>
      <c r="ES442" s="1751"/>
      <c r="ET442" s="1751"/>
      <c r="EU442" s="1751"/>
      <c r="EV442" s="1752"/>
      <c r="EX442" s="1750">
        <f>IF(BE442&gt;0,Einstrahlung!$K$26*Kalkulation!$P$62/100*$AY$29*POWER((100-$P$64)/100,BD442-1),0)</f>
        <v>0</v>
      </c>
      <c r="EY442" s="1751"/>
      <c r="EZ442" s="1751"/>
      <c r="FA442" s="1751"/>
      <c r="FB442" s="1752"/>
      <c r="FD442" s="1750">
        <f t="shared" si="96"/>
        <v>0</v>
      </c>
      <c r="FE442" s="1751"/>
      <c r="FF442" s="1751"/>
      <c r="FG442" s="1751"/>
      <c r="FH442" s="1752"/>
      <c r="FI442" s="385"/>
      <c r="FJ442" s="380">
        <f t="shared" si="104"/>
        <v>0</v>
      </c>
      <c r="FK442" s="385"/>
      <c r="FL442" s="380">
        <f t="shared" si="128"/>
        <v>0</v>
      </c>
      <c r="FM442" s="385"/>
      <c r="FN442" s="380">
        <f t="shared" si="97"/>
        <v>0</v>
      </c>
      <c r="FO442" s="962">
        <f t="shared" si="102"/>
        <v>234</v>
      </c>
      <c r="FP442" s="956">
        <f t="shared" si="89"/>
        <v>0.4</v>
      </c>
      <c r="FQ442" s="380">
        <f t="shared" si="111"/>
        <v>0</v>
      </c>
      <c r="FR442" s="626">
        <f t="shared" si="129"/>
        <v>1</v>
      </c>
      <c r="FT442" s="1819">
        <f t="shared" si="103"/>
        <v>0</v>
      </c>
      <c r="FU442" s="1820"/>
      <c r="FV442" s="1820"/>
      <c r="FW442" s="1820"/>
      <c r="FX442" s="1821"/>
      <c r="FY442" s="1819">
        <f t="shared" si="98"/>
        <v>0</v>
      </c>
      <c r="FZ442" s="1820"/>
      <c r="GA442" s="1820"/>
      <c r="GB442" s="1821"/>
      <c r="GC442" s="1825">
        <f t="shared" si="117"/>
        <v>0</v>
      </c>
      <c r="GD442" s="1826"/>
      <c r="GE442" s="1826"/>
      <c r="GF442" s="1827"/>
      <c r="GH442" s="1750">
        <f t="shared" si="99"/>
        <v>0</v>
      </c>
      <c r="GI442" s="1751"/>
      <c r="GJ442" s="1751"/>
      <c r="GK442" s="1752"/>
      <c r="GL442" s="1750">
        <f t="shared" si="100"/>
        <v>0</v>
      </c>
      <c r="GM442" s="1751"/>
      <c r="GN442" s="1751"/>
      <c r="GO442" s="1752"/>
      <c r="GP442" s="385"/>
      <c r="GQ442" s="1750">
        <f t="shared" si="101"/>
        <v>0</v>
      </c>
      <c r="GR442" s="1751"/>
      <c r="GS442" s="1751"/>
      <c r="GT442" s="1752"/>
      <c r="GU442" s="192">
        <f t="shared" si="105"/>
        <v>1</v>
      </c>
      <c r="GV442" s="192">
        <f>SUM($GU$337:GU442)</f>
        <v>98</v>
      </c>
      <c r="GW442" s="318"/>
      <c r="HD442" s="380">
        <f t="shared" si="124"/>
        <v>0</v>
      </c>
      <c r="HX442" s="380"/>
    </row>
    <row r="443" spans="6:232">
      <c r="F443" s="413" t="s">
        <v>198</v>
      </c>
      <c r="H443" s="1599">
        <f>IF(D257&gt;0,HC337,0)</f>
        <v>0</v>
      </c>
      <c r="I443" s="1600"/>
      <c r="J443" s="1600"/>
      <c r="K443" s="1600"/>
      <c r="L443" s="1601"/>
      <c r="N443" s="1602">
        <f t="shared" si="130"/>
        <v>0</v>
      </c>
      <c r="O443" s="1603"/>
      <c r="P443" s="1603"/>
      <c r="Q443" s="1603"/>
      <c r="R443" s="1604"/>
      <c r="Y443" s="409">
        <v>6</v>
      </c>
      <c r="Z443" s="247"/>
      <c r="AA443" s="247"/>
      <c r="AB443" s="251"/>
      <c r="AD443" s="247"/>
      <c r="AE443" s="247"/>
      <c r="AF443" s="247"/>
      <c r="AG443" s="247"/>
      <c r="AH443" s="247"/>
      <c r="AI443" s="247"/>
      <c r="AJ443" s="247"/>
      <c r="AK443" s="247"/>
      <c r="AL443" s="247"/>
      <c r="AM443" s="247"/>
      <c r="AN443" s="247"/>
      <c r="AO443" s="247"/>
      <c r="AP443" s="412">
        <f>AA257</f>
        <v>0</v>
      </c>
      <c r="AQ443" s="428"/>
      <c r="AR443" s="428"/>
      <c r="AS443" s="428"/>
      <c r="AT443" s="428"/>
      <c r="AU443" s="1614"/>
      <c r="AV443" s="1615"/>
      <c r="AW443" s="1615"/>
      <c r="AX443" s="1615"/>
      <c r="BD443" s="387">
        <f t="shared" si="125"/>
        <v>8</v>
      </c>
      <c r="BE443" s="382">
        <f>IF(BD443&gt;0,106,0)</f>
        <v>106</v>
      </c>
      <c r="BG443" s="383">
        <f>IF($BE443&gt;$R$66-3+($BR$335*12),106,0)</f>
        <v>106</v>
      </c>
      <c r="BH443" s="1754">
        <f t="shared" si="126"/>
        <v>0</v>
      </c>
      <c r="BI443" s="1754"/>
      <c r="BJ443" s="1754"/>
      <c r="BK443" s="1754"/>
      <c r="BL443" s="1754">
        <f t="shared" si="90"/>
        <v>0</v>
      </c>
      <c r="BM443" s="1754"/>
      <c r="BN443" s="1754"/>
      <c r="BO443" s="1754">
        <f t="shared" si="81"/>
        <v>0</v>
      </c>
      <c r="BP443" s="1754"/>
      <c r="BQ443" s="1754"/>
      <c r="BR443" s="1754">
        <f t="shared" si="127"/>
        <v>0</v>
      </c>
      <c r="BS443" s="1754"/>
      <c r="BT443" s="1754"/>
      <c r="BU443" s="1754"/>
      <c r="BW443" s="383">
        <f>IF($BE443&gt;$R$66-3+($CH$335*12),106,0)</f>
        <v>106</v>
      </c>
      <c r="BX443" s="1754">
        <f t="shared" si="72"/>
        <v>0</v>
      </c>
      <c r="BY443" s="1754"/>
      <c r="BZ443" s="1754"/>
      <c r="CA443" s="1754"/>
      <c r="CB443" s="1754">
        <f t="shared" si="91"/>
        <v>0</v>
      </c>
      <c r="CC443" s="1754"/>
      <c r="CD443" s="1754"/>
      <c r="CE443" s="1754">
        <f t="shared" si="82"/>
        <v>0</v>
      </c>
      <c r="CF443" s="1754"/>
      <c r="CG443" s="1754"/>
      <c r="CH443" s="1754">
        <f t="shared" si="83"/>
        <v>0</v>
      </c>
      <c r="CI443" s="1754"/>
      <c r="CJ443" s="1754"/>
      <c r="CK443" s="1754"/>
      <c r="CM443" s="383">
        <f>IF($BE443&gt;$R$66-3+($CX$335*12),106,0)</f>
        <v>106</v>
      </c>
      <c r="CN443" s="1754">
        <f t="shared" si="73"/>
        <v>0</v>
      </c>
      <c r="CO443" s="1754"/>
      <c r="CP443" s="1754"/>
      <c r="CQ443" s="1754"/>
      <c r="CR443" s="1754">
        <f t="shared" si="92"/>
        <v>0</v>
      </c>
      <c r="CS443" s="1754"/>
      <c r="CT443" s="1754"/>
      <c r="CU443" s="1754">
        <f t="shared" si="84"/>
        <v>0</v>
      </c>
      <c r="CV443" s="1754"/>
      <c r="CW443" s="1754"/>
      <c r="CX443" s="1754">
        <f t="shared" si="85"/>
        <v>0</v>
      </c>
      <c r="CY443" s="1754"/>
      <c r="CZ443" s="1754"/>
      <c r="DA443" s="1754"/>
      <c r="DC443" s="383">
        <f>IF($BE443&gt;$R$66-3,106,0)</f>
        <v>106</v>
      </c>
      <c r="DD443" s="1754">
        <f t="shared" si="74"/>
        <v>0</v>
      </c>
      <c r="DE443" s="1754"/>
      <c r="DF443" s="1754"/>
      <c r="DG443" s="1754"/>
      <c r="DH443" s="1754">
        <f t="shared" si="93"/>
        <v>0</v>
      </c>
      <c r="DI443" s="1754"/>
      <c r="DJ443" s="1754"/>
      <c r="DK443" s="1754">
        <f t="shared" si="86"/>
        <v>0</v>
      </c>
      <c r="DL443" s="1754"/>
      <c r="DM443" s="1754"/>
      <c r="DN443" s="1754"/>
      <c r="DP443" s="383">
        <f t="shared" si="94"/>
        <v>106</v>
      </c>
      <c r="DQ443" s="1754">
        <f t="shared" si="95"/>
        <v>0</v>
      </c>
      <c r="DR443" s="1754"/>
      <c r="DS443" s="1754"/>
      <c r="DT443" s="1754"/>
      <c r="DU443" s="1754">
        <f t="shared" si="106"/>
        <v>0</v>
      </c>
      <c r="DV443" s="1754"/>
      <c r="DW443" s="1754"/>
      <c r="DX443" s="1754">
        <f t="shared" si="114"/>
        <v>0</v>
      </c>
      <c r="DY443" s="1754"/>
      <c r="DZ443" s="1754"/>
      <c r="EA443" s="1754">
        <f t="shared" si="115"/>
        <v>0</v>
      </c>
      <c r="EB443" s="1754"/>
      <c r="EC443" s="1754"/>
      <c r="ED443" s="1754"/>
      <c r="EE443" s="384"/>
      <c r="EF443" s="1750">
        <f t="shared" si="87"/>
        <v>0</v>
      </c>
      <c r="EG443" s="1751"/>
      <c r="EH443" s="1751"/>
      <c r="EI443" s="1751"/>
      <c r="EJ443" s="1752"/>
      <c r="EL443" s="1750">
        <f t="shared" si="116"/>
        <v>0</v>
      </c>
      <c r="EM443" s="1751"/>
      <c r="EN443" s="1751"/>
      <c r="EO443" s="1751"/>
      <c r="EP443" s="1752"/>
      <c r="ER443" s="1750">
        <f t="shared" si="88"/>
        <v>0</v>
      </c>
      <c r="ES443" s="1751"/>
      <c r="ET443" s="1751"/>
      <c r="EU443" s="1751"/>
      <c r="EV443" s="1752"/>
      <c r="EX443" s="1750">
        <f>IF(BE443&gt;0,Einstrahlung!$K$28*Kalkulation!$P$62/100*$AY$29*POWER((100-$P$64)/100,BD443-1),0)</f>
        <v>0</v>
      </c>
      <c r="EY443" s="1751"/>
      <c r="EZ443" s="1751"/>
      <c r="FA443" s="1751"/>
      <c r="FB443" s="1752"/>
      <c r="FD443" s="1750">
        <f t="shared" si="96"/>
        <v>0</v>
      </c>
      <c r="FE443" s="1751"/>
      <c r="FF443" s="1751"/>
      <c r="FG443" s="1751"/>
      <c r="FH443" s="1752"/>
      <c r="FI443" s="385"/>
      <c r="FJ443" s="380">
        <f t="shared" si="104"/>
        <v>0</v>
      </c>
      <c r="FK443" s="385"/>
      <c r="FL443" s="380">
        <f t="shared" si="128"/>
        <v>0</v>
      </c>
      <c r="FM443" s="385"/>
      <c r="FN443" s="380">
        <f t="shared" si="97"/>
        <v>0</v>
      </c>
      <c r="FO443" s="962">
        <f t="shared" si="102"/>
        <v>235</v>
      </c>
      <c r="FP443" s="956">
        <f t="shared" si="89"/>
        <v>0.4</v>
      </c>
      <c r="FQ443" s="380">
        <f t="shared" si="111"/>
        <v>0</v>
      </c>
      <c r="FR443" s="626">
        <f t="shared" si="129"/>
        <v>1</v>
      </c>
      <c r="FT443" s="1819">
        <f t="shared" si="103"/>
        <v>0</v>
      </c>
      <c r="FU443" s="1820"/>
      <c r="FV443" s="1820"/>
      <c r="FW443" s="1820"/>
      <c r="FX443" s="1821"/>
      <c r="FY443" s="1819">
        <f t="shared" si="98"/>
        <v>0</v>
      </c>
      <c r="FZ443" s="1820"/>
      <c r="GA443" s="1820"/>
      <c r="GB443" s="1821"/>
      <c r="GC443" s="1825">
        <f t="shared" si="117"/>
        <v>0</v>
      </c>
      <c r="GD443" s="1826"/>
      <c r="GE443" s="1826"/>
      <c r="GF443" s="1827"/>
      <c r="GH443" s="1750">
        <f t="shared" si="99"/>
        <v>0</v>
      </c>
      <c r="GI443" s="1751"/>
      <c r="GJ443" s="1751"/>
      <c r="GK443" s="1752"/>
      <c r="GL443" s="1750">
        <f t="shared" si="100"/>
        <v>0</v>
      </c>
      <c r="GM443" s="1751"/>
      <c r="GN443" s="1751"/>
      <c r="GO443" s="1752"/>
      <c r="GP443" s="385"/>
      <c r="GQ443" s="1750">
        <f t="shared" si="101"/>
        <v>0</v>
      </c>
      <c r="GR443" s="1751"/>
      <c r="GS443" s="1751"/>
      <c r="GT443" s="1752"/>
      <c r="GU443" s="192">
        <f t="shared" si="105"/>
        <v>1</v>
      </c>
      <c r="GV443" s="192">
        <f>SUM($GU$337:GU443)</f>
        <v>99</v>
      </c>
      <c r="GW443" s="318"/>
      <c r="HD443" s="380">
        <f t="shared" si="124"/>
        <v>0</v>
      </c>
      <c r="HX443" s="380"/>
    </row>
    <row r="444" spans="6:232">
      <c r="F444" s="413" t="s">
        <v>199</v>
      </c>
      <c r="H444" s="1599">
        <f>IF(D259&gt;0,HD337,0)</f>
        <v>0</v>
      </c>
      <c r="I444" s="1600"/>
      <c r="J444" s="1600"/>
      <c r="K444" s="1600"/>
      <c r="L444" s="1601"/>
      <c r="N444" s="1602">
        <f t="shared" si="130"/>
        <v>0</v>
      </c>
      <c r="O444" s="1603"/>
      <c r="P444" s="1603"/>
      <c r="Q444" s="1603"/>
      <c r="R444" s="1604"/>
      <c r="Y444" s="409">
        <v>7</v>
      </c>
      <c r="Z444" s="247"/>
      <c r="AA444" s="247"/>
      <c r="AB444" s="251"/>
      <c r="AD444" s="247"/>
      <c r="AE444" s="247"/>
      <c r="AF444" s="247"/>
      <c r="AG444" s="247"/>
      <c r="AH444" s="247"/>
      <c r="AI444" s="247"/>
      <c r="AJ444" s="247"/>
      <c r="AK444" s="247"/>
      <c r="AL444" s="247"/>
      <c r="AM444" s="247"/>
      <c r="AN444" s="247"/>
      <c r="AO444" s="247"/>
      <c r="AP444" s="412">
        <f>AA259</f>
        <v>0</v>
      </c>
      <c r="AQ444" s="428"/>
      <c r="AR444" s="428"/>
      <c r="AS444" s="428"/>
      <c r="AT444" s="428"/>
      <c r="AU444" s="1614"/>
      <c r="AV444" s="1615"/>
      <c r="AW444" s="1615"/>
      <c r="AX444" s="1615"/>
      <c r="BD444" s="387">
        <f t="shared" si="125"/>
        <v>8</v>
      </c>
      <c r="BE444" s="382">
        <f>IF(BD444&gt;0,107,0)</f>
        <v>107</v>
      </c>
      <c r="BG444" s="383">
        <f>IF($BE444&gt;$R$66-3+($BR$335*12),107,0)</f>
        <v>107</v>
      </c>
      <c r="BH444" s="1754">
        <f t="shared" si="126"/>
        <v>0</v>
      </c>
      <c r="BI444" s="1754"/>
      <c r="BJ444" s="1754"/>
      <c r="BK444" s="1754"/>
      <c r="BL444" s="1754">
        <f t="shared" si="90"/>
        <v>0</v>
      </c>
      <c r="BM444" s="1754"/>
      <c r="BN444" s="1754"/>
      <c r="BO444" s="1754">
        <f t="shared" si="81"/>
        <v>0</v>
      </c>
      <c r="BP444" s="1754"/>
      <c r="BQ444" s="1754"/>
      <c r="BR444" s="1754">
        <f t="shared" si="127"/>
        <v>0</v>
      </c>
      <c r="BS444" s="1754"/>
      <c r="BT444" s="1754"/>
      <c r="BU444" s="1754"/>
      <c r="BW444" s="383">
        <f>IF($BE444&gt;$R$66-3+($CH$335*12),107,0)</f>
        <v>107</v>
      </c>
      <c r="BX444" s="1754">
        <f t="shared" si="72"/>
        <v>0</v>
      </c>
      <c r="BY444" s="1754"/>
      <c r="BZ444" s="1754"/>
      <c r="CA444" s="1754"/>
      <c r="CB444" s="1754">
        <f t="shared" si="91"/>
        <v>0</v>
      </c>
      <c r="CC444" s="1754"/>
      <c r="CD444" s="1754"/>
      <c r="CE444" s="1754">
        <f t="shared" si="82"/>
        <v>0</v>
      </c>
      <c r="CF444" s="1754"/>
      <c r="CG444" s="1754"/>
      <c r="CH444" s="1754">
        <f t="shared" si="83"/>
        <v>0</v>
      </c>
      <c r="CI444" s="1754"/>
      <c r="CJ444" s="1754"/>
      <c r="CK444" s="1754"/>
      <c r="CM444" s="383">
        <f>IF($BE444&gt;$R$66-3+($CX$335*12),107,0)</f>
        <v>107</v>
      </c>
      <c r="CN444" s="1754">
        <f t="shared" si="73"/>
        <v>0</v>
      </c>
      <c r="CO444" s="1754"/>
      <c r="CP444" s="1754"/>
      <c r="CQ444" s="1754"/>
      <c r="CR444" s="1754">
        <f t="shared" si="92"/>
        <v>0</v>
      </c>
      <c r="CS444" s="1754"/>
      <c r="CT444" s="1754"/>
      <c r="CU444" s="1754">
        <f t="shared" si="84"/>
        <v>0</v>
      </c>
      <c r="CV444" s="1754"/>
      <c r="CW444" s="1754"/>
      <c r="CX444" s="1754">
        <f t="shared" si="85"/>
        <v>0</v>
      </c>
      <c r="CY444" s="1754"/>
      <c r="CZ444" s="1754"/>
      <c r="DA444" s="1754"/>
      <c r="DC444" s="383">
        <f>IF($BE444&gt;$R$66-3,107,0)</f>
        <v>107</v>
      </c>
      <c r="DD444" s="1754">
        <f t="shared" si="74"/>
        <v>0</v>
      </c>
      <c r="DE444" s="1754"/>
      <c r="DF444" s="1754"/>
      <c r="DG444" s="1754"/>
      <c r="DH444" s="1754">
        <f t="shared" si="93"/>
        <v>0</v>
      </c>
      <c r="DI444" s="1754"/>
      <c r="DJ444" s="1754"/>
      <c r="DK444" s="1754">
        <f t="shared" si="86"/>
        <v>0</v>
      </c>
      <c r="DL444" s="1754"/>
      <c r="DM444" s="1754"/>
      <c r="DN444" s="1754"/>
      <c r="DP444" s="383">
        <f t="shared" si="94"/>
        <v>107</v>
      </c>
      <c r="DQ444" s="1754">
        <f t="shared" si="95"/>
        <v>0</v>
      </c>
      <c r="DR444" s="1754"/>
      <c r="DS444" s="1754"/>
      <c r="DT444" s="1754"/>
      <c r="DU444" s="1754">
        <f t="shared" si="106"/>
        <v>0</v>
      </c>
      <c r="DV444" s="1754"/>
      <c r="DW444" s="1754"/>
      <c r="DX444" s="1754">
        <f t="shared" si="114"/>
        <v>0</v>
      </c>
      <c r="DY444" s="1754"/>
      <c r="DZ444" s="1754"/>
      <c r="EA444" s="1754">
        <f t="shared" si="115"/>
        <v>0</v>
      </c>
      <c r="EB444" s="1754"/>
      <c r="EC444" s="1754"/>
      <c r="ED444" s="1754"/>
      <c r="EE444" s="384"/>
      <c r="EF444" s="1750">
        <f t="shared" si="87"/>
        <v>0</v>
      </c>
      <c r="EG444" s="1751"/>
      <c r="EH444" s="1751"/>
      <c r="EI444" s="1751"/>
      <c r="EJ444" s="1752"/>
      <c r="EL444" s="1750">
        <f t="shared" si="116"/>
        <v>0</v>
      </c>
      <c r="EM444" s="1751"/>
      <c r="EN444" s="1751"/>
      <c r="EO444" s="1751"/>
      <c r="EP444" s="1752"/>
      <c r="ER444" s="1750">
        <f t="shared" si="88"/>
        <v>0</v>
      </c>
      <c r="ES444" s="1751"/>
      <c r="ET444" s="1751"/>
      <c r="EU444" s="1751"/>
      <c r="EV444" s="1752"/>
      <c r="EX444" s="1750">
        <f>IF(BE444&gt;0,Einstrahlung!$K$30*Kalkulation!$P$62/100*$AY$29*POWER((100-$P$64)/100,BD444-1),0)</f>
        <v>0</v>
      </c>
      <c r="EY444" s="1751"/>
      <c r="EZ444" s="1751"/>
      <c r="FA444" s="1751"/>
      <c r="FB444" s="1752"/>
      <c r="FD444" s="1750">
        <f t="shared" si="96"/>
        <v>0</v>
      </c>
      <c r="FE444" s="1751"/>
      <c r="FF444" s="1751"/>
      <c r="FG444" s="1751"/>
      <c r="FH444" s="1752"/>
      <c r="FI444" s="385"/>
      <c r="FJ444" s="380">
        <f t="shared" si="104"/>
        <v>0</v>
      </c>
      <c r="FK444" s="385"/>
      <c r="FL444" s="380">
        <f t="shared" si="128"/>
        <v>0</v>
      </c>
      <c r="FM444" s="385"/>
      <c r="FN444" s="380">
        <f t="shared" si="97"/>
        <v>0</v>
      </c>
      <c r="FO444" s="962">
        <f t="shared" si="102"/>
        <v>236</v>
      </c>
      <c r="FP444" s="956">
        <f t="shared" si="89"/>
        <v>0.4</v>
      </c>
      <c r="FQ444" s="380">
        <f t="shared" si="111"/>
        <v>0</v>
      </c>
      <c r="FR444" s="626">
        <f t="shared" si="129"/>
        <v>1</v>
      </c>
      <c r="FT444" s="1819">
        <f t="shared" si="103"/>
        <v>0</v>
      </c>
      <c r="FU444" s="1820"/>
      <c r="FV444" s="1820"/>
      <c r="FW444" s="1820"/>
      <c r="FX444" s="1821"/>
      <c r="FY444" s="1819">
        <f t="shared" si="98"/>
        <v>0</v>
      </c>
      <c r="FZ444" s="1820"/>
      <c r="GA444" s="1820"/>
      <c r="GB444" s="1821"/>
      <c r="GC444" s="1825">
        <f t="shared" si="117"/>
        <v>0</v>
      </c>
      <c r="GD444" s="1826"/>
      <c r="GE444" s="1826"/>
      <c r="GF444" s="1827"/>
      <c r="GH444" s="1750">
        <f t="shared" si="99"/>
        <v>0</v>
      </c>
      <c r="GI444" s="1751"/>
      <c r="GJ444" s="1751"/>
      <c r="GK444" s="1752"/>
      <c r="GL444" s="1750">
        <f t="shared" si="100"/>
        <v>0</v>
      </c>
      <c r="GM444" s="1751"/>
      <c r="GN444" s="1751"/>
      <c r="GO444" s="1752"/>
      <c r="GP444" s="385"/>
      <c r="GQ444" s="1750">
        <f t="shared" si="101"/>
        <v>0</v>
      </c>
      <c r="GR444" s="1751"/>
      <c r="GS444" s="1751"/>
      <c r="GT444" s="1752"/>
      <c r="GU444" s="192">
        <f t="shared" si="105"/>
        <v>1</v>
      </c>
      <c r="GV444" s="192">
        <f>SUM($GU$337:GU444)</f>
        <v>100</v>
      </c>
      <c r="GW444" s="318"/>
      <c r="HD444" s="380">
        <f t="shared" si="124"/>
        <v>0</v>
      </c>
      <c r="HX444" s="380"/>
    </row>
    <row r="445" spans="6:232" ht="13.5" thickBot="1">
      <c r="F445" s="413" t="s">
        <v>200</v>
      </c>
      <c r="H445" s="1599">
        <f>IF(D261&gt;0,HE337,0)</f>
        <v>0</v>
      </c>
      <c r="I445" s="1600"/>
      <c r="J445" s="1600"/>
      <c r="K445" s="1600"/>
      <c r="L445" s="1601"/>
      <c r="N445" s="1602">
        <f t="shared" si="130"/>
        <v>0</v>
      </c>
      <c r="O445" s="1603"/>
      <c r="P445" s="1603"/>
      <c r="Q445" s="1603"/>
      <c r="R445" s="1604"/>
      <c r="Y445" s="409">
        <v>8</v>
      </c>
      <c r="Z445" s="247"/>
      <c r="AA445" s="247"/>
      <c r="AB445" s="251"/>
      <c r="AD445" s="247"/>
      <c r="AE445" s="247"/>
      <c r="AF445" s="247"/>
      <c r="AG445" s="247"/>
      <c r="AH445" s="247"/>
      <c r="AI445" s="247"/>
      <c r="AJ445" s="247"/>
      <c r="AK445" s="247"/>
      <c r="AL445" s="247"/>
      <c r="AM445" s="247"/>
      <c r="AN445" s="247"/>
      <c r="AO445" s="247"/>
      <c r="AP445" s="412">
        <f>AA261</f>
        <v>0</v>
      </c>
      <c r="AQ445" s="428"/>
      <c r="AR445" s="428"/>
      <c r="AS445" s="428"/>
      <c r="AT445" s="428"/>
      <c r="AU445" s="1614"/>
      <c r="AV445" s="1615"/>
      <c r="AW445" s="1615"/>
      <c r="AX445" s="1615"/>
      <c r="BD445" s="389">
        <f t="shared" si="125"/>
        <v>8</v>
      </c>
      <c r="BE445" s="390">
        <f>IF(BD445&gt;0,108,0)</f>
        <v>108</v>
      </c>
      <c r="BG445" s="391">
        <f>IF($BE445&gt;$R$66-3+($BR$335*12),108,0)</f>
        <v>108</v>
      </c>
      <c r="BH445" s="1753">
        <f t="shared" si="126"/>
        <v>0</v>
      </c>
      <c r="BI445" s="1753"/>
      <c r="BJ445" s="1753"/>
      <c r="BK445" s="1753"/>
      <c r="BL445" s="1753">
        <f t="shared" si="90"/>
        <v>0</v>
      </c>
      <c r="BM445" s="1753"/>
      <c r="BN445" s="1753"/>
      <c r="BO445" s="1753">
        <f t="shared" si="81"/>
        <v>0</v>
      </c>
      <c r="BP445" s="1753"/>
      <c r="BQ445" s="1753"/>
      <c r="BR445" s="1753">
        <f t="shared" si="127"/>
        <v>0</v>
      </c>
      <c r="BS445" s="1753"/>
      <c r="BT445" s="1753"/>
      <c r="BU445" s="1753"/>
      <c r="BW445" s="391">
        <f>IF($BE445&gt;$R$66-3+($CH$335*12),108,0)</f>
        <v>108</v>
      </c>
      <c r="BX445" s="1753">
        <f t="shared" si="72"/>
        <v>0</v>
      </c>
      <c r="BY445" s="1753"/>
      <c r="BZ445" s="1753"/>
      <c r="CA445" s="1753"/>
      <c r="CB445" s="1753">
        <f t="shared" si="91"/>
        <v>0</v>
      </c>
      <c r="CC445" s="1753"/>
      <c r="CD445" s="1753"/>
      <c r="CE445" s="1753">
        <f t="shared" si="82"/>
        <v>0</v>
      </c>
      <c r="CF445" s="1753"/>
      <c r="CG445" s="1753"/>
      <c r="CH445" s="1753">
        <f t="shared" si="83"/>
        <v>0</v>
      </c>
      <c r="CI445" s="1753"/>
      <c r="CJ445" s="1753"/>
      <c r="CK445" s="1753"/>
      <c r="CM445" s="391">
        <f>IF($BE445&gt;$R$66-3+($CX$335*12),108,0)</f>
        <v>108</v>
      </c>
      <c r="CN445" s="1753">
        <f t="shared" si="73"/>
        <v>0</v>
      </c>
      <c r="CO445" s="1753"/>
      <c r="CP445" s="1753"/>
      <c r="CQ445" s="1753"/>
      <c r="CR445" s="1753">
        <f t="shared" si="92"/>
        <v>0</v>
      </c>
      <c r="CS445" s="1753"/>
      <c r="CT445" s="1753"/>
      <c r="CU445" s="1753">
        <f t="shared" si="84"/>
        <v>0</v>
      </c>
      <c r="CV445" s="1753"/>
      <c r="CW445" s="1753"/>
      <c r="CX445" s="1753">
        <f t="shared" si="85"/>
        <v>0</v>
      </c>
      <c r="CY445" s="1753"/>
      <c r="CZ445" s="1753"/>
      <c r="DA445" s="1753"/>
      <c r="DC445" s="391">
        <f>IF($BE445&gt;$R$66-3,108,0)</f>
        <v>108</v>
      </c>
      <c r="DD445" s="1753">
        <f t="shared" si="74"/>
        <v>0</v>
      </c>
      <c r="DE445" s="1753"/>
      <c r="DF445" s="1753"/>
      <c r="DG445" s="1753"/>
      <c r="DH445" s="1753">
        <f t="shared" si="93"/>
        <v>0</v>
      </c>
      <c r="DI445" s="1753"/>
      <c r="DJ445" s="1753"/>
      <c r="DK445" s="1753">
        <f t="shared" si="86"/>
        <v>0</v>
      </c>
      <c r="DL445" s="1753"/>
      <c r="DM445" s="1753"/>
      <c r="DN445" s="1753"/>
      <c r="DP445" s="391">
        <f t="shared" si="94"/>
        <v>108</v>
      </c>
      <c r="DQ445" s="1753">
        <f t="shared" si="95"/>
        <v>0</v>
      </c>
      <c r="DR445" s="1753"/>
      <c r="DS445" s="1753"/>
      <c r="DT445" s="1753"/>
      <c r="DU445" s="1753">
        <f t="shared" si="106"/>
        <v>0</v>
      </c>
      <c r="DV445" s="1753"/>
      <c r="DW445" s="1753"/>
      <c r="DX445" s="1753">
        <f t="shared" si="114"/>
        <v>0</v>
      </c>
      <c r="DY445" s="1753"/>
      <c r="DZ445" s="1753"/>
      <c r="EA445" s="1753">
        <f t="shared" si="115"/>
        <v>0</v>
      </c>
      <c r="EB445" s="1753"/>
      <c r="EC445" s="1753"/>
      <c r="ED445" s="1753"/>
      <c r="EE445" s="384"/>
      <c r="EF445" s="1744">
        <f t="shared" si="87"/>
        <v>0</v>
      </c>
      <c r="EG445" s="1745"/>
      <c r="EH445" s="1745"/>
      <c r="EI445" s="1745"/>
      <c r="EJ445" s="1746"/>
      <c r="EL445" s="1744">
        <f t="shared" si="116"/>
        <v>0</v>
      </c>
      <c r="EM445" s="1745"/>
      <c r="EN445" s="1745"/>
      <c r="EO445" s="1745"/>
      <c r="EP445" s="1746"/>
      <c r="ER445" s="1744">
        <f t="shared" si="88"/>
        <v>0</v>
      </c>
      <c r="ES445" s="1745"/>
      <c r="ET445" s="1745"/>
      <c r="EU445" s="1745"/>
      <c r="EV445" s="1746"/>
      <c r="EX445" s="1744">
        <f>IF(BE445&gt;0,Einstrahlung!$K$32*Kalkulation!$P$62/100*$AY$29*POWER((100-$P$64)/100,BD445-1),0)</f>
        <v>0</v>
      </c>
      <c r="EY445" s="1745"/>
      <c r="EZ445" s="1745"/>
      <c r="FA445" s="1745"/>
      <c r="FB445" s="1746"/>
      <c r="FD445" s="1744">
        <f t="shared" si="96"/>
        <v>0</v>
      </c>
      <c r="FE445" s="1745"/>
      <c r="FF445" s="1745"/>
      <c r="FG445" s="1745"/>
      <c r="FH445" s="1746"/>
      <c r="FI445" s="385"/>
      <c r="FJ445" s="453">
        <f t="shared" si="104"/>
        <v>0</v>
      </c>
      <c r="FK445" s="385"/>
      <c r="FL445" s="453">
        <f t="shared" si="128"/>
        <v>0</v>
      </c>
      <c r="FM445" s="385"/>
      <c r="FN445" s="453">
        <f t="shared" si="97"/>
        <v>0</v>
      </c>
      <c r="FO445" s="962">
        <f t="shared" si="102"/>
        <v>237</v>
      </c>
      <c r="FP445" s="956">
        <f t="shared" si="89"/>
        <v>0.4</v>
      </c>
      <c r="FQ445" s="453">
        <f t="shared" si="111"/>
        <v>0</v>
      </c>
      <c r="FR445" s="957">
        <f>POWER(1+$FQ$333,FS445)</f>
        <v>1</v>
      </c>
      <c r="FS445" s="617">
        <f>FS433+1</f>
        <v>8</v>
      </c>
      <c r="FT445" s="1822">
        <f t="shared" si="103"/>
        <v>0</v>
      </c>
      <c r="FU445" s="1823"/>
      <c r="FV445" s="1823"/>
      <c r="FW445" s="1823"/>
      <c r="FX445" s="1824"/>
      <c r="FY445" s="1822">
        <f t="shared" si="98"/>
        <v>0</v>
      </c>
      <c r="FZ445" s="1823"/>
      <c r="GA445" s="1823"/>
      <c r="GB445" s="1824"/>
      <c r="GC445" s="1831">
        <f t="shared" si="117"/>
        <v>0</v>
      </c>
      <c r="GD445" s="1832"/>
      <c r="GE445" s="1832"/>
      <c r="GF445" s="1833"/>
      <c r="GH445" s="1744">
        <f t="shared" si="99"/>
        <v>0</v>
      </c>
      <c r="GI445" s="1745"/>
      <c r="GJ445" s="1745"/>
      <c r="GK445" s="1746"/>
      <c r="GL445" s="1744">
        <f t="shared" si="100"/>
        <v>0</v>
      </c>
      <c r="GM445" s="1745"/>
      <c r="GN445" s="1745"/>
      <c r="GO445" s="1746"/>
      <c r="GP445" s="385"/>
      <c r="GQ445" s="1744">
        <f t="shared" si="101"/>
        <v>0</v>
      </c>
      <c r="GR445" s="1745"/>
      <c r="GS445" s="1745"/>
      <c r="GT445" s="1746"/>
      <c r="GU445" s="192">
        <f t="shared" si="105"/>
        <v>1</v>
      </c>
      <c r="GV445" s="192">
        <f>SUM($GU$337:GU445)</f>
        <v>101</v>
      </c>
      <c r="GW445" s="318"/>
      <c r="HE445" s="380">
        <f t="shared" ref="HE445:HE456" si="131">IF(GV445=108,SUM(GQ434:GT445),0)</f>
        <v>0</v>
      </c>
      <c r="HX445" s="380"/>
    </row>
    <row r="446" spans="6:232">
      <c r="F446" s="413" t="s">
        <v>201</v>
      </c>
      <c r="H446" s="1599">
        <f>IF(D263&gt;0,HF337,0)</f>
        <v>0</v>
      </c>
      <c r="I446" s="1600"/>
      <c r="J446" s="1600"/>
      <c r="K446" s="1600"/>
      <c r="L446" s="1601"/>
      <c r="N446" s="1602">
        <f t="shared" si="130"/>
        <v>0</v>
      </c>
      <c r="O446" s="1603"/>
      <c r="P446" s="1603"/>
      <c r="Q446" s="1603"/>
      <c r="R446" s="1604"/>
      <c r="Y446" s="409">
        <v>9</v>
      </c>
      <c r="Z446" s="247"/>
      <c r="AA446" s="247"/>
      <c r="AB446" s="251"/>
      <c r="AD446" s="247"/>
      <c r="AE446" s="247"/>
      <c r="AF446" s="247"/>
      <c r="AG446" s="247"/>
      <c r="AH446" s="247"/>
      <c r="AI446" s="247"/>
      <c r="AJ446" s="247"/>
      <c r="AK446" s="247"/>
      <c r="AL446" s="247"/>
      <c r="AM446" s="247"/>
      <c r="AN446" s="247"/>
      <c r="AO446" s="247"/>
      <c r="AP446" s="412">
        <f>AA263</f>
        <v>0</v>
      </c>
      <c r="AQ446" s="428"/>
      <c r="AR446" s="428"/>
      <c r="AS446" s="428"/>
      <c r="AT446" s="428"/>
      <c r="AU446" s="1614"/>
      <c r="AV446" s="1615"/>
      <c r="AW446" s="1615"/>
      <c r="AX446" s="1615"/>
      <c r="BD446" s="381">
        <f t="shared" ref="BD446:BD457" si="132">IF(BH446&lt;0,0,IF($V$21&gt;0,9,0))</f>
        <v>9</v>
      </c>
      <c r="BE446" s="382">
        <f>IF(BD446&gt;0,109,0)</f>
        <v>109</v>
      </c>
      <c r="BG446" s="395">
        <f>IF($BE446&gt;$R$66-3+($BR$335*12),109,0)</f>
        <v>109</v>
      </c>
      <c r="BH446" s="1754">
        <f t="shared" ref="BH446:BH457" si="133">IF(BR445&lt;=0,0,BR445)</f>
        <v>0</v>
      </c>
      <c r="BI446" s="1754"/>
      <c r="BJ446" s="1754"/>
      <c r="BK446" s="1754"/>
      <c r="BL446" s="1754">
        <f t="shared" si="90"/>
        <v>0</v>
      </c>
      <c r="BM446" s="1754"/>
      <c r="BN446" s="1754"/>
      <c r="BO446" s="1754">
        <f t="shared" si="81"/>
        <v>0</v>
      </c>
      <c r="BP446" s="1754"/>
      <c r="BQ446" s="1754"/>
      <c r="BR446" s="1754">
        <f t="shared" ref="BR446:BR457" si="134">BH446-BL446</f>
        <v>0</v>
      </c>
      <c r="BS446" s="1754"/>
      <c r="BT446" s="1754"/>
      <c r="BU446" s="1754"/>
      <c r="BW446" s="395">
        <f>IF($BE446&gt;$R$66-3+($CH$335*12),109,0)</f>
        <v>109</v>
      </c>
      <c r="BX446" s="1754">
        <f t="shared" si="72"/>
        <v>0</v>
      </c>
      <c r="BY446" s="1754"/>
      <c r="BZ446" s="1754"/>
      <c r="CA446" s="1754"/>
      <c r="CB446" s="1754">
        <f t="shared" si="91"/>
        <v>0</v>
      </c>
      <c r="CC446" s="1754"/>
      <c r="CD446" s="1754"/>
      <c r="CE446" s="1754">
        <f t="shared" si="82"/>
        <v>0</v>
      </c>
      <c r="CF446" s="1754"/>
      <c r="CG446" s="1754"/>
      <c r="CH446" s="1754">
        <f t="shared" si="83"/>
        <v>0</v>
      </c>
      <c r="CI446" s="1754"/>
      <c r="CJ446" s="1754"/>
      <c r="CK446" s="1754"/>
      <c r="CM446" s="395">
        <f>IF($BE446&gt;$R$66-3+($CX$335*12),109,0)</f>
        <v>109</v>
      </c>
      <c r="CN446" s="1754">
        <f t="shared" si="73"/>
        <v>0</v>
      </c>
      <c r="CO446" s="1754"/>
      <c r="CP446" s="1754"/>
      <c r="CQ446" s="1754"/>
      <c r="CR446" s="1754">
        <f t="shared" si="92"/>
        <v>0</v>
      </c>
      <c r="CS446" s="1754"/>
      <c r="CT446" s="1754"/>
      <c r="CU446" s="1754">
        <f t="shared" si="84"/>
        <v>0</v>
      </c>
      <c r="CV446" s="1754"/>
      <c r="CW446" s="1754"/>
      <c r="CX446" s="1754">
        <f t="shared" si="85"/>
        <v>0</v>
      </c>
      <c r="CY446" s="1754"/>
      <c r="CZ446" s="1754"/>
      <c r="DA446" s="1754"/>
      <c r="DC446" s="395">
        <f>IF($BE446&gt;$R$66-3,109,0)</f>
        <v>109</v>
      </c>
      <c r="DD446" s="1754">
        <f t="shared" si="74"/>
        <v>0</v>
      </c>
      <c r="DE446" s="1754"/>
      <c r="DF446" s="1754"/>
      <c r="DG446" s="1754"/>
      <c r="DH446" s="1754">
        <f t="shared" si="93"/>
        <v>0</v>
      </c>
      <c r="DI446" s="1754"/>
      <c r="DJ446" s="1754"/>
      <c r="DK446" s="1754">
        <f t="shared" si="86"/>
        <v>0</v>
      </c>
      <c r="DL446" s="1754"/>
      <c r="DM446" s="1754"/>
      <c r="DN446" s="1754"/>
      <c r="DP446" s="395">
        <f t="shared" si="94"/>
        <v>109</v>
      </c>
      <c r="DQ446" s="1754">
        <f t="shared" si="95"/>
        <v>0</v>
      </c>
      <c r="DR446" s="1754"/>
      <c r="DS446" s="1754"/>
      <c r="DT446" s="1754"/>
      <c r="DU446" s="1754">
        <f t="shared" si="106"/>
        <v>0</v>
      </c>
      <c r="DV446" s="1754"/>
      <c r="DW446" s="1754"/>
      <c r="DX446" s="1754">
        <f t="shared" si="114"/>
        <v>0</v>
      </c>
      <c r="DY446" s="1754"/>
      <c r="DZ446" s="1754"/>
      <c r="EA446" s="1754">
        <f t="shared" si="115"/>
        <v>0</v>
      </c>
      <c r="EB446" s="1754"/>
      <c r="EC446" s="1754"/>
      <c r="ED446" s="1754"/>
      <c r="EE446" s="384"/>
      <c r="EF446" s="1750">
        <f t="shared" si="87"/>
        <v>0</v>
      </c>
      <c r="EG446" s="1751"/>
      <c r="EH446" s="1751"/>
      <c r="EI446" s="1751"/>
      <c r="EJ446" s="1752"/>
      <c r="EL446" s="1750">
        <f t="shared" si="116"/>
        <v>0</v>
      </c>
      <c r="EM446" s="1751"/>
      <c r="EN446" s="1751"/>
      <c r="EO446" s="1751"/>
      <c r="EP446" s="1752"/>
      <c r="ER446" s="1750">
        <f t="shared" si="88"/>
        <v>0</v>
      </c>
      <c r="ES446" s="1751"/>
      <c r="ET446" s="1751"/>
      <c r="EU446" s="1751"/>
      <c r="EV446" s="1752"/>
      <c r="EX446" s="1750">
        <f>IF(BE446&gt;0,Einstrahlung!$K$10*Kalkulation!$P$62/100*$AY$29*POWER((100-$P$64)/100,BD446-1),0)</f>
        <v>0</v>
      </c>
      <c r="EY446" s="1751"/>
      <c r="EZ446" s="1751"/>
      <c r="FA446" s="1751"/>
      <c r="FB446" s="1752"/>
      <c r="FD446" s="1750">
        <f t="shared" si="96"/>
        <v>0</v>
      </c>
      <c r="FE446" s="1751"/>
      <c r="FF446" s="1751"/>
      <c r="FG446" s="1751"/>
      <c r="FH446" s="1752"/>
      <c r="FI446" s="385"/>
      <c r="FJ446" s="380">
        <f t="shared" si="104"/>
        <v>0</v>
      </c>
      <c r="FK446" s="385"/>
      <c r="FL446" s="380">
        <f>IF(BE446&gt;0,IF($FL$336&gt;SUM($EX$446:$FB$457),SUM($EX$446:$FB$457)/12,$FL$336/12),0)</f>
        <v>0</v>
      </c>
      <c r="FM446" s="385"/>
      <c r="FN446" s="380">
        <f t="shared" si="97"/>
        <v>0</v>
      </c>
      <c r="FO446" s="962">
        <f t="shared" si="102"/>
        <v>238</v>
      </c>
      <c r="FP446" s="956">
        <f t="shared" si="89"/>
        <v>0.4</v>
      </c>
      <c r="FQ446" s="380">
        <f t="shared" si="111"/>
        <v>0</v>
      </c>
      <c r="FR446" s="626">
        <f>IF(AND(GV446&gt;96,GV446&lt;=108),$FR$445,IF(AND(GV446&gt;108,GV446&lt;=120),$FR$457,0))</f>
        <v>1</v>
      </c>
      <c r="FT446" s="1819">
        <f t="shared" si="103"/>
        <v>0</v>
      </c>
      <c r="FU446" s="1820"/>
      <c r="FV446" s="1820"/>
      <c r="FW446" s="1820"/>
      <c r="FX446" s="1821"/>
      <c r="FY446" s="1819">
        <f t="shared" si="98"/>
        <v>0</v>
      </c>
      <c r="FZ446" s="1820"/>
      <c r="GA446" s="1820"/>
      <c r="GB446" s="1821"/>
      <c r="GC446" s="1825">
        <f t="shared" si="117"/>
        <v>0</v>
      </c>
      <c r="GD446" s="1826"/>
      <c r="GE446" s="1826"/>
      <c r="GF446" s="1827"/>
      <c r="GH446" s="1750">
        <f t="shared" si="99"/>
        <v>0</v>
      </c>
      <c r="GI446" s="1751"/>
      <c r="GJ446" s="1751"/>
      <c r="GK446" s="1751"/>
      <c r="GL446" s="1750">
        <f t="shared" si="100"/>
        <v>0</v>
      </c>
      <c r="GM446" s="1751"/>
      <c r="GN446" s="1751"/>
      <c r="GO446" s="1752"/>
      <c r="GP446" s="385"/>
      <c r="GQ446" s="1865">
        <f t="shared" si="101"/>
        <v>0</v>
      </c>
      <c r="GR446" s="1866"/>
      <c r="GS446" s="1866"/>
      <c r="GT446" s="1867"/>
      <c r="GU446" s="192">
        <f t="shared" si="105"/>
        <v>1</v>
      </c>
      <c r="GV446" s="192">
        <f>SUM($GU$337:GU446)</f>
        <v>102</v>
      </c>
      <c r="GW446" s="318"/>
      <c r="HE446" s="380">
        <f t="shared" si="131"/>
        <v>0</v>
      </c>
      <c r="HX446" s="380"/>
    </row>
    <row r="447" spans="6:232">
      <c r="F447" s="413" t="s">
        <v>202</v>
      </c>
      <c r="H447" s="1599">
        <f>IF(D265&gt;0,HG337,0)</f>
        <v>0</v>
      </c>
      <c r="I447" s="1600"/>
      <c r="J447" s="1600"/>
      <c r="K447" s="1600"/>
      <c r="L447" s="1601"/>
      <c r="N447" s="1602">
        <f t="shared" si="130"/>
        <v>0</v>
      </c>
      <c r="O447" s="1603"/>
      <c r="P447" s="1603"/>
      <c r="Q447" s="1603"/>
      <c r="R447" s="1604"/>
      <c r="Y447" s="409">
        <v>10</v>
      </c>
      <c r="Z447" s="247"/>
      <c r="AA447" s="247"/>
      <c r="AB447" s="251"/>
      <c r="AD447" s="247"/>
      <c r="AE447" s="247"/>
      <c r="AF447" s="247"/>
      <c r="AG447" s="247"/>
      <c r="AH447" s="247"/>
      <c r="AI447" s="247"/>
      <c r="AJ447" s="247"/>
      <c r="AK447" s="247"/>
      <c r="AL447" s="247"/>
      <c r="AM447" s="247"/>
      <c r="AN447" s="247"/>
      <c r="AO447" s="247"/>
      <c r="AP447" s="412">
        <f>AA265</f>
        <v>0</v>
      </c>
      <c r="AQ447" s="428"/>
      <c r="AR447" s="428"/>
      <c r="AS447" s="428"/>
      <c r="AT447" s="428"/>
      <c r="AU447" s="1614"/>
      <c r="AV447" s="1615"/>
      <c r="AW447" s="1615"/>
      <c r="AX447" s="1615"/>
      <c r="BD447" s="387">
        <f t="shared" si="132"/>
        <v>9</v>
      </c>
      <c r="BE447" s="382">
        <f>IF(BD447&gt;0,110,0)</f>
        <v>110</v>
      </c>
      <c r="BG447" s="383">
        <f>IF($BE447&gt;$R$66-3+($BR$335*12),110,0)</f>
        <v>110</v>
      </c>
      <c r="BH447" s="1754">
        <f t="shared" si="133"/>
        <v>0</v>
      </c>
      <c r="BI447" s="1754"/>
      <c r="BJ447" s="1754"/>
      <c r="BK447" s="1754"/>
      <c r="BL447" s="1754">
        <f t="shared" si="90"/>
        <v>0</v>
      </c>
      <c r="BM447" s="1754"/>
      <c r="BN447" s="1754"/>
      <c r="BO447" s="1754">
        <f t="shared" si="81"/>
        <v>0</v>
      </c>
      <c r="BP447" s="1754"/>
      <c r="BQ447" s="1754"/>
      <c r="BR447" s="1754">
        <f t="shared" si="134"/>
        <v>0</v>
      </c>
      <c r="BS447" s="1754"/>
      <c r="BT447" s="1754"/>
      <c r="BU447" s="1754"/>
      <c r="BW447" s="383">
        <f>IF($BE447&gt;$R$66-3+($CH$335*12),110,0)</f>
        <v>110</v>
      </c>
      <c r="BX447" s="1754">
        <f t="shared" si="72"/>
        <v>0</v>
      </c>
      <c r="BY447" s="1754"/>
      <c r="BZ447" s="1754"/>
      <c r="CA447" s="1754"/>
      <c r="CB447" s="1754">
        <f t="shared" si="91"/>
        <v>0</v>
      </c>
      <c r="CC447" s="1754"/>
      <c r="CD447" s="1754"/>
      <c r="CE447" s="1754">
        <f t="shared" si="82"/>
        <v>0</v>
      </c>
      <c r="CF447" s="1754"/>
      <c r="CG447" s="1754"/>
      <c r="CH447" s="1754">
        <f t="shared" si="83"/>
        <v>0</v>
      </c>
      <c r="CI447" s="1754"/>
      <c r="CJ447" s="1754"/>
      <c r="CK447" s="1754"/>
      <c r="CM447" s="383">
        <f>IF($BE447&gt;$R$66-3+($CX$335*12),110,0)</f>
        <v>110</v>
      </c>
      <c r="CN447" s="1754">
        <f t="shared" si="73"/>
        <v>0</v>
      </c>
      <c r="CO447" s="1754"/>
      <c r="CP447" s="1754"/>
      <c r="CQ447" s="1754"/>
      <c r="CR447" s="1754">
        <f t="shared" si="92"/>
        <v>0</v>
      </c>
      <c r="CS447" s="1754"/>
      <c r="CT447" s="1754"/>
      <c r="CU447" s="1754">
        <f t="shared" si="84"/>
        <v>0</v>
      </c>
      <c r="CV447" s="1754"/>
      <c r="CW447" s="1754"/>
      <c r="CX447" s="1754">
        <f t="shared" si="85"/>
        <v>0</v>
      </c>
      <c r="CY447" s="1754"/>
      <c r="CZ447" s="1754"/>
      <c r="DA447" s="1754"/>
      <c r="DC447" s="383">
        <f>IF($BE447&gt;$R$66-3,110,0)</f>
        <v>110</v>
      </c>
      <c r="DD447" s="1754">
        <f t="shared" si="74"/>
        <v>0</v>
      </c>
      <c r="DE447" s="1754"/>
      <c r="DF447" s="1754"/>
      <c r="DG447" s="1754"/>
      <c r="DH447" s="1754">
        <f t="shared" si="93"/>
        <v>0</v>
      </c>
      <c r="DI447" s="1754"/>
      <c r="DJ447" s="1754"/>
      <c r="DK447" s="1754">
        <f t="shared" si="86"/>
        <v>0</v>
      </c>
      <c r="DL447" s="1754"/>
      <c r="DM447" s="1754"/>
      <c r="DN447" s="1754"/>
      <c r="DP447" s="383">
        <f t="shared" si="94"/>
        <v>110</v>
      </c>
      <c r="DQ447" s="1754">
        <f t="shared" si="95"/>
        <v>0</v>
      </c>
      <c r="DR447" s="1754"/>
      <c r="DS447" s="1754"/>
      <c r="DT447" s="1754"/>
      <c r="DU447" s="1754">
        <f t="shared" si="106"/>
        <v>0</v>
      </c>
      <c r="DV447" s="1754"/>
      <c r="DW447" s="1754"/>
      <c r="DX447" s="1754">
        <f t="shared" si="114"/>
        <v>0</v>
      </c>
      <c r="DY447" s="1754"/>
      <c r="DZ447" s="1754"/>
      <c r="EA447" s="1754">
        <f t="shared" si="115"/>
        <v>0</v>
      </c>
      <c r="EB447" s="1754"/>
      <c r="EC447" s="1754"/>
      <c r="ED447" s="1754"/>
      <c r="EE447" s="384"/>
      <c r="EF447" s="1750">
        <f t="shared" si="87"/>
        <v>0</v>
      </c>
      <c r="EG447" s="1751"/>
      <c r="EH447" s="1751"/>
      <c r="EI447" s="1751"/>
      <c r="EJ447" s="1752"/>
      <c r="EL447" s="1750">
        <f t="shared" si="116"/>
        <v>0</v>
      </c>
      <c r="EM447" s="1751"/>
      <c r="EN447" s="1751"/>
      <c r="EO447" s="1751"/>
      <c r="EP447" s="1752"/>
      <c r="ER447" s="1750">
        <f t="shared" si="88"/>
        <v>0</v>
      </c>
      <c r="ES447" s="1751"/>
      <c r="ET447" s="1751"/>
      <c r="EU447" s="1751"/>
      <c r="EV447" s="1752"/>
      <c r="EX447" s="1750">
        <f>IF(BE447&gt;0,Einstrahlung!$K$12*Kalkulation!$P$62/100*$AY$29*POWER((100-$P$64)/100,BD447-1),0)</f>
        <v>0</v>
      </c>
      <c r="EY447" s="1751"/>
      <c r="EZ447" s="1751"/>
      <c r="FA447" s="1751"/>
      <c r="FB447" s="1752"/>
      <c r="FD447" s="1750">
        <f t="shared" si="96"/>
        <v>0</v>
      </c>
      <c r="FE447" s="1751"/>
      <c r="FF447" s="1751"/>
      <c r="FG447" s="1751"/>
      <c r="FH447" s="1752"/>
      <c r="FI447" s="385"/>
      <c r="FJ447" s="380">
        <f t="shared" si="104"/>
        <v>0</v>
      </c>
      <c r="FK447" s="385"/>
      <c r="FL447" s="380">
        <f t="shared" ref="FL447:FL457" si="135">IF(BE447&gt;0,IF($FL$336&gt;SUM($EX$446:$FB$457),SUM($EX$446:$FB$457)/12,$FL$336/12),0)</f>
        <v>0</v>
      </c>
      <c r="FM447" s="385"/>
      <c r="FN447" s="380">
        <f t="shared" si="97"/>
        <v>0</v>
      </c>
      <c r="FO447" s="962">
        <f t="shared" si="102"/>
        <v>239</v>
      </c>
      <c r="FP447" s="956">
        <f t="shared" si="89"/>
        <v>0.4</v>
      </c>
      <c r="FQ447" s="380">
        <f t="shared" si="111"/>
        <v>0</v>
      </c>
      <c r="FR447" s="626">
        <f t="shared" ref="FR447:FR456" si="136">IF(AND(GV447&gt;96,GV447&lt;=108),$FR$445,IF(AND(GV447&gt;108,GV447&lt;=120),$FR$457,0))</f>
        <v>1</v>
      </c>
      <c r="FT447" s="1819">
        <f t="shared" si="103"/>
        <v>0</v>
      </c>
      <c r="FU447" s="1820"/>
      <c r="FV447" s="1820"/>
      <c r="FW447" s="1820"/>
      <c r="FX447" s="1821"/>
      <c r="FY447" s="1819">
        <f t="shared" si="98"/>
        <v>0</v>
      </c>
      <c r="FZ447" s="1820"/>
      <c r="GA447" s="1820"/>
      <c r="GB447" s="1821"/>
      <c r="GC447" s="1825">
        <f t="shared" si="117"/>
        <v>0</v>
      </c>
      <c r="GD447" s="1826"/>
      <c r="GE447" s="1826"/>
      <c r="GF447" s="1827"/>
      <c r="GH447" s="1750">
        <f t="shared" si="99"/>
        <v>0</v>
      </c>
      <c r="GI447" s="1751"/>
      <c r="GJ447" s="1751"/>
      <c r="GK447" s="1752"/>
      <c r="GL447" s="1750">
        <f t="shared" si="100"/>
        <v>0</v>
      </c>
      <c r="GM447" s="1751"/>
      <c r="GN447" s="1751"/>
      <c r="GO447" s="1752"/>
      <c r="GP447" s="385"/>
      <c r="GQ447" s="1750">
        <f t="shared" si="101"/>
        <v>0</v>
      </c>
      <c r="GR447" s="1751"/>
      <c r="GS447" s="1751"/>
      <c r="GT447" s="1752"/>
      <c r="GU447" s="192">
        <f t="shared" si="105"/>
        <v>1</v>
      </c>
      <c r="GV447" s="192">
        <f>SUM($GU$337:GU447)</f>
        <v>103</v>
      </c>
      <c r="GW447" s="318"/>
      <c r="HE447" s="380">
        <f t="shared" si="131"/>
        <v>0</v>
      </c>
      <c r="HX447" s="380"/>
    </row>
    <row r="448" spans="6:232">
      <c r="F448" s="413" t="s">
        <v>203</v>
      </c>
      <c r="H448" s="1599">
        <f>IF(D267&gt;0,HH337,0)</f>
        <v>0</v>
      </c>
      <c r="I448" s="1600"/>
      <c r="J448" s="1600"/>
      <c r="K448" s="1600"/>
      <c r="L448" s="1601"/>
      <c r="N448" s="1602">
        <f t="shared" si="130"/>
        <v>0</v>
      </c>
      <c r="O448" s="1603"/>
      <c r="P448" s="1603"/>
      <c r="Q448" s="1603"/>
      <c r="R448" s="1604"/>
      <c r="Y448" s="409">
        <v>11</v>
      </c>
      <c r="Z448" s="247"/>
      <c r="AA448" s="247"/>
      <c r="AB448" s="251"/>
      <c r="AD448" s="247"/>
      <c r="AE448" s="247"/>
      <c r="AF448" s="247"/>
      <c r="AG448" s="247"/>
      <c r="AH448" s="247"/>
      <c r="AI448" s="247"/>
      <c r="AJ448" s="247"/>
      <c r="AK448" s="247"/>
      <c r="AL448" s="247"/>
      <c r="AM448" s="247"/>
      <c r="AN448" s="247"/>
      <c r="AO448" s="247"/>
      <c r="AP448" s="412">
        <f>AA267</f>
        <v>0</v>
      </c>
      <c r="AQ448" s="428"/>
      <c r="AR448" s="428"/>
      <c r="AS448" s="428"/>
      <c r="AT448" s="428"/>
      <c r="AU448" s="1614"/>
      <c r="AV448" s="1615"/>
      <c r="AW448" s="1615"/>
      <c r="AX448" s="1615"/>
      <c r="BD448" s="387">
        <f t="shared" si="132"/>
        <v>9</v>
      </c>
      <c r="BE448" s="382">
        <f>IF(BD448&gt;0,111,0)</f>
        <v>111</v>
      </c>
      <c r="BG448" s="383">
        <f>IF($BE448&gt;$R$66-3+($BR$335*12),111,0)</f>
        <v>111</v>
      </c>
      <c r="BH448" s="1754">
        <f t="shared" si="133"/>
        <v>0</v>
      </c>
      <c r="BI448" s="1754"/>
      <c r="BJ448" s="1754"/>
      <c r="BK448" s="1754"/>
      <c r="BL448" s="1754">
        <f t="shared" si="90"/>
        <v>0</v>
      </c>
      <c r="BM448" s="1754"/>
      <c r="BN448" s="1754"/>
      <c r="BO448" s="1754">
        <f t="shared" si="81"/>
        <v>0</v>
      </c>
      <c r="BP448" s="1754"/>
      <c r="BQ448" s="1754"/>
      <c r="BR448" s="1754">
        <f t="shared" si="134"/>
        <v>0</v>
      </c>
      <c r="BS448" s="1754"/>
      <c r="BT448" s="1754"/>
      <c r="BU448" s="1754"/>
      <c r="BW448" s="383">
        <f>IF($BE448&gt;$R$66-3+($CH$335*12),111,0)</f>
        <v>111</v>
      </c>
      <c r="BX448" s="1754">
        <f t="shared" si="72"/>
        <v>0</v>
      </c>
      <c r="BY448" s="1754"/>
      <c r="BZ448" s="1754"/>
      <c r="CA448" s="1754"/>
      <c r="CB448" s="1754">
        <f t="shared" si="91"/>
        <v>0</v>
      </c>
      <c r="CC448" s="1754"/>
      <c r="CD448" s="1754"/>
      <c r="CE448" s="1754">
        <f t="shared" si="82"/>
        <v>0</v>
      </c>
      <c r="CF448" s="1754"/>
      <c r="CG448" s="1754"/>
      <c r="CH448" s="1754">
        <f t="shared" si="83"/>
        <v>0</v>
      </c>
      <c r="CI448" s="1754"/>
      <c r="CJ448" s="1754"/>
      <c r="CK448" s="1754"/>
      <c r="CM448" s="383">
        <f>IF($BE448&gt;$R$66-3+($CX$335*12),111,0)</f>
        <v>111</v>
      </c>
      <c r="CN448" s="1754">
        <f t="shared" si="73"/>
        <v>0</v>
      </c>
      <c r="CO448" s="1754"/>
      <c r="CP448" s="1754"/>
      <c r="CQ448" s="1754"/>
      <c r="CR448" s="1754">
        <f t="shared" si="92"/>
        <v>0</v>
      </c>
      <c r="CS448" s="1754"/>
      <c r="CT448" s="1754"/>
      <c r="CU448" s="1754">
        <f t="shared" si="84"/>
        <v>0</v>
      </c>
      <c r="CV448" s="1754"/>
      <c r="CW448" s="1754"/>
      <c r="CX448" s="1754">
        <f t="shared" si="85"/>
        <v>0</v>
      </c>
      <c r="CY448" s="1754"/>
      <c r="CZ448" s="1754"/>
      <c r="DA448" s="1754"/>
      <c r="DC448" s="383">
        <f>IF($BE448&gt;$R$66-3,111,0)</f>
        <v>111</v>
      </c>
      <c r="DD448" s="1754">
        <f t="shared" si="74"/>
        <v>0</v>
      </c>
      <c r="DE448" s="1754"/>
      <c r="DF448" s="1754"/>
      <c r="DG448" s="1754"/>
      <c r="DH448" s="1754">
        <f t="shared" si="93"/>
        <v>0</v>
      </c>
      <c r="DI448" s="1754"/>
      <c r="DJ448" s="1754"/>
      <c r="DK448" s="1754">
        <f t="shared" si="86"/>
        <v>0</v>
      </c>
      <c r="DL448" s="1754"/>
      <c r="DM448" s="1754"/>
      <c r="DN448" s="1754"/>
      <c r="DP448" s="383">
        <f t="shared" si="94"/>
        <v>111</v>
      </c>
      <c r="DQ448" s="1754">
        <f t="shared" si="95"/>
        <v>0</v>
      </c>
      <c r="DR448" s="1754"/>
      <c r="DS448" s="1754"/>
      <c r="DT448" s="1754"/>
      <c r="DU448" s="1754">
        <f t="shared" si="106"/>
        <v>0</v>
      </c>
      <c r="DV448" s="1754"/>
      <c r="DW448" s="1754"/>
      <c r="DX448" s="1754">
        <f t="shared" si="114"/>
        <v>0</v>
      </c>
      <c r="DY448" s="1754"/>
      <c r="DZ448" s="1754"/>
      <c r="EA448" s="1754">
        <f t="shared" si="115"/>
        <v>0</v>
      </c>
      <c r="EB448" s="1754"/>
      <c r="EC448" s="1754"/>
      <c r="ED448" s="1754"/>
      <c r="EE448" s="384"/>
      <c r="EF448" s="1750">
        <f t="shared" si="87"/>
        <v>0</v>
      </c>
      <c r="EG448" s="1751"/>
      <c r="EH448" s="1751"/>
      <c r="EI448" s="1751"/>
      <c r="EJ448" s="1752"/>
      <c r="EL448" s="1750">
        <f t="shared" si="116"/>
        <v>0</v>
      </c>
      <c r="EM448" s="1751"/>
      <c r="EN448" s="1751"/>
      <c r="EO448" s="1751"/>
      <c r="EP448" s="1752"/>
      <c r="ER448" s="1750">
        <f t="shared" si="88"/>
        <v>0</v>
      </c>
      <c r="ES448" s="1751"/>
      <c r="ET448" s="1751"/>
      <c r="EU448" s="1751"/>
      <c r="EV448" s="1752"/>
      <c r="EX448" s="1750">
        <f>IF(BE448&gt;0,Einstrahlung!$K$14*Kalkulation!$P$62/100*$AY$29*POWER((100-$P$64)/100,BD448-1),0)</f>
        <v>0</v>
      </c>
      <c r="EY448" s="1751"/>
      <c r="EZ448" s="1751"/>
      <c r="FA448" s="1751"/>
      <c r="FB448" s="1752"/>
      <c r="FD448" s="1750">
        <f t="shared" si="96"/>
        <v>0</v>
      </c>
      <c r="FE448" s="1751"/>
      <c r="FF448" s="1751"/>
      <c r="FG448" s="1751"/>
      <c r="FH448" s="1752"/>
      <c r="FI448" s="385"/>
      <c r="FJ448" s="380">
        <f t="shared" si="104"/>
        <v>0</v>
      </c>
      <c r="FK448" s="385"/>
      <c r="FL448" s="380">
        <f t="shared" si="135"/>
        <v>0</v>
      </c>
      <c r="FM448" s="385"/>
      <c r="FN448" s="380">
        <f t="shared" si="97"/>
        <v>0</v>
      </c>
      <c r="FO448" s="962">
        <f t="shared" si="102"/>
        <v>240</v>
      </c>
      <c r="FP448" s="956">
        <f t="shared" si="89"/>
        <v>0.4</v>
      </c>
      <c r="FQ448" s="380">
        <f t="shared" si="111"/>
        <v>0</v>
      </c>
      <c r="FR448" s="626">
        <f t="shared" si="136"/>
        <v>1</v>
      </c>
      <c r="FT448" s="1819">
        <f t="shared" si="103"/>
        <v>0</v>
      </c>
      <c r="FU448" s="1820"/>
      <c r="FV448" s="1820"/>
      <c r="FW448" s="1820"/>
      <c r="FX448" s="1821"/>
      <c r="FY448" s="1819">
        <f t="shared" si="98"/>
        <v>0</v>
      </c>
      <c r="FZ448" s="1820"/>
      <c r="GA448" s="1820"/>
      <c r="GB448" s="1821"/>
      <c r="GC448" s="1825">
        <f t="shared" si="117"/>
        <v>0</v>
      </c>
      <c r="GD448" s="1826"/>
      <c r="GE448" s="1826"/>
      <c r="GF448" s="1827"/>
      <c r="GH448" s="1750">
        <f t="shared" si="99"/>
        <v>0</v>
      </c>
      <c r="GI448" s="1751"/>
      <c r="GJ448" s="1751"/>
      <c r="GK448" s="1752"/>
      <c r="GL448" s="1750">
        <f t="shared" si="100"/>
        <v>0</v>
      </c>
      <c r="GM448" s="1751"/>
      <c r="GN448" s="1751"/>
      <c r="GO448" s="1752"/>
      <c r="GP448" s="385"/>
      <c r="GQ448" s="1750">
        <f t="shared" si="101"/>
        <v>0</v>
      </c>
      <c r="GR448" s="1751"/>
      <c r="GS448" s="1751"/>
      <c r="GT448" s="1752"/>
      <c r="GU448" s="192">
        <f t="shared" si="105"/>
        <v>1</v>
      </c>
      <c r="GV448" s="192">
        <f>SUM($GU$337:GU448)</f>
        <v>104</v>
      </c>
      <c r="GW448" s="318"/>
      <c r="HE448" s="380">
        <f t="shared" si="131"/>
        <v>0</v>
      </c>
      <c r="HX448" s="380"/>
    </row>
    <row r="449" spans="6:232">
      <c r="F449" s="413" t="s">
        <v>204</v>
      </c>
      <c r="H449" s="1599">
        <f>IF(D269&gt;0,HI337,0)</f>
        <v>0</v>
      </c>
      <c r="I449" s="1600"/>
      <c r="J449" s="1600"/>
      <c r="K449" s="1600"/>
      <c r="L449" s="1601"/>
      <c r="N449" s="1602">
        <f t="shared" si="130"/>
        <v>0</v>
      </c>
      <c r="O449" s="1603"/>
      <c r="P449" s="1603"/>
      <c r="Q449" s="1603"/>
      <c r="R449" s="1604"/>
      <c r="Y449" s="409">
        <v>12</v>
      </c>
      <c r="Z449" s="247"/>
      <c r="AA449" s="247"/>
      <c r="AB449" s="251"/>
      <c r="AD449" s="247"/>
      <c r="AE449" s="247"/>
      <c r="AF449" s="247"/>
      <c r="AG449" s="247"/>
      <c r="AH449" s="247"/>
      <c r="AI449" s="247"/>
      <c r="AJ449" s="247"/>
      <c r="AK449" s="247"/>
      <c r="AL449" s="247"/>
      <c r="AM449" s="247"/>
      <c r="AN449" s="247"/>
      <c r="AO449" s="247"/>
      <c r="AP449" s="412">
        <f>AA269</f>
        <v>0</v>
      </c>
      <c r="AQ449" s="428"/>
      <c r="AR449" s="428"/>
      <c r="AS449" s="428"/>
      <c r="AT449" s="428"/>
      <c r="AU449" s="1614"/>
      <c r="AV449" s="1615"/>
      <c r="AW449" s="1615"/>
      <c r="AX449" s="1615"/>
      <c r="BD449" s="387">
        <f t="shared" si="132"/>
        <v>9</v>
      </c>
      <c r="BE449" s="382">
        <f>IF(BD449&gt;0,112,0)</f>
        <v>112</v>
      </c>
      <c r="BG449" s="383">
        <f>IF($BE449&gt;$R$66-3+($BR$335*12),112,0)</f>
        <v>112</v>
      </c>
      <c r="BH449" s="1754">
        <f t="shared" si="133"/>
        <v>0</v>
      </c>
      <c r="BI449" s="1754"/>
      <c r="BJ449" s="1754"/>
      <c r="BK449" s="1754"/>
      <c r="BL449" s="1754">
        <f t="shared" si="90"/>
        <v>0</v>
      </c>
      <c r="BM449" s="1754"/>
      <c r="BN449" s="1754"/>
      <c r="BO449" s="1754">
        <f t="shared" si="81"/>
        <v>0</v>
      </c>
      <c r="BP449" s="1754"/>
      <c r="BQ449" s="1754"/>
      <c r="BR449" s="1754">
        <f t="shared" si="134"/>
        <v>0</v>
      </c>
      <c r="BS449" s="1754"/>
      <c r="BT449" s="1754"/>
      <c r="BU449" s="1754"/>
      <c r="BW449" s="383">
        <f>IF($BE449&gt;$R$66-3+($CH$335*12),112,0)</f>
        <v>112</v>
      </c>
      <c r="BX449" s="1754">
        <f t="shared" si="72"/>
        <v>0</v>
      </c>
      <c r="BY449" s="1754"/>
      <c r="BZ449" s="1754"/>
      <c r="CA449" s="1754"/>
      <c r="CB449" s="1754">
        <f t="shared" si="91"/>
        <v>0</v>
      </c>
      <c r="CC449" s="1754"/>
      <c r="CD449" s="1754"/>
      <c r="CE449" s="1754">
        <f t="shared" si="82"/>
        <v>0</v>
      </c>
      <c r="CF449" s="1754"/>
      <c r="CG449" s="1754"/>
      <c r="CH449" s="1754">
        <f t="shared" si="83"/>
        <v>0</v>
      </c>
      <c r="CI449" s="1754"/>
      <c r="CJ449" s="1754"/>
      <c r="CK449" s="1754"/>
      <c r="CM449" s="383">
        <f>IF($BE449&gt;$R$66-3+($CX$335*12),112,0)</f>
        <v>112</v>
      </c>
      <c r="CN449" s="1754">
        <f t="shared" si="73"/>
        <v>0</v>
      </c>
      <c r="CO449" s="1754"/>
      <c r="CP449" s="1754"/>
      <c r="CQ449" s="1754"/>
      <c r="CR449" s="1754">
        <f t="shared" si="92"/>
        <v>0</v>
      </c>
      <c r="CS449" s="1754"/>
      <c r="CT449" s="1754"/>
      <c r="CU449" s="1754">
        <f t="shared" si="84"/>
        <v>0</v>
      </c>
      <c r="CV449" s="1754"/>
      <c r="CW449" s="1754"/>
      <c r="CX449" s="1754">
        <f t="shared" si="85"/>
        <v>0</v>
      </c>
      <c r="CY449" s="1754"/>
      <c r="CZ449" s="1754"/>
      <c r="DA449" s="1754"/>
      <c r="DC449" s="383">
        <f>IF($BE449&gt;$R$66-3,112,0)</f>
        <v>112</v>
      </c>
      <c r="DD449" s="1754">
        <f t="shared" si="74"/>
        <v>0</v>
      </c>
      <c r="DE449" s="1754"/>
      <c r="DF449" s="1754"/>
      <c r="DG449" s="1754"/>
      <c r="DH449" s="1754">
        <f t="shared" si="93"/>
        <v>0</v>
      </c>
      <c r="DI449" s="1754"/>
      <c r="DJ449" s="1754"/>
      <c r="DK449" s="1754">
        <f t="shared" si="86"/>
        <v>0</v>
      </c>
      <c r="DL449" s="1754"/>
      <c r="DM449" s="1754"/>
      <c r="DN449" s="1754"/>
      <c r="DP449" s="383">
        <f t="shared" si="94"/>
        <v>112</v>
      </c>
      <c r="DQ449" s="1754">
        <f t="shared" si="95"/>
        <v>0</v>
      </c>
      <c r="DR449" s="1754"/>
      <c r="DS449" s="1754"/>
      <c r="DT449" s="1754"/>
      <c r="DU449" s="1754">
        <f t="shared" si="106"/>
        <v>0</v>
      </c>
      <c r="DV449" s="1754"/>
      <c r="DW449" s="1754"/>
      <c r="DX449" s="1754">
        <f t="shared" si="114"/>
        <v>0</v>
      </c>
      <c r="DY449" s="1754"/>
      <c r="DZ449" s="1754"/>
      <c r="EA449" s="1754">
        <f t="shared" si="115"/>
        <v>0</v>
      </c>
      <c r="EB449" s="1754"/>
      <c r="EC449" s="1754"/>
      <c r="ED449" s="1754"/>
      <c r="EE449" s="384"/>
      <c r="EF449" s="1750">
        <f t="shared" si="87"/>
        <v>0</v>
      </c>
      <c r="EG449" s="1751"/>
      <c r="EH449" s="1751"/>
      <c r="EI449" s="1751"/>
      <c r="EJ449" s="1752"/>
      <c r="EL449" s="1750">
        <f t="shared" si="116"/>
        <v>0</v>
      </c>
      <c r="EM449" s="1751"/>
      <c r="EN449" s="1751"/>
      <c r="EO449" s="1751"/>
      <c r="EP449" s="1752"/>
      <c r="ER449" s="1750">
        <f t="shared" si="88"/>
        <v>0</v>
      </c>
      <c r="ES449" s="1751"/>
      <c r="ET449" s="1751"/>
      <c r="EU449" s="1751"/>
      <c r="EV449" s="1752"/>
      <c r="EX449" s="1750">
        <f>IF(BE449&gt;0,Einstrahlung!$K$16*Kalkulation!$P$62/100*$AY$29*POWER((100-$P$64)/100,BD449-1),0)</f>
        <v>0</v>
      </c>
      <c r="EY449" s="1751"/>
      <c r="EZ449" s="1751"/>
      <c r="FA449" s="1751"/>
      <c r="FB449" s="1752"/>
      <c r="FD449" s="1750">
        <f t="shared" si="96"/>
        <v>0</v>
      </c>
      <c r="FE449" s="1751"/>
      <c r="FF449" s="1751"/>
      <c r="FG449" s="1751"/>
      <c r="FH449" s="1752"/>
      <c r="FI449" s="385"/>
      <c r="FJ449" s="380">
        <f t="shared" si="104"/>
        <v>0</v>
      </c>
      <c r="FK449" s="385"/>
      <c r="FL449" s="380">
        <f t="shared" si="135"/>
        <v>0</v>
      </c>
      <c r="FM449" s="385"/>
      <c r="FN449" s="380">
        <f t="shared" si="97"/>
        <v>0</v>
      </c>
      <c r="FO449" s="962">
        <f t="shared" si="102"/>
        <v>241</v>
      </c>
      <c r="FP449" s="956">
        <f t="shared" si="89"/>
        <v>0.4</v>
      </c>
      <c r="FQ449" s="380">
        <f t="shared" si="111"/>
        <v>0</v>
      </c>
      <c r="FR449" s="626">
        <f t="shared" si="136"/>
        <v>1</v>
      </c>
      <c r="FT449" s="1819">
        <f t="shared" si="103"/>
        <v>0</v>
      </c>
      <c r="FU449" s="1820"/>
      <c r="FV449" s="1820"/>
      <c r="FW449" s="1820"/>
      <c r="FX449" s="1821"/>
      <c r="FY449" s="1819">
        <f t="shared" si="98"/>
        <v>0</v>
      </c>
      <c r="FZ449" s="1820"/>
      <c r="GA449" s="1820"/>
      <c r="GB449" s="1821"/>
      <c r="GC449" s="1825">
        <f t="shared" si="117"/>
        <v>0</v>
      </c>
      <c r="GD449" s="1826"/>
      <c r="GE449" s="1826"/>
      <c r="GF449" s="1827"/>
      <c r="GH449" s="1750">
        <f t="shared" si="99"/>
        <v>0</v>
      </c>
      <c r="GI449" s="1751"/>
      <c r="GJ449" s="1751"/>
      <c r="GK449" s="1752"/>
      <c r="GL449" s="1750">
        <f t="shared" si="100"/>
        <v>0</v>
      </c>
      <c r="GM449" s="1751"/>
      <c r="GN449" s="1751"/>
      <c r="GO449" s="1752"/>
      <c r="GP449" s="385"/>
      <c r="GQ449" s="1750">
        <f t="shared" si="101"/>
        <v>0</v>
      </c>
      <c r="GR449" s="1751"/>
      <c r="GS449" s="1751"/>
      <c r="GT449" s="1752"/>
      <c r="GU449" s="192">
        <f t="shared" si="105"/>
        <v>1</v>
      </c>
      <c r="GV449" s="192">
        <f>SUM($GU$337:GU449)</f>
        <v>105</v>
      </c>
      <c r="GW449" s="318"/>
      <c r="HE449" s="380">
        <f t="shared" si="131"/>
        <v>0</v>
      </c>
      <c r="HX449" s="380"/>
    </row>
    <row r="450" spans="6:232">
      <c r="F450" s="413" t="s">
        <v>205</v>
      </c>
      <c r="H450" s="1599">
        <f>IF(D271&gt;0,HJ337,0)</f>
        <v>0</v>
      </c>
      <c r="I450" s="1600"/>
      <c r="J450" s="1600"/>
      <c r="K450" s="1600"/>
      <c r="L450" s="1601"/>
      <c r="N450" s="1602">
        <f t="shared" si="130"/>
        <v>0</v>
      </c>
      <c r="O450" s="1603"/>
      <c r="P450" s="1603"/>
      <c r="Q450" s="1603"/>
      <c r="R450" s="1604"/>
      <c r="Y450" s="409">
        <v>13</v>
      </c>
      <c r="Z450" s="247"/>
      <c r="AA450" s="247"/>
      <c r="AB450" s="251"/>
      <c r="AD450" s="247"/>
      <c r="AE450" s="247"/>
      <c r="AF450" s="247"/>
      <c r="AG450" s="247"/>
      <c r="AH450" s="247"/>
      <c r="AI450" s="247"/>
      <c r="AJ450" s="247"/>
      <c r="AK450" s="247"/>
      <c r="AL450" s="247"/>
      <c r="AM450" s="247"/>
      <c r="AN450" s="247"/>
      <c r="AO450" s="247"/>
      <c r="AP450" s="412">
        <f>AA271</f>
        <v>0</v>
      </c>
      <c r="AQ450" s="428"/>
      <c r="AR450" s="428"/>
      <c r="AS450" s="428"/>
      <c r="AT450" s="428"/>
      <c r="AU450" s="1614"/>
      <c r="AV450" s="1615"/>
      <c r="AW450" s="1615"/>
      <c r="AX450" s="1615"/>
      <c r="BD450" s="387">
        <f t="shared" si="132"/>
        <v>9</v>
      </c>
      <c r="BE450" s="382">
        <f>IF(BD450&gt;0,113,0)</f>
        <v>113</v>
      </c>
      <c r="BG450" s="383">
        <f>IF($BE450&gt;$R$66-3+($BR$335*12),113,0)</f>
        <v>113</v>
      </c>
      <c r="BH450" s="1754">
        <f t="shared" si="133"/>
        <v>0</v>
      </c>
      <c r="BI450" s="1754"/>
      <c r="BJ450" s="1754"/>
      <c r="BK450" s="1754"/>
      <c r="BL450" s="1754">
        <f t="shared" si="90"/>
        <v>0</v>
      </c>
      <c r="BM450" s="1754"/>
      <c r="BN450" s="1754"/>
      <c r="BO450" s="1754">
        <f t="shared" si="81"/>
        <v>0</v>
      </c>
      <c r="BP450" s="1754"/>
      <c r="BQ450" s="1754"/>
      <c r="BR450" s="1754">
        <f t="shared" si="134"/>
        <v>0</v>
      </c>
      <c r="BS450" s="1754"/>
      <c r="BT450" s="1754"/>
      <c r="BU450" s="1754"/>
      <c r="BW450" s="383">
        <f>IF($BE450&gt;$R$66-3+($CH$335*12),113,0)</f>
        <v>113</v>
      </c>
      <c r="BX450" s="1754">
        <f t="shared" si="72"/>
        <v>0</v>
      </c>
      <c r="BY450" s="1754"/>
      <c r="BZ450" s="1754"/>
      <c r="CA450" s="1754"/>
      <c r="CB450" s="1754">
        <f t="shared" si="91"/>
        <v>0</v>
      </c>
      <c r="CC450" s="1754"/>
      <c r="CD450" s="1754"/>
      <c r="CE450" s="1754">
        <f t="shared" si="82"/>
        <v>0</v>
      </c>
      <c r="CF450" s="1754"/>
      <c r="CG450" s="1754"/>
      <c r="CH450" s="1754">
        <f t="shared" si="83"/>
        <v>0</v>
      </c>
      <c r="CI450" s="1754"/>
      <c r="CJ450" s="1754"/>
      <c r="CK450" s="1754"/>
      <c r="CM450" s="383">
        <f>IF($BE450&gt;$R$66-3+($CX$335*12),113,0)</f>
        <v>113</v>
      </c>
      <c r="CN450" s="1754">
        <f t="shared" si="73"/>
        <v>0</v>
      </c>
      <c r="CO450" s="1754"/>
      <c r="CP450" s="1754"/>
      <c r="CQ450" s="1754"/>
      <c r="CR450" s="1754">
        <f t="shared" si="92"/>
        <v>0</v>
      </c>
      <c r="CS450" s="1754"/>
      <c r="CT450" s="1754"/>
      <c r="CU450" s="1754">
        <f t="shared" si="84"/>
        <v>0</v>
      </c>
      <c r="CV450" s="1754"/>
      <c r="CW450" s="1754"/>
      <c r="CX450" s="1754">
        <f t="shared" si="85"/>
        <v>0</v>
      </c>
      <c r="CY450" s="1754"/>
      <c r="CZ450" s="1754"/>
      <c r="DA450" s="1754"/>
      <c r="DC450" s="383">
        <f>IF($BE450&gt;$R$66-3,113,0)</f>
        <v>113</v>
      </c>
      <c r="DD450" s="1754">
        <f t="shared" si="74"/>
        <v>0</v>
      </c>
      <c r="DE450" s="1754"/>
      <c r="DF450" s="1754"/>
      <c r="DG450" s="1754"/>
      <c r="DH450" s="1754">
        <f t="shared" si="93"/>
        <v>0</v>
      </c>
      <c r="DI450" s="1754"/>
      <c r="DJ450" s="1754"/>
      <c r="DK450" s="1754">
        <f t="shared" si="86"/>
        <v>0</v>
      </c>
      <c r="DL450" s="1754"/>
      <c r="DM450" s="1754"/>
      <c r="DN450" s="1754"/>
      <c r="DP450" s="383">
        <f t="shared" si="94"/>
        <v>113</v>
      </c>
      <c r="DQ450" s="1754">
        <f t="shared" si="95"/>
        <v>0</v>
      </c>
      <c r="DR450" s="1754"/>
      <c r="DS450" s="1754"/>
      <c r="DT450" s="1754"/>
      <c r="DU450" s="1754">
        <f t="shared" si="106"/>
        <v>0</v>
      </c>
      <c r="DV450" s="1754"/>
      <c r="DW450" s="1754"/>
      <c r="DX450" s="1754">
        <f t="shared" si="114"/>
        <v>0</v>
      </c>
      <c r="DY450" s="1754"/>
      <c r="DZ450" s="1754"/>
      <c r="EA450" s="1754">
        <f t="shared" si="115"/>
        <v>0</v>
      </c>
      <c r="EB450" s="1754"/>
      <c r="EC450" s="1754"/>
      <c r="ED450" s="1754"/>
      <c r="EE450" s="384"/>
      <c r="EF450" s="1750">
        <f t="shared" si="87"/>
        <v>0</v>
      </c>
      <c r="EG450" s="1751"/>
      <c r="EH450" s="1751"/>
      <c r="EI450" s="1751"/>
      <c r="EJ450" s="1752"/>
      <c r="EL450" s="1750">
        <f t="shared" si="116"/>
        <v>0</v>
      </c>
      <c r="EM450" s="1751"/>
      <c r="EN450" s="1751"/>
      <c r="EO450" s="1751"/>
      <c r="EP450" s="1752"/>
      <c r="ER450" s="1750">
        <f t="shared" si="88"/>
        <v>0</v>
      </c>
      <c r="ES450" s="1751"/>
      <c r="ET450" s="1751"/>
      <c r="EU450" s="1751"/>
      <c r="EV450" s="1752"/>
      <c r="EX450" s="1750">
        <f>IF(BE450&gt;0,Einstrahlung!$K$18*Kalkulation!$P$62/100*$AY$29*POWER((100-$P$64)/100,BD450-1),0)</f>
        <v>0</v>
      </c>
      <c r="EY450" s="1751"/>
      <c r="EZ450" s="1751"/>
      <c r="FA450" s="1751"/>
      <c r="FB450" s="1752"/>
      <c r="FD450" s="1750">
        <f t="shared" si="96"/>
        <v>0</v>
      </c>
      <c r="FE450" s="1751"/>
      <c r="FF450" s="1751"/>
      <c r="FG450" s="1751"/>
      <c r="FH450" s="1752"/>
      <c r="FI450" s="385"/>
      <c r="FJ450" s="380">
        <f t="shared" si="104"/>
        <v>0</v>
      </c>
      <c r="FK450" s="385"/>
      <c r="FL450" s="380">
        <f t="shared" si="135"/>
        <v>0</v>
      </c>
      <c r="FM450" s="385"/>
      <c r="FN450" s="380">
        <f t="shared" si="97"/>
        <v>0</v>
      </c>
      <c r="FO450" s="962">
        <f t="shared" si="102"/>
        <v>242</v>
      </c>
      <c r="FP450" s="956">
        <f t="shared" si="89"/>
        <v>0.4</v>
      </c>
      <c r="FQ450" s="380">
        <f t="shared" si="111"/>
        <v>0</v>
      </c>
      <c r="FR450" s="626">
        <f t="shared" si="136"/>
        <v>1</v>
      </c>
      <c r="FT450" s="1819">
        <f t="shared" si="103"/>
        <v>0</v>
      </c>
      <c r="FU450" s="1820"/>
      <c r="FV450" s="1820"/>
      <c r="FW450" s="1820"/>
      <c r="FX450" s="1821"/>
      <c r="FY450" s="1819">
        <f t="shared" si="98"/>
        <v>0</v>
      </c>
      <c r="FZ450" s="1820"/>
      <c r="GA450" s="1820"/>
      <c r="GB450" s="1821"/>
      <c r="GC450" s="1825">
        <f t="shared" si="117"/>
        <v>0</v>
      </c>
      <c r="GD450" s="1826"/>
      <c r="GE450" s="1826"/>
      <c r="GF450" s="1827"/>
      <c r="GH450" s="1750">
        <f t="shared" si="99"/>
        <v>0</v>
      </c>
      <c r="GI450" s="1751"/>
      <c r="GJ450" s="1751"/>
      <c r="GK450" s="1752"/>
      <c r="GL450" s="1750">
        <f t="shared" si="100"/>
        <v>0</v>
      </c>
      <c r="GM450" s="1751"/>
      <c r="GN450" s="1751"/>
      <c r="GO450" s="1752"/>
      <c r="GP450" s="385"/>
      <c r="GQ450" s="1750">
        <f t="shared" si="101"/>
        <v>0</v>
      </c>
      <c r="GR450" s="1751"/>
      <c r="GS450" s="1751"/>
      <c r="GT450" s="1752"/>
      <c r="GU450" s="192">
        <f t="shared" si="105"/>
        <v>1</v>
      </c>
      <c r="GV450" s="192">
        <f>SUM($GU$337:GU450)</f>
        <v>106</v>
      </c>
      <c r="GW450" s="318"/>
      <c r="HE450" s="380">
        <f t="shared" si="131"/>
        <v>0</v>
      </c>
      <c r="HX450" s="380"/>
    </row>
    <row r="451" spans="6:232">
      <c r="F451" s="413" t="s">
        <v>206</v>
      </c>
      <c r="H451" s="1599">
        <f>IF(D273&gt;0,HK337,0)</f>
        <v>0</v>
      </c>
      <c r="I451" s="1600"/>
      <c r="J451" s="1600"/>
      <c r="K451" s="1600"/>
      <c r="L451" s="1601"/>
      <c r="N451" s="1602">
        <f t="shared" si="130"/>
        <v>0</v>
      </c>
      <c r="O451" s="1603"/>
      <c r="P451" s="1603"/>
      <c r="Q451" s="1603"/>
      <c r="R451" s="1604"/>
      <c r="Y451" s="409">
        <v>14</v>
      </c>
      <c r="Z451" s="247"/>
      <c r="AA451" s="247"/>
      <c r="AB451" s="251"/>
      <c r="AD451" s="247"/>
      <c r="AE451" s="247"/>
      <c r="AF451" s="247"/>
      <c r="AG451" s="247"/>
      <c r="AH451" s="247"/>
      <c r="AI451" s="247"/>
      <c r="AJ451" s="247"/>
      <c r="AK451" s="247"/>
      <c r="AL451" s="247"/>
      <c r="AM451" s="247"/>
      <c r="AN451" s="247"/>
      <c r="AO451" s="247"/>
      <c r="AP451" s="412">
        <f>AA273</f>
        <v>0</v>
      </c>
      <c r="AQ451" s="428"/>
      <c r="AR451" s="428"/>
      <c r="AS451" s="428"/>
      <c r="AT451" s="428"/>
      <c r="AU451" s="1614"/>
      <c r="AV451" s="1615"/>
      <c r="AW451" s="1615"/>
      <c r="AX451" s="1615"/>
      <c r="BD451" s="387">
        <f t="shared" si="132"/>
        <v>9</v>
      </c>
      <c r="BE451" s="382">
        <f>IF(BD451&gt;0,114,0)</f>
        <v>114</v>
      </c>
      <c r="BG451" s="383">
        <f>IF($BE451&gt;$R$66-3+($BR$335*12),114,0)</f>
        <v>114</v>
      </c>
      <c r="BH451" s="1754">
        <f t="shared" si="133"/>
        <v>0</v>
      </c>
      <c r="BI451" s="1754"/>
      <c r="BJ451" s="1754"/>
      <c r="BK451" s="1754"/>
      <c r="BL451" s="1754">
        <f t="shared" si="90"/>
        <v>0</v>
      </c>
      <c r="BM451" s="1754"/>
      <c r="BN451" s="1754"/>
      <c r="BO451" s="1754">
        <f t="shared" si="81"/>
        <v>0</v>
      </c>
      <c r="BP451" s="1754"/>
      <c r="BQ451" s="1754"/>
      <c r="BR451" s="1754">
        <f t="shared" si="134"/>
        <v>0</v>
      </c>
      <c r="BS451" s="1754"/>
      <c r="BT451" s="1754"/>
      <c r="BU451" s="1754"/>
      <c r="BW451" s="383">
        <f>IF($BE451&gt;$R$66-3+($CH$335*12),114,0)</f>
        <v>114</v>
      </c>
      <c r="BX451" s="1754">
        <f t="shared" si="72"/>
        <v>0</v>
      </c>
      <c r="BY451" s="1754"/>
      <c r="BZ451" s="1754"/>
      <c r="CA451" s="1754"/>
      <c r="CB451" s="1754">
        <f t="shared" si="91"/>
        <v>0</v>
      </c>
      <c r="CC451" s="1754"/>
      <c r="CD451" s="1754"/>
      <c r="CE451" s="1754">
        <f t="shared" si="82"/>
        <v>0</v>
      </c>
      <c r="CF451" s="1754"/>
      <c r="CG451" s="1754"/>
      <c r="CH451" s="1754">
        <f t="shared" si="83"/>
        <v>0</v>
      </c>
      <c r="CI451" s="1754"/>
      <c r="CJ451" s="1754"/>
      <c r="CK451" s="1754"/>
      <c r="CM451" s="383">
        <f>IF($BE451&gt;$R$66-3+($CX$335*12),114,0)</f>
        <v>114</v>
      </c>
      <c r="CN451" s="1754">
        <f t="shared" si="73"/>
        <v>0</v>
      </c>
      <c r="CO451" s="1754"/>
      <c r="CP451" s="1754"/>
      <c r="CQ451" s="1754"/>
      <c r="CR451" s="1754">
        <f t="shared" si="92"/>
        <v>0</v>
      </c>
      <c r="CS451" s="1754"/>
      <c r="CT451" s="1754"/>
      <c r="CU451" s="1754">
        <f t="shared" si="84"/>
        <v>0</v>
      </c>
      <c r="CV451" s="1754"/>
      <c r="CW451" s="1754"/>
      <c r="CX451" s="1754">
        <f t="shared" si="85"/>
        <v>0</v>
      </c>
      <c r="CY451" s="1754"/>
      <c r="CZ451" s="1754"/>
      <c r="DA451" s="1754"/>
      <c r="DC451" s="383">
        <f>IF($BE451&gt;$R$66-3,114,0)</f>
        <v>114</v>
      </c>
      <c r="DD451" s="1754">
        <f t="shared" si="74"/>
        <v>0</v>
      </c>
      <c r="DE451" s="1754"/>
      <c r="DF451" s="1754"/>
      <c r="DG451" s="1754"/>
      <c r="DH451" s="1754">
        <f t="shared" si="93"/>
        <v>0</v>
      </c>
      <c r="DI451" s="1754"/>
      <c r="DJ451" s="1754"/>
      <c r="DK451" s="1754">
        <f t="shared" si="86"/>
        <v>0</v>
      </c>
      <c r="DL451" s="1754"/>
      <c r="DM451" s="1754"/>
      <c r="DN451" s="1754"/>
      <c r="DP451" s="383">
        <f t="shared" si="94"/>
        <v>114</v>
      </c>
      <c r="DQ451" s="1754">
        <f t="shared" si="95"/>
        <v>0</v>
      </c>
      <c r="DR451" s="1754"/>
      <c r="DS451" s="1754"/>
      <c r="DT451" s="1754"/>
      <c r="DU451" s="1754">
        <f t="shared" si="106"/>
        <v>0</v>
      </c>
      <c r="DV451" s="1754"/>
      <c r="DW451" s="1754"/>
      <c r="DX451" s="1754">
        <f t="shared" si="114"/>
        <v>0</v>
      </c>
      <c r="DY451" s="1754"/>
      <c r="DZ451" s="1754"/>
      <c r="EA451" s="1754">
        <f t="shared" si="115"/>
        <v>0</v>
      </c>
      <c r="EB451" s="1754"/>
      <c r="EC451" s="1754"/>
      <c r="ED451" s="1754"/>
      <c r="EE451" s="384"/>
      <c r="EF451" s="1750">
        <f t="shared" si="87"/>
        <v>0</v>
      </c>
      <c r="EG451" s="1751"/>
      <c r="EH451" s="1751"/>
      <c r="EI451" s="1751"/>
      <c r="EJ451" s="1752"/>
      <c r="EL451" s="1750">
        <f t="shared" si="116"/>
        <v>0</v>
      </c>
      <c r="EM451" s="1751"/>
      <c r="EN451" s="1751"/>
      <c r="EO451" s="1751"/>
      <c r="EP451" s="1752"/>
      <c r="ER451" s="1750">
        <f t="shared" si="88"/>
        <v>0</v>
      </c>
      <c r="ES451" s="1751"/>
      <c r="ET451" s="1751"/>
      <c r="EU451" s="1751"/>
      <c r="EV451" s="1752"/>
      <c r="EX451" s="1750">
        <f>IF(BE451&gt;0,Einstrahlung!$K$20*Kalkulation!$P$62/100*$AY$29*POWER((100-$P$64)/100,BD451-1),0)</f>
        <v>0</v>
      </c>
      <c r="EY451" s="1751"/>
      <c r="EZ451" s="1751"/>
      <c r="FA451" s="1751"/>
      <c r="FB451" s="1752"/>
      <c r="FD451" s="1750">
        <f t="shared" si="96"/>
        <v>0</v>
      </c>
      <c r="FE451" s="1751"/>
      <c r="FF451" s="1751"/>
      <c r="FG451" s="1751"/>
      <c r="FH451" s="1752"/>
      <c r="FI451" s="385"/>
      <c r="FJ451" s="380">
        <f t="shared" si="104"/>
        <v>0</v>
      </c>
      <c r="FK451" s="385"/>
      <c r="FL451" s="380">
        <f t="shared" si="135"/>
        <v>0</v>
      </c>
      <c r="FM451" s="385"/>
      <c r="FN451" s="380">
        <f t="shared" si="97"/>
        <v>0</v>
      </c>
      <c r="FO451" s="962">
        <f t="shared" si="102"/>
        <v>243</v>
      </c>
      <c r="FP451" s="956">
        <f t="shared" si="89"/>
        <v>0.4</v>
      </c>
      <c r="FQ451" s="380">
        <f t="shared" si="111"/>
        <v>0</v>
      </c>
      <c r="FR451" s="626">
        <f t="shared" si="136"/>
        <v>1</v>
      </c>
      <c r="FT451" s="1819">
        <f t="shared" si="103"/>
        <v>0</v>
      </c>
      <c r="FU451" s="1820"/>
      <c r="FV451" s="1820"/>
      <c r="FW451" s="1820"/>
      <c r="FX451" s="1821"/>
      <c r="FY451" s="1819">
        <f t="shared" si="98"/>
        <v>0</v>
      </c>
      <c r="FZ451" s="1820"/>
      <c r="GA451" s="1820"/>
      <c r="GB451" s="1821"/>
      <c r="GC451" s="1825">
        <f t="shared" si="117"/>
        <v>0</v>
      </c>
      <c r="GD451" s="1826"/>
      <c r="GE451" s="1826"/>
      <c r="GF451" s="1827"/>
      <c r="GH451" s="1750">
        <f t="shared" si="99"/>
        <v>0</v>
      </c>
      <c r="GI451" s="1751"/>
      <c r="GJ451" s="1751"/>
      <c r="GK451" s="1752"/>
      <c r="GL451" s="1750">
        <f t="shared" si="100"/>
        <v>0</v>
      </c>
      <c r="GM451" s="1751"/>
      <c r="GN451" s="1751"/>
      <c r="GO451" s="1752"/>
      <c r="GP451" s="385"/>
      <c r="GQ451" s="1750">
        <f t="shared" si="101"/>
        <v>0</v>
      </c>
      <c r="GR451" s="1751"/>
      <c r="GS451" s="1751"/>
      <c r="GT451" s="1752"/>
      <c r="GU451" s="192">
        <f t="shared" si="105"/>
        <v>1</v>
      </c>
      <c r="GV451" s="192">
        <f>SUM($GU$337:GU451)</f>
        <v>107</v>
      </c>
      <c r="GW451" s="318"/>
      <c r="HE451" s="380">
        <f t="shared" si="131"/>
        <v>0</v>
      </c>
      <c r="HX451" s="380"/>
    </row>
    <row r="452" spans="6:232">
      <c r="F452" s="413" t="s">
        <v>207</v>
      </c>
      <c r="H452" s="1599">
        <f>IF(D275&gt;0,HL337,0)</f>
        <v>0</v>
      </c>
      <c r="I452" s="1600"/>
      <c r="J452" s="1600"/>
      <c r="K452" s="1600"/>
      <c r="L452" s="1601"/>
      <c r="N452" s="1602">
        <f t="shared" si="130"/>
        <v>0</v>
      </c>
      <c r="O452" s="1603"/>
      <c r="P452" s="1603"/>
      <c r="Q452" s="1603"/>
      <c r="R452" s="1604"/>
      <c r="Y452" s="409">
        <v>15</v>
      </c>
      <c r="Z452" s="247"/>
      <c r="AA452" s="247"/>
      <c r="AB452" s="251"/>
      <c r="AD452" s="247"/>
      <c r="AE452" s="247"/>
      <c r="AF452" s="247"/>
      <c r="AG452" s="247"/>
      <c r="AH452" s="247"/>
      <c r="AI452" s="247"/>
      <c r="AJ452" s="247"/>
      <c r="AK452" s="247"/>
      <c r="AL452" s="247"/>
      <c r="AM452" s="247"/>
      <c r="AN452" s="247"/>
      <c r="AO452" s="247"/>
      <c r="AP452" s="412">
        <f>AA275</f>
        <v>0</v>
      </c>
      <c r="AQ452" s="428"/>
      <c r="AR452" s="428"/>
      <c r="AS452" s="428"/>
      <c r="AT452" s="428"/>
      <c r="AU452" s="1614"/>
      <c r="AV452" s="1615"/>
      <c r="AW452" s="1615"/>
      <c r="AX452" s="1615"/>
      <c r="BD452" s="387">
        <f t="shared" si="132"/>
        <v>9</v>
      </c>
      <c r="BE452" s="382">
        <f>IF(BD452&gt;0,115,0)</f>
        <v>115</v>
      </c>
      <c r="BG452" s="383">
        <f>IF($BE452&gt;$R$66-3+($BR$335*12),115,0)</f>
        <v>115</v>
      </c>
      <c r="BH452" s="1754">
        <f t="shared" si="133"/>
        <v>0</v>
      </c>
      <c r="BI452" s="1754"/>
      <c r="BJ452" s="1754"/>
      <c r="BK452" s="1754"/>
      <c r="BL452" s="1754">
        <f t="shared" si="90"/>
        <v>0</v>
      </c>
      <c r="BM452" s="1754"/>
      <c r="BN452" s="1754"/>
      <c r="BO452" s="1754">
        <f t="shared" si="81"/>
        <v>0</v>
      </c>
      <c r="BP452" s="1754"/>
      <c r="BQ452" s="1754"/>
      <c r="BR452" s="1754">
        <f t="shared" si="134"/>
        <v>0</v>
      </c>
      <c r="BS452" s="1754"/>
      <c r="BT452" s="1754"/>
      <c r="BU452" s="1754"/>
      <c r="BW452" s="383">
        <f>IF($BE452&gt;$R$66-3+($CH$335*12),115,0)</f>
        <v>115</v>
      </c>
      <c r="BX452" s="1754">
        <f t="shared" si="72"/>
        <v>0</v>
      </c>
      <c r="BY452" s="1754"/>
      <c r="BZ452" s="1754"/>
      <c r="CA452" s="1754"/>
      <c r="CB452" s="1754">
        <f t="shared" si="91"/>
        <v>0</v>
      </c>
      <c r="CC452" s="1754"/>
      <c r="CD452" s="1754"/>
      <c r="CE452" s="1754">
        <f t="shared" si="82"/>
        <v>0</v>
      </c>
      <c r="CF452" s="1754"/>
      <c r="CG452" s="1754"/>
      <c r="CH452" s="1754">
        <f t="shared" si="83"/>
        <v>0</v>
      </c>
      <c r="CI452" s="1754"/>
      <c r="CJ452" s="1754"/>
      <c r="CK452" s="1754"/>
      <c r="CM452" s="383">
        <f>IF($BE452&gt;$R$66-3+($CX$335*12),115,0)</f>
        <v>115</v>
      </c>
      <c r="CN452" s="1754">
        <f t="shared" si="73"/>
        <v>0</v>
      </c>
      <c r="CO452" s="1754"/>
      <c r="CP452" s="1754"/>
      <c r="CQ452" s="1754"/>
      <c r="CR452" s="1754">
        <f t="shared" si="92"/>
        <v>0</v>
      </c>
      <c r="CS452" s="1754"/>
      <c r="CT452" s="1754"/>
      <c r="CU452" s="1754">
        <f t="shared" si="84"/>
        <v>0</v>
      </c>
      <c r="CV452" s="1754"/>
      <c r="CW452" s="1754"/>
      <c r="CX452" s="1754">
        <f t="shared" si="85"/>
        <v>0</v>
      </c>
      <c r="CY452" s="1754"/>
      <c r="CZ452" s="1754"/>
      <c r="DA452" s="1754"/>
      <c r="DC452" s="383">
        <f>IF($BE452&gt;$R$66-3,115,0)</f>
        <v>115</v>
      </c>
      <c r="DD452" s="1754">
        <f t="shared" si="74"/>
        <v>0</v>
      </c>
      <c r="DE452" s="1754"/>
      <c r="DF452" s="1754"/>
      <c r="DG452" s="1754"/>
      <c r="DH452" s="1754">
        <f t="shared" si="93"/>
        <v>0</v>
      </c>
      <c r="DI452" s="1754"/>
      <c r="DJ452" s="1754"/>
      <c r="DK452" s="1754">
        <f t="shared" si="86"/>
        <v>0</v>
      </c>
      <c r="DL452" s="1754"/>
      <c r="DM452" s="1754"/>
      <c r="DN452" s="1754"/>
      <c r="DP452" s="383">
        <f t="shared" si="94"/>
        <v>115</v>
      </c>
      <c r="DQ452" s="1754">
        <f t="shared" si="95"/>
        <v>0</v>
      </c>
      <c r="DR452" s="1754"/>
      <c r="DS452" s="1754"/>
      <c r="DT452" s="1754"/>
      <c r="DU452" s="1754">
        <f t="shared" si="106"/>
        <v>0</v>
      </c>
      <c r="DV452" s="1754"/>
      <c r="DW452" s="1754"/>
      <c r="DX452" s="1754">
        <f t="shared" si="114"/>
        <v>0</v>
      </c>
      <c r="DY452" s="1754"/>
      <c r="DZ452" s="1754"/>
      <c r="EA452" s="1754">
        <f t="shared" si="115"/>
        <v>0</v>
      </c>
      <c r="EB452" s="1754"/>
      <c r="EC452" s="1754"/>
      <c r="ED452" s="1754"/>
      <c r="EE452" s="384"/>
      <c r="EF452" s="1750">
        <f t="shared" si="87"/>
        <v>0</v>
      </c>
      <c r="EG452" s="1751"/>
      <c r="EH452" s="1751"/>
      <c r="EI452" s="1751"/>
      <c r="EJ452" s="1752"/>
      <c r="EL452" s="1750">
        <f t="shared" si="116"/>
        <v>0</v>
      </c>
      <c r="EM452" s="1751"/>
      <c r="EN452" s="1751"/>
      <c r="EO452" s="1751"/>
      <c r="EP452" s="1752"/>
      <c r="ER452" s="1750">
        <f t="shared" si="88"/>
        <v>0</v>
      </c>
      <c r="ES452" s="1751"/>
      <c r="ET452" s="1751"/>
      <c r="EU452" s="1751"/>
      <c r="EV452" s="1752"/>
      <c r="EX452" s="1750">
        <f>IF(BE452&gt;0,Einstrahlung!$K$22*Kalkulation!$P$62/100*$AY$29*POWER((100-$P$64)/100,BD452-1),0)</f>
        <v>0</v>
      </c>
      <c r="EY452" s="1751"/>
      <c r="EZ452" s="1751"/>
      <c r="FA452" s="1751"/>
      <c r="FB452" s="1752"/>
      <c r="FD452" s="1750">
        <f t="shared" si="96"/>
        <v>0</v>
      </c>
      <c r="FE452" s="1751"/>
      <c r="FF452" s="1751"/>
      <c r="FG452" s="1751"/>
      <c r="FH452" s="1752"/>
      <c r="FI452" s="385"/>
      <c r="FJ452" s="380">
        <f t="shared" si="104"/>
        <v>0</v>
      </c>
      <c r="FK452" s="385"/>
      <c r="FL452" s="380">
        <f t="shared" si="135"/>
        <v>0</v>
      </c>
      <c r="FM452" s="385"/>
      <c r="FN452" s="380">
        <f t="shared" si="97"/>
        <v>0</v>
      </c>
      <c r="FO452" s="962">
        <f t="shared" si="102"/>
        <v>244</v>
      </c>
      <c r="FP452" s="956">
        <f t="shared" si="89"/>
        <v>0.4</v>
      </c>
      <c r="FQ452" s="380">
        <f t="shared" si="111"/>
        <v>0</v>
      </c>
      <c r="FR452" s="626">
        <f t="shared" si="136"/>
        <v>1</v>
      </c>
      <c r="FT452" s="1819">
        <f t="shared" si="103"/>
        <v>0</v>
      </c>
      <c r="FU452" s="1820"/>
      <c r="FV452" s="1820"/>
      <c r="FW452" s="1820"/>
      <c r="FX452" s="1821"/>
      <c r="FY452" s="1819">
        <f t="shared" si="98"/>
        <v>0</v>
      </c>
      <c r="FZ452" s="1820"/>
      <c r="GA452" s="1820"/>
      <c r="GB452" s="1821"/>
      <c r="GC452" s="1825">
        <f t="shared" si="117"/>
        <v>0</v>
      </c>
      <c r="GD452" s="1826"/>
      <c r="GE452" s="1826"/>
      <c r="GF452" s="1827"/>
      <c r="GH452" s="1750">
        <f t="shared" si="99"/>
        <v>0</v>
      </c>
      <c r="GI452" s="1751"/>
      <c r="GJ452" s="1751"/>
      <c r="GK452" s="1752"/>
      <c r="GL452" s="1750">
        <f t="shared" si="100"/>
        <v>0</v>
      </c>
      <c r="GM452" s="1751"/>
      <c r="GN452" s="1751"/>
      <c r="GO452" s="1752"/>
      <c r="GP452" s="385"/>
      <c r="GQ452" s="1750">
        <f t="shared" si="101"/>
        <v>0</v>
      </c>
      <c r="GR452" s="1751"/>
      <c r="GS452" s="1751"/>
      <c r="GT452" s="1752"/>
      <c r="GU452" s="192">
        <f t="shared" si="105"/>
        <v>1</v>
      </c>
      <c r="GV452" s="192">
        <f>SUM($GU$337:GU452)</f>
        <v>108</v>
      </c>
      <c r="GW452" s="318"/>
      <c r="HE452" s="380">
        <f t="shared" si="131"/>
        <v>0</v>
      </c>
      <c r="HX452" s="380"/>
    </row>
    <row r="453" spans="6:232">
      <c r="F453" s="413" t="s">
        <v>208</v>
      </c>
      <c r="H453" s="1599">
        <f>IF(D277&gt;0,HM337,0)</f>
        <v>0</v>
      </c>
      <c r="I453" s="1600"/>
      <c r="J453" s="1600"/>
      <c r="K453" s="1600"/>
      <c r="L453" s="1601"/>
      <c r="N453" s="1602">
        <f t="shared" si="130"/>
        <v>0</v>
      </c>
      <c r="O453" s="1603"/>
      <c r="P453" s="1603"/>
      <c r="Q453" s="1603"/>
      <c r="R453" s="1604"/>
      <c r="Y453" s="409">
        <v>16</v>
      </c>
      <c r="Z453" s="247"/>
      <c r="AA453" s="247"/>
      <c r="AB453" s="251"/>
      <c r="AD453" s="247"/>
      <c r="AE453" s="247"/>
      <c r="AF453" s="247"/>
      <c r="AG453" s="247"/>
      <c r="AH453" s="247"/>
      <c r="AI453" s="247"/>
      <c r="AJ453" s="247"/>
      <c r="AK453" s="247"/>
      <c r="AL453" s="247"/>
      <c r="AM453" s="247"/>
      <c r="AN453" s="247"/>
      <c r="AO453" s="247"/>
      <c r="AP453" s="412">
        <f>AA277</f>
        <v>0</v>
      </c>
      <c r="AQ453" s="428"/>
      <c r="AR453" s="428"/>
      <c r="AS453" s="428"/>
      <c r="AT453" s="428"/>
      <c r="AU453" s="1614"/>
      <c r="AV453" s="1615"/>
      <c r="AW453" s="1615"/>
      <c r="AX453" s="1615"/>
      <c r="BD453" s="387">
        <f t="shared" si="132"/>
        <v>9</v>
      </c>
      <c r="BE453" s="382">
        <f>IF(BD453&gt;0,116,0)</f>
        <v>116</v>
      </c>
      <c r="BG453" s="383">
        <f>IF($BE453&gt;$R$66-3+($BR$335*12),116,0)</f>
        <v>116</v>
      </c>
      <c r="BH453" s="1754">
        <f t="shared" si="133"/>
        <v>0</v>
      </c>
      <c r="BI453" s="1754"/>
      <c r="BJ453" s="1754"/>
      <c r="BK453" s="1754"/>
      <c r="BL453" s="1754">
        <f t="shared" si="90"/>
        <v>0</v>
      </c>
      <c r="BM453" s="1754"/>
      <c r="BN453" s="1754"/>
      <c r="BO453" s="1754">
        <f t="shared" si="81"/>
        <v>0</v>
      </c>
      <c r="BP453" s="1754"/>
      <c r="BQ453" s="1754"/>
      <c r="BR453" s="1754">
        <f t="shared" si="134"/>
        <v>0</v>
      </c>
      <c r="BS453" s="1754"/>
      <c r="BT453" s="1754"/>
      <c r="BU453" s="1754"/>
      <c r="BW453" s="383">
        <f>IF($BE453&gt;$R$66-3+($CH$335*12),116,0)</f>
        <v>116</v>
      </c>
      <c r="BX453" s="1754">
        <f t="shared" si="72"/>
        <v>0</v>
      </c>
      <c r="BY453" s="1754"/>
      <c r="BZ453" s="1754"/>
      <c r="CA453" s="1754"/>
      <c r="CB453" s="1754">
        <f t="shared" si="91"/>
        <v>0</v>
      </c>
      <c r="CC453" s="1754"/>
      <c r="CD453" s="1754"/>
      <c r="CE453" s="1754">
        <f t="shared" si="82"/>
        <v>0</v>
      </c>
      <c r="CF453" s="1754"/>
      <c r="CG453" s="1754"/>
      <c r="CH453" s="1754">
        <f t="shared" si="83"/>
        <v>0</v>
      </c>
      <c r="CI453" s="1754"/>
      <c r="CJ453" s="1754"/>
      <c r="CK453" s="1754"/>
      <c r="CM453" s="383">
        <f>IF($BE453&gt;$R$66-3+($CX$335*12),116,0)</f>
        <v>116</v>
      </c>
      <c r="CN453" s="1754">
        <f t="shared" si="73"/>
        <v>0</v>
      </c>
      <c r="CO453" s="1754"/>
      <c r="CP453" s="1754"/>
      <c r="CQ453" s="1754"/>
      <c r="CR453" s="1754">
        <f t="shared" si="92"/>
        <v>0</v>
      </c>
      <c r="CS453" s="1754"/>
      <c r="CT453" s="1754"/>
      <c r="CU453" s="1754">
        <f t="shared" si="84"/>
        <v>0</v>
      </c>
      <c r="CV453" s="1754"/>
      <c r="CW453" s="1754"/>
      <c r="CX453" s="1754">
        <f t="shared" si="85"/>
        <v>0</v>
      </c>
      <c r="CY453" s="1754"/>
      <c r="CZ453" s="1754"/>
      <c r="DA453" s="1754"/>
      <c r="DC453" s="383">
        <f>IF($BE453&gt;$R$66-3,116,0)</f>
        <v>116</v>
      </c>
      <c r="DD453" s="1754">
        <f t="shared" si="74"/>
        <v>0</v>
      </c>
      <c r="DE453" s="1754"/>
      <c r="DF453" s="1754"/>
      <c r="DG453" s="1754"/>
      <c r="DH453" s="1754">
        <f t="shared" si="93"/>
        <v>0</v>
      </c>
      <c r="DI453" s="1754"/>
      <c r="DJ453" s="1754"/>
      <c r="DK453" s="1754">
        <f t="shared" si="86"/>
        <v>0</v>
      </c>
      <c r="DL453" s="1754"/>
      <c r="DM453" s="1754"/>
      <c r="DN453" s="1754"/>
      <c r="DP453" s="383">
        <f t="shared" si="94"/>
        <v>116</v>
      </c>
      <c r="DQ453" s="1754">
        <f t="shared" si="95"/>
        <v>0</v>
      </c>
      <c r="DR453" s="1754"/>
      <c r="DS453" s="1754"/>
      <c r="DT453" s="1754"/>
      <c r="DU453" s="1754">
        <f t="shared" si="106"/>
        <v>0</v>
      </c>
      <c r="DV453" s="1754"/>
      <c r="DW453" s="1754"/>
      <c r="DX453" s="1754">
        <f t="shared" si="114"/>
        <v>0</v>
      </c>
      <c r="DY453" s="1754"/>
      <c r="DZ453" s="1754"/>
      <c r="EA453" s="1754">
        <f t="shared" si="115"/>
        <v>0</v>
      </c>
      <c r="EB453" s="1754"/>
      <c r="EC453" s="1754"/>
      <c r="ED453" s="1754"/>
      <c r="EE453" s="384"/>
      <c r="EF453" s="1750">
        <f t="shared" si="87"/>
        <v>0</v>
      </c>
      <c r="EG453" s="1751"/>
      <c r="EH453" s="1751"/>
      <c r="EI453" s="1751"/>
      <c r="EJ453" s="1752"/>
      <c r="EL453" s="1750">
        <f t="shared" si="116"/>
        <v>0</v>
      </c>
      <c r="EM453" s="1751"/>
      <c r="EN453" s="1751"/>
      <c r="EO453" s="1751"/>
      <c r="EP453" s="1752"/>
      <c r="ER453" s="1750">
        <f t="shared" si="88"/>
        <v>0</v>
      </c>
      <c r="ES453" s="1751"/>
      <c r="ET453" s="1751"/>
      <c r="EU453" s="1751"/>
      <c r="EV453" s="1752"/>
      <c r="EX453" s="1750">
        <f>IF(BE453&gt;0,Einstrahlung!$K$24*Kalkulation!$P$62/100*$AY$29*POWER((100-$P$64)/100,BD453-1),0)</f>
        <v>0</v>
      </c>
      <c r="EY453" s="1751"/>
      <c r="EZ453" s="1751"/>
      <c r="FA453" s="1751"/>
      <c r="FB453" s="1752"/>
      <c r="FD453" s="1750">
        <f t="shared" si="96"/>
        <v>0</v>
      </c>
      <c r="FE453" s="1751"/>
      <c r="FF453" s="1751"/>
      <c r="FG453" s="1751"/>
      <c r="FH453" s="1752"/>
      <c r="FI453" s="385"/>
      <c r="FJ453" s="380">
        <f t="shared" si="104"/>
        <v>0</v>
      </c>
      <c r="FK453" s="385"/>
      <c r="FL453" s="380">
        <f t="shared" si="135"/>
        <v>0</v>
      </c>
      <c r="FM453" s="385"/>
      <c r="FN453" s="380">
        <f t="shared" si="97"/>
        <v>0</v>
      </c>
      <c r="FO453" s="962">
        <f t="shared" si="102"/>
        <v>245</v>
      </c>
      <c r="FP453" s="956">
        <f t="shared" si="89"/>
        <v>0.4</v>
      </c>
      <c r="FQ453" s="380">
        <f t="shared" si="111"/>
        <v>0</v>
      </c>
      <c r="FR453" s="626">
        <f t="shared" si="136"/>
        <v>1</v>
      </c>
      <c r="FT453" s="1819">
        <f t="shared" si="103"/>
        <v>0</v>
      </c>
      <c r="FU453" s="1820"/>
      <c r="FV453" s="1820"/>
      <c r="FW453" s="1820"/>
      <c r="FX453" s="1821"/>
      <c r="FY453" s="1819">
        <f t="shared" si="98"/>
        <v>0</v>
      </c>
      <c r="FZ453" s="1820"/>
      <c r="GA453" s="1820"/>
      <c r="GB453" s="1821"/>
      <c r="GC453" s="1825">
        <f t="shared" si="117"/>
        <v>0</v>
      </c>
      <c r="GD453" s="1826"/>
      <c r="GE453" s="1826"/>
      <c r="GF453" s="1827"/>
      <c r="GH453" s="1750">
        <f t="shared" si="99"/>
        <v>0</v>
      </c>
      <c r="GI453" s="1751"/>
      <c r="GJ453" s="1751"/>
      <c r="GK453" s="1752"/>
      <c r="GL453" s="1750">
        <f t="shared" si="100"/>
        <v>0</v>
      </c>
      <c r="GM453" s="1751"/>
      <c r="GN453" s="1751"/>
      <c r="GO453" s="1752"/>
      <c r="GP453" s="385"/>
      <c r="GQ453" s="1750">
        <f t="shared" si="101"/>
        <v>0</v>
      </c>
      <c r="GR453" s="1751"/>
      <c r="GS453" s="1751"/>
      <c r="GT453" s="1752"/>
      <c r="GU453" s="192">
        <f t="shared" si="105"/>
        <v>1</v>
      </c>
      <c r="GV453" s="192">
        <f>SUM($GU$337:GU453)</f>
        <v>109</v>
      </c>
      <c r="GW453" s="318"/>
      <c r="HE453" s="380">
        <f t="shared" si="131"/>
        <v>0</v>
      </c>
      <c r="HX453" s="380"/>
    </row>
    <row r="454" spans="6:232">
      <c r="F454" s="413" t="s">
        <v>209</v>
      </c>
      <c r="H454" s="1599">
        <f>IF(D279&gt;0,HN337,0)</f>
        <v>0</v>
      </c>
      <c r="I454" s="1600"/>
      <c r="J454" s="1600"/>
      <c r="K454" s="1600"/>
      <c r="L454" s="1601"/>
      <c r="N454" s="1602">
        <f t="shared" si="130"/>
        <v>0</v>
      </c>
      <c r="O454" s="1603"/>
      <c r="P454" s="1603"/>
      <c r="Q454" s="1603"/>
      <c r="R454" s="1604"/>
      <c r="Y454" s="409">
        <v>17</v>
      </c>
      <c r="Z454" s="247"/>
      <c r="AA454" s="247"/>
      <c r="AB454" s="251"/>
      <c r="AD454" s="247"/>
      <c r="AE454" s="247"/>
      <c r="AF454" s="247"/>
      <c r="AG454" s="247"/>
      <c r="AH454" s="247"/>
      <c r="AI454" s="247"/>
      <c r="AJ454" s="247"/>
      <c r="AK454" s="247"/>
      <c r="AL454" s="247"/>
      <c r="AM454" s="247"/>
      <c r="AN454" s="247"/>
      <c r="AO454" s="247"/>
      <c r="AP454" s="412">
        <f>AA279</f>
        <v>0</v>
      </c>
      <c r="AQ454" s="428"/>
      <c r="AR454" s="428"/>
      <c r="AS454" s="428"/>
      <c r="AT454" s="428"/>
      <c r="AU454" s="1614"/>
      <c r="AV454" s="1615"/>
      <c r="AW454" s="1615"/>
      <c r="AX454" s="1615"/>
      <c r="BD454" s="387">
        <f t="shared" si="132"/>
        <v>9</v>
      </c>
      <c r="BE454" s="382">
        <f>IF(BD454&gt;0,117,0)</f>
        <v>117</v>
      </c>
      <c r="BG454" s="383">
        <f>IF($BE454&gt;$R$66-3+($BR$335*12),117,0)</f>
        <v>117</v>
      </c>
      <c r="BH454" s="1754">
        <f t="shared" si="133"/>
        <v>0</v>
      </c>
      <c r="BI454" s="1754"/>
      <c r="BJ454" s="1754"/>
      <c r="BK454" s="1754"/>
      <c r="BL454" s="1754">
        <f t="shared" si="90"/>
        <v>0</v>
      </c>
      <c r="BM454" s="1754"/>
      <c r="BN454" s="1754"/>
      <c r="BO454" s="1754">
        <f t="shared" si="81"/>
        <v>0</v>
      </c>
      <c r="BP454" s="1754"/>
      <c r="BQ454" s="1754"/>
      <c r="BR454" s="1754">
        <f t="shared" si="134"/>
        <v>0</v>
      </c>
      <c r="BS454" s="1754"/>
      <c r="BT454" s="1754"/>
      <c r="BU454" s="1754"/>
      <c r="BW454" s="383">
        <f>IF($BE454&gt;$R$66-3+($CH$335*12),117,0)</f>
        <v>117</v>
      </c>
      <c r="BX454" s="1754">
        <f t="shared" ref="BX454:BX517" si="137">IF(CH453&lt;=0,0,CH453)</f>
        <v>0</v>
      </c>
      <c r="BY454" s="1754"/>
      <c r="BZ454" s="1754"/>
      <c r="CA454" s="1754"/>
      <c r="CB454" s="1754">
        <f t="shared" si="91"/>
        <v>0</v>
      </c>
      <c r="CC454" s="1754"/>
      <c r="CD454" s="1754"/>
      <c r="CE454" s="1754">
        <f t="shared" si="82"/>
        <v>0</v>
      </c>
      <c r="CF454" s="1754"/>
      <c r="CG454" s="1754"/>
      <c r="CH454" s="1754">
        <f t="shared" si="83"/>
        <v>0</v>
      </c>
      <c r="CI454" s="1754"/>
      <c r="CJ454" s="1754"/>
      <c r="CK454" s="1754"/>
      <c r="CM454" s="383">
        <f>IF($BE454&gt;$R$66-3+($CX$335*12),117,0)</f>
        <v>117</v>
      </c>
      <c r="CN454" s="1754">
        <f t="shared" ref="CN454:CN517" si="138">IF(CX453&lt;=0,0,CX453)</f>
        <v>0</v>
      </c>
      <c r="CO454" s="1754"/>
      <c r="CP454" s="1754"/>
      <c r="CQ454" s="1754"/>
      <c r="CR454" s="1754">
        <f t="shared" si="92"/>
        <v>0</v>
      </c>
      <c r="CS454" s="1754"/>
      <c r="CT454" s="1754"/>
      <c r="CU454" s="1754">
        <f t="shared" si="84"/>
        <v>0</v>
      </c>
      <c r="CV454" s="1754"/>
      <c r="CW454" s="1754"/>
      <c r="CX454" s="1754">
        <f t="shared" si="85"/>
        <v>0</v>
      </c>
      <c r="CY454" s="1754"/>
      <c r="CZ454" s="1754"/>
      <c r="DA454" s="1754"/>
      <c r="DC454" s="383">
        <f>IF($BE454&gt;$R$66-3,117,0)</f>
        <v>117</v>
      </c>
      <c r="DD454" s="1754">
        <f t="shared" ref="DD454:DD517" si="139">IF(DK453&lt;=0,0,DK453)</f>
        <v>0</v>
      </c>
      <c r="DE454" s="1754"/>
      <c r="DF454" s="1754"/>
      <c r="DG454" s="1754"/>
      <c r="DH454" s="1754">
        <f t="shared" si="93"/>
        <v>0</v>
      </c>
      <c r="DI454" s="1754"/>
      <c r="DJ454" s="1754"/>
      <c r="DK454" s="1754">
        <f t="shared" si="86"/>
        <v>0</v>
      </c>
      <c r="DL454" s="1754"/>
      <c r="DM454" s="1754"/>
      <c r="DN454" s="1754"/>
      <c r="DP454" s="383">
        <f t="shared" si="94"/>
        <v>117</v>
      </c>
      <c r="DQ454" s="1754">
        <f t="shared" si="95"/>
        <v>0</v>
      </c>
      <c r="DR454" s="1754"/>
      <c r="DS454" s="1754"/>
      <c r="DT454" s="1754"/>
      <c r="DU454" s="1754">
        <f t="shared" si="106"/>
        <v>0</v>
      </c>
      <c r="DV454" s="1754"/>
      <c r="DW454" s="1754"/>
      <c r="DX454" s="1754">
        <f t="shared" si="114"/>
        <v>0</v>
      </c>
      <c r="DY454" s="1754"/>
      <c r="DZ454" s="1754"/>
      <c r="EA454" s="1754">
        <f t="shared" si="115"/>
        <v>0</v>
      </c>
      <c r="EB454" s="1754"/>
      <c r="EC454" s="1754"/>
      <c r="ED454" s="1754"/>
      <c r="EE454" s="384"/>
      <c r="EF454" s="1750">
        <f t="shared" si="87"/>
        <v>0</v>
      </c>
      <c r="EG454" s="1751"/>
      <c r="EH454" s="1751"/>
      <c r="EI454" s="1751"/>
      <c r="EJ454" s="1752"/>
      <c r="EL454" s="1750">
        <f t="shared" si="116"/>
        <v>0</v>
      </c>
      <c r="EM454" s="1751"/>
      <c r="EN454" s="1751"/>
      <c r="EO454" s="1751"/>
      <c r="EP454" s="1752"/>
      <c r="ER454" s="1750">
        <f t="shared" si="88"/>
        <v>0</v>
      </c>
      <c r="ES454" s="1751"/>
      <c r="ET454" s="1751"/>
      <c r="EU454" s="1751"/>
      <c r="EV454" s="1752"/>
      <c r="EX454" s="1750">
        <f>IF(BE454&gt;0,Einstrahlung!$K$26*Kalkulation!$P$62/100*$AY$29*POWER((100-$P$64)/100,BD454-1),0)</f>
        <v>0</v>
      </c>
      <c r="EY454" s="1751"/>
      <c r="EZ454" s="1751"/>
      <c r="FA454" s="1751"/>
      <c r="FB454" s="1752"/>
      <c r="FD454" s="1750">
        <f t="shared" si="96"/>
        <v>0</v>
      </c>
      <c r="FE454" s="1751"/>
      <c r="FF454" s="1751"/>
      <c r="FG454" s="1751"/>
      <c r="FH454" s="1752"/>
      <c r="FI454" s="385"/>
      <c r="FJ454" s="380">
        <f t="shared" si="104"/>
        <v>0</v>
      </c>
      <c r="FK454" s="385"/>
      <c r="FL454" s="380">
        <f t="shared" si="135"/>
        <v>0</v>
      </c>
      <c r="FM454" s="385"/>
      <c r="FN454" s="380">
        <f t="shared" si="97"/>
        <v>0</v>
      </c>
      <c r="FO454" s="962">
        <f t="shared" si="102"/>
        <v>246</v>
      </c>
      <c r="FP454" s="956">
        <f t="shared" si="89"/>
        <v>0.4</v>
      </c>
      <c r="FQ454" s="380">
        <f t="shared" si="111"/>
        <v>0</v>
      </c>
      <c r="FR454" s="626">
        <f t="shared" si="136"/>
        <v>1</v>
      </c>
      <c r="FT454" s="1819">
        <f t="shared" si="103"/>
        <v>0</v>
      </c>
      <c r="FU454" s="1820"/>
      <c r="FV454" s="1820"/>
      <c r="FW454" s="1820"/>
      <c r="FX454" s="1821"/>
      <c r="FY454" s="1819">
        <f t="shared" si="98"/>
        <v>0</v>
      </c>
      <c r="FZ454" s="1820"/>
      <c r="GA454" s="1820"/>
      <c r="GB454" s="1821"/>
      <c r="GC454" s="1825">
        <f t="shared" si="117"/>
        <v>0</v>
      </c>
      <c r="GD454" s="1826"/>
      <c r="GE454" s="1826"/>
      <c r="GF454" s="1827"/>
      <c r="GH454" s="1750">
        <f t="shared" si="99"/>
        <v>0</v>
      </c>
      <c r="GI454" s="1751"/>
      <c r="GJ454" s="1751"/>
      <c r="GK454" s="1752"/>
      <c r="GL454" s="1750">
        <f t="shared" si="100"/>
        <v>0</v>
      </c>
      <c r="GM454" s="1751"/>
      <c r="GN454" s="1751"/>
      <c r="GO454" s="1752"/>
      <c r="GP454" s="385"/>
      <c r="GQ454" s="1750">
        <f t="shared" si="101"/>
        <v>0</v>
      </c>
      <c r="GR454" s="1751"/>
      <c r="GS454" s="1751"/>
      <c r="GT454" s="1752"/>
      <c r="GU454" s="192">
        <f t="shared" si="105"/>
        <v>1</v>
      </c>
      <c r="GV454" s="192">
        <f>SUM($GU$337:GU454)</f>
        <v>110</v>
      </c>
      <c r="GW454" s="318"/>
      <c r="HE454" s="380">
        <f t="shared" si="131"/>
        <v>0</v>
      </c>
      <c r="HX454" s="380"/>
    </row>
    <row r="455" spans="6:232">
      <c r="F455" s="413" t="s">
        <v>210</v>
      </c>
      <c r="H455" s="1599">
        <f>IF(D281&gt;0,HO337,0)</f>
        <v>0</v>
      </c>
      <c r="I455" s="1600"/>
      <c r="J455" s="1600"/>
      <c r="K455" s="1600"/>
      <c r="L455" s="1601"/>
      <c r="N455" s="1602">
        <f t="shared" si="130"/>
        <v>0</v>
      </c>
      <c r="O455" s="1603"/>
      <c r="P455" s="1603"/>
      <c r="Q455" s="1603"/>
      <c r="R455" s="1604"/>
      <c r="Y455" s="409">
        <v>18</v>
      </c>
      <c r="Z455" s="247"/>
      <c r="AA455" s="247"/>
      <c r="AB455" s="251"/>
      <c r="AD455" s="247"/>
      <c r="AE455" s="247"/>
      <c r="AF455" s="247"/>
      <c r="AG455" s="247"/>
      <c r="AH455" s="247"/>
      <c r="AI455" s="247"/>
      <c r="AJ455" s="247"/>
      <c r="AK455" s="247"/>
      <c r="AL455" s="247"/>
      <c r="AM455" s="247"/>
      <c r="AN455" s="247"/>
      <c r="AO455" s="247"/>
      <c r="AP455" s="412">
        <f>AA281</f>
        <v>0</v>
      </c>
      <c r="AQ455" s="428"/>
      <c r="AR455" s="428"/>
      <c r="AS455" s="428"/>
      <c r="AT455" s="428"/>
      <c r="BD455" s="387">
        <f t="shared" si="132"/>
        <v>9</v>
      </c>
      <c r="BE455" s="382">
        <f>IF(BD455&gt;0,118,0)</f>
        <v>118</v>
      </c>
      <c r="BG455" s="383">
        <f>IF($BE455&gt;$R$66-3+($BR$335*12),118,0)</f>
        <v>118</v>
      </c>
      <c r="BH455" s="1754">
        <f t="shared" si="133"/>
        <v>0</v>
      </c>
      <c r="BI455" s="1754"/>
      <c r="BJ455" s="1754"/>
      <c r="BK455" s="1754"/>
      <c r="BL455" s="1754">
        <f t="shared" si="90"/>
        <v>0</v>
      </c>
      <c r="BM455" s="1754"/>
      <c r="BN455" s="1754"/>
      <c r="BO455" s="1754">
        <f t="shared" si="81"/>
        <v>0</v>
      </c>
      <c r="BP455" s="1754"/>
      <c r="BQ455" s="1754"/>
      <c r="BR455" s="1754">
        <f t="shared" si="134"/>
        <v>0</v>
      </c>
      <c r="BS455" s="1754"/>
      <c r="BT455" s="1754"/>
      <c r="BU455" s="1754"/>
      <c r="BW455" s="383">
        <f>IF($BE455&gt;$R$66-3+($CH$335*12),118,0)</f>
        <v>118</v>
      </c>
      <c r="BX455" s="1754">
        <f t="shared" si="137"/>
        <v>0</v>
      </c>
      <c r="BY455" s="1754"/>
      <c r="BZ455" s="1754"/>
      <c r="CA455" s="1754"/>
      <c r="CB455" s="1754">
        <f t="shared" si="91"/>
        <v>0</v>
      </c>
      <c r="CC455" s="1754"/>
      <c r="CD455" s="1754"/>
      <c r="CE455" s="1754">
        <f t="shared" si="82"/>
        <v>0</v>
      </c>
      <c r="CF455" s="1754"/>
      <c r="CG455" s="1754"/>
      <c r="CH455" s="1754">
        <f t="shared" si="83"/>
        <v>0</v>
      </c>
      <c r="CI455" s="1754"/>
      <c r="CJ455" s="1754"/>
      <c r="CK455" s="1754"/>
      <c r="CM455" s="383">
        <f>IF($BE455&gt;$R$66-3+($CX$335*12),118,0)</f>
        <v>118</v>
      </c>
      <c r="CN455" s="1754">
        <f t="shared" si="138"/>
        <v>0</v>
      </c>
      <c r="CO455" s="1754"/>
      <c r="CP455" s="1754"/>
      <c r="CQ455" s="1754"/>
      <c r="CR455" s="1754">
        <f t="shared" si="92"/>
        <v>0</v>
      </c>
      <c r="CS455" s="1754"/>
      <c r="CT455" s="1754"/>
      <c r="CU455" s="1754">
        <f t="shared" si="84"/>
        <v>0</v>
      </c>
      <c r="CV455" s="1754"/>
      <c r="CW455" s="1754"/>
      <c r="CX455" s="1754">
        <f t="shared" si="85"/>
        <v>0</v>
      </c>
      <c r="CY455" s="1754"/>
      <c r="CZ455" s="1754"/>
      <c r="DA455" s="1754"/>
      <c r="DC455" s="383">
        <f>IF($BE455&gt;$R$66-3,118,0)</f>
        <v>118</v>
      </c>
      <c r="DD455" s="1754">
        <f t="shared" si="139"/>
        <v>0</v>
      </c>
      <c r="DE455" s="1754"/>
      <c r="DF455" s="1754"/>
      <c r="DG455" s="1754"/>
      <c r="DH455" s="1754">
        <f t="shared" si="93"/>
        <v>0</v>
      </c>
      <c r="DI455" s="1754"/>
      <c r="DJ455" s="1754"/>
      <c r="DK455" s="1754">
        <f t="shared" si="86"/>
        <v>0</v>
      </c>
      <c r="DL455" s="1754"/>
      <c r="DM455" s="1754"/>
      <c r="DN455" s="1754"/>
      <c r="DP455" s="383">
        <f t="shared" si="94"/>
        <v>118</v>
      </c>
      <c r="DQ455" s="1754">
        <f t="shared" si="95"/>
        <v>0</v>
      </c>
      <c r="DR455" s="1754"/>
      <c r="DS455" s="1754"/>
      <c r="DT455" s="1754"/>
      <c r="DU455" s="1754">
        <f t="shared" si="106"/>
        <v>0</v>
      </c>
      <c r="DV455" s="1754"/>
      <c r="DW455" s="1754"/>
      <c r="DX455" s="1754">
        <f t="shared" si="114"/>
        <v>0</v>
      </c>
      <c r="DY455" s="1754"/>
      <c r="DZ455" s="1754"/>
      <c r="EA455" s="1754">
        <f t="shared" si="115"/>
        <v>0</v>
      </c>
      <c r="EB455" s="1754"/>
      <c r="EC455" s="1754"/>
      <c r="ED455" s="1754"/>
      <c r="EE455" s="384"/>
      <c r="EF455" s="1750">
        <f t="shared" si="87"/>
        <v>0</v>
      </c>
      <c r="EG455" s="1751"/>
      <c r="EH455" s="1751"/>
      <c r="EI455" s="1751"/>
      <c r="EJ455" s="1752"/>
      <c r="EL455" s="1750">
        <f t="shared" si="116"/>
        <v>0</v>
      </c>
      <c r="EM455" s="1751"/>
      <c r="EN455" s="1751"/>
      <c r="EO455" s="1751"/>
      <c r="EP455" s="1752"/>
      <c r="ER455" s="1750">
        <f t="shared" si="88"/>
        <v>0</v>
      </c>
      <c r="ES455" s="1751"/>
      <c r="ET455" s="1751"/>
      <c r="EU455" s="1751"/>
      <c r="EV455" s="1752"/>
      <c r="EX455" s="1750">
        <f>IF(BE455&gt;0,Einstrahlung!$K$28*Kalkulation!$P$62/100*$AY$29*POWER((100-$P$64)/100,BD455-1),0)</f>
        <v>0</v>
      </c>
      <c r="EY455" s="1751"/>
      <c r="EZ455" s="1751"/>
      <c r="FA455" s="1751"/>
      <c r="FB455" s="1752"/>
      <c r="FD455" s="1750">
        <f t="shared" si="96"/>
        <v>0</v>
      </c>
      <c r="FE455" s="1751"/>
      <c r="FF455" s="1751"/>
      <c r="FG455" s="1751"/>
      <c r="FH455" s="1752"/>
      <c r="FI455" s="385"/>
      <c r="FJ455" s="380">
        <f t="shared" si="104"/>
        <v>0</v>
      </c>
      <c r="FK455" s="385"/>
      <c r="FL455" s="380">
        <f t="shared" si="135"/>
        <v>0</v>
      </c>
      <c r="FM455" s="385"/>
      <c r="FN455" s="380">
        <f t="shared" si="97"/>
        <v>0</v>
      </c>
      <c r="FO455" s="962">
        <f t="shared" si="102"/>
        <v>247</v>
      </c>
      <c r="FP455" s="956">
        <f t="shared" si="89"/>
        <v>0.4</v>
      </c>
      <c r="FQ455" s="380">
        <f t="shared" si="111"/>
        <v>0</v>
      </c>
      <c r="FR455" s="626">
        <f t="shared" si="136"/>
        <v>1</v>
      </c>
      <c r="FT455" s="1819">
        <f t="shared" si="103"/>
        <v>0</v>
      </c>
      <c r="FU455" s="1820"/>
      <c r="FV455" s="1820"/>
      <c r="FW455" s="1820"/>
      <c r="FX455" s="1821"/>
      <c r="FY455" s="1819">
        <f t="shared" si="98"/>
        <v>0</v>
      </c>
      <c r="FZ455" s="1820"/>
      <c r="GA455" s="1820"/>
      <c r="GB455" s="1821"/>
      <c r="GC455" s="1825">
        <f t="shared" si="117"/>
        <v>0</v>
      </c>
      <c r="GD455" s="1826"/>
      <c r="GE455" s="1826"/>
      <c r="GF455" s="1827"/>
      <c r="GH455" s="1750">
        <f t="shared" si="99"/>
        <v>0</v>
      </c>
      <c r="GI455" s="1751"/>
      <c r="GJ455" s="1751"/>
      <c r="GK455" s="1752"/>
      <c r="GL455" s="1750">
        <f t="shared" si="100"/>
        <v>0</v>
      </c>
      <c r="GM455" s="1751"/>
      <c r="GN455" s="1751"/>
      <c r="GO455" s="1752"/>
      <c r="GP455" s="385"/>
      <c r="GQ455" s="1750">
        <f t="shared" si="101"/>
        <v>0</v>
      </c>
      <c r="GR455" s="1751"/>
      <c r="GS455" s="1751"/>
      <c r="GT455" s="1752"/>
      <c r="GU455" s="192">
        <f t="shared" si="105"/>
        <v>1</v>
      </c>
      <c r="GV455" s="192">
        <f>SUM($GU$337:GU455)</f>
        <v>111</v>
      </c>
      <c r="GW455" s="318"/>
      <c r="HE455" s="380">
        <f t="shared" si="131"/>
        <v>0</v>
      </c>
      <c r="HX455" s="380"/>
    </row>
    <row r="456" spans="6:232">
      <c r="F456" s="413" t="s">
        <v>211</v>
      </c>
      <c r="H456" s="1599">
        <f>IF(D283&gt;0,HP337,0)</f>
        <v>0</v>
      </c>
      <c r="I456" s="1600"/>
      <c r="J456" s="1600"/>
      <c r="K456" s="1600"/>
      <c r="L456" s="1601"/>
      <c r="N456" s="1602">
        <f t="shared" si="130"/>
        <v>0</v>
      </c>
      <c r="O456" s="1603"/>
      <c r="P456" s="1603"/>
      <c r="Q456" s="1603"/>
      <c r="R456" s="1604"/>
      <c r="Y456" s="409">
        <v>19</v>
      </c>
      <c r="Z456" s="247"/>
      <c r="AA456" s="247"/>
      <c r="AB456" s="251"/>
      <c r="AD456" s="247"/>
      <c r="AE456" s="247"/>
      <c r="AF456" s="247"/>
      <c r="AG456" s="247"/>
      <c r="AH456" s="247"/>
      <c r="AI456" s="247"/>
      <c r="AJ456" s="247"/>
      <c r="AK456" s="247"/>
      <c r="AL456" s="247"/>
      <c r="AM456" s="247"/>
      <c r="AN456" s="247"/>
      <c r="AO456" s="247"/>
      <c r="AP456" s="412">
        <f>AA283</f>
        <v>0</v>
      </c>
      <c r="AQ456" s="428"/>
      <c r="AR456" s="428"/>
      <c r="AS456" s="428"/>
      <c r="AT456" s="428"/>
      <c r="BD456" s="387">
        <f t="shared" si="132"/>
        <v>9</v>
      </c>
      <c r="BE456" s="382">
        <f>IF(BD456&gt;0,119,0)</f>
        <v>119</v>
      </c>
      <c r="BG456" s="383">
        <f>IF($BE456&gt;$R$66-3+($BR$335*12),119,0)</f>
        <v>119</v>
      </c>
      <c r="BH456" s="1754">
        <f t="shared" si="133"/>
        <v>0</v>
      </c>
      <c r="BI456" s="1754"/>
      <c r="BJ456" s="1754"/>
      <c r="BK456" s="1754"/>
      <c r="BL456" s="1754">
        <f t="shared" si="90"/>
        <v>0</v>
      </c>
      <c r="BM456" s="1754"/>
      <c r="BN456" s="1754"/>
      <c r="BO456" s="1754">
        <f t="shared" si="81"/>
        <v>0</v>
      </c>
      <c r="BP456" s="1754"/>
      <c r="BQ456" s="1754"/>
      <c r="BR456" s="1754">
        <f t="shared" si="134"/>
        <v>0</v>
      </c>
      <c r="BS456" s="1754"/>
      <c r="BT456" s="1754"/>
      <c r="BU456" s="1754"/>
      <c r="BW456" s="383">
        <f>IF($BE456&gt;$R$66-3+($CH$335*12),119,0)</f>
        <v>119</v>
      </c>
      <c r="BX456" s="1754">
        <f t="shared" si="137"/>
        <v>0</v>
      </c>
      <c r="BY456" s="1754"/>
      <c r="BZ456" s="1754"/>
      <c r="CA456" s="1754"/>
      <c r="CB456" s="1754">
        <f t="shared" si="91"/>
        <v>0</v>
      </c>
      <c r="CC456" s="1754"/>
      <c r="CD456" s="1754"/>
      <c r="CE456" s="1754">
        <f t="shared" si="82"/>
        <v>0</v>
      </c>
      <c r="CF456" s="1754"/>
      <c r="CG456" s="1754"/>
      <c r="CH456" s="1754">
        <f t="shared" si="83"/>
        <v>0</v>
      </c>
      <c r="CI456" s="1754"/>
      <c r="CJ456" s="1754"/>
      <c r="CK456" s="1754"/>
      <c r="CM456" s="383">
        <f>IF($BE456&gt;$R$66-3+($CX$335*12),119,0)</f>
        <v>119</v>
      </c>
      <c r="CN456" s="1754">
        <f t="shared" si="138"/>
        <v>0</v>
      </c>
      <c r="CO456" s="1754"/>
      <c r="CP456" s="1754"/>
      <c r="CQ456" s="1754"/>
      <c r="CR456" s="1754">
        <f t="shared" si="92"/>
        <v>0</v>
      </c>
      <c r="CS456" s="1754"/>
      <c r="CT456" s="1754"/>
      <c r="CU456" s="1754">
        <f t="shared" si="84"/>
        <v>0</v>
      </c>
      <c r="CV456" s="1754"/>
      <c r="CW456" s="1754"/>
      <c r="CX456" s="1754">
        <f t="shared" si="85"/>
        <v>0</v>
      </c>
      <c r="CY456" s="1754"/>
      <c r="CZ456" s="1754"/>
      <c r="DA456" s="1754"/>
      <c r="DC456" s="383">
        <f>IF($BE456&gt;$R$66-3,119,0)</f>
        <v>119</v>
      </c>
      <c r="DD456" s="1754">
        <f t="shared" si="139"/>
        <v>0</v>
      </c>
      <c r="DE456" s="1754"/>
      <c r="DF456" s="1754"/>
      <c r="DG456" s="1754"/>
      <c r="DH456" s="1754">
        <f t="shared" si="93"/>
        <v>0</v>
      </c>
      <c r="DI456" s="1754"/>
      <c r="DJ456" s="1754"/>
      <c r="DK456" s="1754">
        <f t="shared" si="86"/>
        <v>0</v>
      </c>
      <c r="DL456" s="1754"/>
      <c r="DM456" s="1754"/>
      <c r="DN456" s="1754"/>
      <c r="DP456" s="383">
        <f t="shared" si="94"/>
        <v>119</v>
      </c>
      <c r="DQ456" s="1754">
        <f t="shared" si="95"/>
        <v>0</v>
      </c>
      <c r="DR456" s="1754"/>
      <c r="DS456" s="1754"/>
      <c r="DT456" s="1754"/>
      <c r="DU456" s="1754">
        <f t="shared" si="106"/>
        <v>0</v>
      </c>
      <c r="DV456" s="1754"/>
      <c r="DW456" s="1754"/>
      <c r="DX456" s="1754">
        <f t="shared" si="114"/>
        <v>0</v>
      </c>
      <c r="DY456" s="1754"/>
      <c r="DZ456" s="1754"/>
      <c r="EA456" s="1754">
        <f t="shared" si="115"/>
        <v>0</v>
      </c>
      <c r="EB456" s="1754"/>
      <c r="EC456" s="1754"/>
      <c r="ED456" s="1754"/>
      <c r="EE456" s="384"/>
      <c r="EF456" s="1750">
        <f t="shared" si="87"/>
        <v>0</v>
      </c>
      <c r="EG456" s="1751"/>
      <c r="EH456" s="1751"/>
      <c r="EI456" s="1751"/>
      <c r="EJ456" s="1752"/>
      <c r="EL456" s="1750">
        <f t="shared" si="116"/>
        <v>0</v>
      </c>
      <c r="EM456" s="1751"/>
      <c r="EN456" s="1751"/>
      <c r="EO456" s="1751"/>
      <c r="EP456" s="1752"/>
      <c r="ER456" s="1750">
        <f t="shared" si="88"/>
        <v>0</v>
      </c>
      <c r="ES456" s="1751"/>
      <c r="ET456" s="1751"/>
      <c r="EU456" s="1751"/>
      <c r="EV456" s="1752"/>
      <c r="EX456" s="1750">
        <f>IF(BE456&gt;0,Einstrahlung!$K$30*Kalkulation!$P$62/100*$AY$29*POWER((100-$P$64)/100,BD456-1),0)</f>
        <v>0</v>
      </c>
      <c r="EY456" s="1751"/>
      <c r="EZ456" s="1751"/>
      <c r="FA456" s="1751"/>
      <c r="FB456" s="1752"/>
      <c r="FD456" s="1750">
        <f t="shared" si="96"/>
        <v>0</v>
      </c>
      <c r="FE456" s="1751"/>
      <c r="FF456" s="1751"/>
      <c r="FG456" s="1751"/>
      <c r="FH456" s="1752"/>
      <c r="FI456" s="385"/>
      <c r="FJ456" s="380">
        <f t="shared" si="104"/>
        <v>0</v>
      </c>
      <c r="FK456" s="385"/>
      <c r="FL456" s="380">
        <f t="shared" si="135"/>
        <v>0</v>
      </c>
      <c r="FM456" s="385"/>
      <c r="FN456" s="380">
        <f t="shared" si="97"/>
        <v>0</v>
      </c>
      <c r="FO456" s="962">
        <f t="shared" si="102"/>
        <v>248</v>
      </c>
      <c r="FP456" s="956">
        <f t="shared" si="89"/>
        <v>0.4</v>
      </c>
      <c r="FQ456" s="380">
        <f t="shared" si="111"/>
        <v>0</v>
      </c>
      <c r="FR456" s="626">
        <f t="shared" si="136"/>
        <v>1</v>
      </c>
      <c r="FT456" s="1819">
        <f t="shared" si="103"/>
        <v>0</v>
      </c>
      <c r="FU456" s="1820"/>
      <c r="FV456" s="1820"/>
      <c r="FW456" s="1820"/>
      <c r="FX456" s="1821"/>
      <c r="FY456" s="1819">
        <f t="shared" si="98"/>
        <v>0</v>
      </c>
      <c r="FZ456" s="1820"/>
      <c r="GA456" s="1820"/>
      <c r="GB456" s="1821"/>
      <c r="GC456" s="1825">
        <f t="shared" si="117"/>
        <v>0</v>
      </c>
      <c r="GD456" s="1826"/>
      <c r="GE456" s="1826"/>
      <c r="GF456" s="1827"/>
      <c r="GH456" s="1750">
        <f t="shared" si="99"/>
        <v>0</v>
      </c>
      <c r="GI456" s="1751"/>
      <c r="GJ456" s="1751"/>
      <c r="GK456" s="1752"/>
      <c r="GL456" s="1750">
        <f t="shared" si="100"/>
        <v>0</v>
      </c>
      <c r="GM456" s="1751"/>
      <c r="GN456" s="1751"/>
      <c r="GO456" s="1752"/>
      <c r="GP456" s="385"/>
      <c r="GQ456" s="1750">
        <f t="shared" si="101"/>
        <v>0</v>
      </c>
      <c r="GR456" s="1751"/>
      <c r="GS456" s="1751"/>
      <c r="GT456" s="1752"/>
      <c r="GU456" s="192">
        <f t="shared" si="105"/>
        <v>1</v>
      </c>
      <c r="GV456" s="192">
        <f>SUM($GU$337:GU456)</f>
        <v>112</v>
      </c>
      <c r="GW456" s="318"/>
      <c r="HE456" s="380">
        <f t="shared" si="131"/>
        <v>0</v>
      </c>
      <c r="HX456" s="380"/>
    </row>
    <row r="457" spans="6:232" ht="13.5" thickBot="1">
      <c r="F457" s="413" t="s">
        <v>212</v>
      </c>
      <c r="H457" s="1599">
        <f>IF(D285&gt;0,HQ337,0)</f>
        <v>0</v>
      </c>
      <c r="I457" s="1600"/>
      <c r="J457" s="1600"/>
      <c r="K457" s="1600"/>
      <c r="L457" s="1601"/>
      <c r="N457" s="1602">
        <f t="shared" si="130"/>
        <v>0</v>
      </c>
      <c r="O457" s="1603"/>
      <c r="P457" s="1603"/>
      <c r="Q457" s="1603"/>
      <c r="R457" s="1604"/>
      <c r="Y457" s="409">
        <v>20</v>
      </c>
      <c r="Z457" s="247"/>
      <c r="AA457" s="247"/>
      <c r="AB457" s="251"/>
      <c r="AD457" s="247"/>
      <c r="AE457" s="247"/>
      <c r="AF457" s="247"/>
      <c r="AG457" s="247"/>
      <c r="AH457" s="247"/>
      <c r="AI457" s="247"/>
      <c r="AJ457" s="247"/>
      <c r="AK457" s="247"/>
      <c r="AL457" s="247"/>
      <c r="AM457" s="247"/>
      <c r="AN457" s="247"/>
      <c r="AO457" s="247"/>
      <c r="AP457" s="412">
        <f>AA285</f>
        <v>0</v>
      </c>
      <c r="AQ457" s="428"/>
      <c r="AR457" s="428"/>
      <c r="AS457" s="428"/>
      <c r="AT457" s="428"/>
      <c r="BD457" s="389">
        <f t="shared" si="132"/>
        <v>9</v>
      </c>
      <c r="BE457" s="390">
        <f>IF(BD457&gt;0,120,0)</f>
        <v>120</v>
      </c>
      <c r="BG457" s="391">
        <f>IF($BE457&gt;$R$66-3+($BR$335*12),120,0)</f>
        <v>120</v>
      </c>
      <c r="BH457" s="1753">
        <f t="shared" si="133"/>
        <v>0</v>
      </c>
      <c r="BI457" s="1753"/>
      <c r="BJ457" s="1753"/>
      <c r="BK457" s="1753"/>
      <c r="BL457" s="1753">
        <f t="shared" si="90"/>
        <v>0</v>
      </c>
      <c r="BM457" s="1753"/>
      <c r="BN457" s="1753"/>
      <c r="BO457" s="1753">
        <f t="shared" si="81"/>
        <v>0</v>
      </c>
      <c r="BP457" s="1753"/>
      <c r="BQ457" s="1753"/>
      <c r="BR457" s="1753">
        <f t="shared" si="134"/>
        <v>0</v>
      </c>
      <c r="BS457" s="1753"/>
      <c r="BT457" s="1753"/>
      <c r="BU457" s="1753"/>
      <c r="BW457" s="391">
        <f>IF($BE457&gt;$R$66-3+($CH$335*12),120,0)</f>
        <v>120</v>
      </c>
      <c r="BX457" s="1753">
        <f t="shared" si="137"/>
        <v>0</v>
      </c>
      <c r="BY457" s="1753"/>
      <c r="BZ457" s="1753"/>
      <c r="CA457" s="1753"/>
      <c r="CB457" s="1753">
        <f t="shared" si="91"/>
        <v>0</v>
      </c>
      <c r="CC457" s="1753"/>
      <c r="CD457" s="1753"/>
      <c r="CE457" s="1753">
        <f t="shared" si="82"/>
        <v>0</v>
      </c>
      <c r="CF457" s="1753"/>
      <c r="CG457" s="1753"/>
      <c r="CH457" s="1753">
        <f t="shared" si="83"/>
        <v>0</v>
      </c>
      <c r="CI457" s="1753"/>
      <c r="CJ457" s="1753"/>
      <c r="CK457" s="1753"/>
      <c r="CM457" s="391">
        <f>IF($BE457&gt;$R$66-3+($CX$335*12),120,0)</f>
        <v>120</v>
      </c>
      <c r="CN457" s="1753">
        <f t="shared" si="138"/>
        <v>0</v>
      </c>
      <c r="CO457" s="1753"/>
      <c r="CP457" s="1753"/>
      <c r="CQ457" s="1753"/>
      <c r="CR457" s="1753">
        <f t="shared" si="92"/>
        <v>0</v>
      </c>
      <c r="CS457" s="1753"/>
      <c r="CT457" s="1753"/>
      <c r="CU457" s="1753">
        <f t="shared" si="84"/>
        <v>0</v>
      </c>
      <c r="CV457" s="1753"/>
      <c r="CW457" s="1753"/>
      <c r="CX457" s="1753">
        <f t="shared" si="85"/>
        <v>0</v>
      </c>
      <c r="CY457" s="1753"/>
      <c r="CZ457" s="1753"/>
      <c r="DA457" s="1753"/>
      <c r="DC457" s="391">
        <f>IF($BE457&gt;$R$66-3,120,0)</f>
        <v>120</v>
      </c>
      <c r="DD457" s="1753">
        <f t="shared" si="139"/>
        <v>0</v>
      </c>
      <c r="DE457" s="1753"/>
      <c r="DF457" s="1753"/>
      <c r="DG457" s="1753"/>
      <c r="DH457" s="1753">
        <f t="shared" si="93"/>
        <v>0</v>
      </c>
      <c r="DI457" s="1753"/>
      <c r="DJ457" s="1753"/>
      <c r="DK457" s="1753">
        <f t="shared" si="86"/>
        <v>0</v>
      </c>
      <c r="DL457" s="1753"/>
      <c r="DM457" s="1753"/>
      <c r="DN457" s="1753"/>
      <c r="DP457" s="391">
        <f t="shared" si="94"/>
        <v>120</v>
      </c>
      <c r="DQ457" s="1753">
        <f t="shared" si="95"/>
        <v>0</v>
      </c>
      <c r="DR457" s="1753"/>
      <c r="DS457" s="1753"/>
      <c r="DT457" s="1753"/>
      <c r="DU457" s="1753">
        <f t="shared" si="106"/>
        <v>0</v>
      </c>
      <c r="DV457" s="1753"/>
      <c r="DW457" s="1753"/>
      <c r="DX457" s="1753">
        <f t="shared" si="114"/>
        <v>0</v>
      </c>
      <c r="DY457" s="1753"/>
      <c r="DZ457" s="1753"/>
      <c r="EA457" s="1753">
        <f t="shared" si="115"/>
        <v>0</v>
      </c>
      <c r="EB457" s="1753"/>
      <c r="EC457" s="1753"/>
      <c r="ED457" s="1753"/>
      <c r="EE457" s="384"/>
      <c r="EF457" s="1744">
        <f t="shared" si="87"/>
        <v>0</v>
      </c>
      <c r="EG457" s="1745"/>
      <c r="EH457" s="1745"/>
      <c r="EI457" s="1745"/>
      <c r="EJ457" s="1746"/>
      <c r="EL457" s="1744">
        <f t="shared" si="116"/>
        <v>0</v>
      </c>
      <c r="EM457" s="1745"/>
      <c r="EN457" s="1745"/>
      <c r="EO457" s="1745"/>
      <c r="EP457" s="1746"/>
      <c r="ER457" s="1744">
        <f t="shared" si="88"/>
        <v>0</v>
      </c>
      <c r="ES457" s="1745"/>
      <c r="ET457" s="1745"/>
      <c r="EU457" s="1745"/>
      <c r="EV457" s="1746"/>
      <c r="EX457" s="1744">
        <f>IF(BE457&gt;0,Einstrahlung!$K$32*Kalkulation!$P$62/100*$AY$29*POWER((100-$P$64)/100,BD457-1),0)</f>
        <v>0</v>
      </c>
      <c r="EY457" s="1745"/>
      <c r="EZ457" s="1745"/>
      <c r="FA457" s="1745"/>
      <c r="FB457" s="1746"/>
      <c r="FD457" s="1744">
        <f t="shared" si="96"/>
        <v>0</v>
      </c>
      <c r="FE457" s="1745"/>
      <c r="FF457" s="1745"/>
      <c r="FG457" s="1745"/>
      <c r="FH457" s="1746"/>
      <c r="FI457" s="385"/>
      <c r="FJ457" s="453">
        <f t="shared" si="104"/>
        <v>0</v>
      </c>
      <c r="FK457" s="385"/>
      <c r="FL457" s="453">
        <f t="shared" si="135"/>
        <v>0</v>
      </c>
      <c r="FM457" s="385"/>
      <c r="FN457" s="453">
        <f t="shared" si="97"/>
        <v>0</v>
      </c>
      <c r="FO457" s="962">
        <f t="shared" si="102"/>
        <v>249</v>
      </c>
      <c r="FP457" s="956">
        <f t="shared" si="89"/>
        <v>0.4</v>
      </c>
      <c r="FQ457" s="453">
        <f t="shared" si="111"/>
        <v>0</v>
      </c>
      <c r="FR457" s="957">
        <f>POWER(1+$FQ$333,FS457)</f>
        <v>1</v>
      </c>
      <c r="FS457" s="617">
        <f>FS445+1</f>
        <v>9</v>
      </c>
      <c r="FT457" s="1822">
        <f t="shared" si="103"/>
        <v>0</v>
      </c>
      <c r="FU457" s="1823"/>
      <c r="FV457" s="1823"/>
      <c r="FW457" s="1823"/>
      <c r="FX457" s="1824"/>
      <c r="FY457" s="1822">
        <f t="shared" si="98"/>
        <v>0</v>
      </c>
      <c r="FZ457" s="1823"/>
      <c r="GA457" s="1823"/>
      <c r="GB457" s="1824"/>
      <c r="GC457" s="1831">
        <f t="shared" si="117"/>
        <v>0</v>
      </c>
      <c r="GD457" s="1832"/>
      <c r="GE457" s="1832"/>
      <c r="GF457" s="1833"/>
      <c r="GH457" s="1744">
        <f t="shared" si="99"/>
        <v>0</v>
      </c>
      <c r="GI457" s="1745"/>
      <c r="GJ457" s="1745"/>
      <c r="GK457" s="1746"/>
      <c r="GL457" s="1744">
        <f t="shared" si="100"/>
        <v>0</v>
      </c>
      <c r="GM457" s="1745"/>
      <c r="GN457" s="1745"/>
      <c r="GO457" s="1746"/>
      <c r="GP457" s="385"/>
      <c r="GQ457" s="1744">
        <f t="shared" si="101"/>
        <v>0</v>
      </c>
      <c r="GR457" s="1745"/>
      <c r="GS457" s="1745"/>
      <c r="GT457" s="1746"/>
      <c r="GU457" s="192">
        <f t="shared" si="105"/>
        <v>1</v>
      </c>
      <c r="GV457" s="192">
        <f>SUM($GU$337:GU457)</f>
        <v>113</v>
      </c>
      <c r="GW457" s="318"/>
      <c r="HF457" s="380">
        <f t="shared" ref="HF457:HF468" si="140">IF(GV457=120,SUM(GQ446:GT457),0)</f>
        <v>0</v>
      </c>
      <c r="HX457" s="380"/>
    </row>
    <row r="458" spans="6:232">
      <c r="F458" s="413" t="s">
        <v>692</v>
      </c>
      <c r="H458" s="1599">
        <f>IF(D287&gt;0,HR337,0)</f>
        <v>0</v>
      </c>
      <c r="I458" s="1600"/>
      <c r="J458" s="1600"/>
      <c r="K458" s="1600"/>
      <c r="L458" s="1601"/>
      <c r="N458" s="1602">
        <f t="shared" si="130"/>
        <v>0</v>
      </c>
      <c r="O458" s="1603"/>
      <c r="P458" s="1603"/>
      <c r="Q458" s="1603"/>
      <c r="R458" s="1604"/>
      <c r="Y458" s="409">
        <v>21</v>
      </c>
      <c r="Z458" s="247"/>
      <c r="AA458" s="247"/>
      <c r="AB458" s="251"/>
      <c r="AD458" s="247"/>
      <c r="AE458" s="247"/>
      <c r="AF458" s="247"/>
      <c r="AG458" s="247"/>
      <c r="AH458" s="247"/>
      <c r="AI458" s="247"/>
      <c r="AJ458" s="247"/>
      <c r="AK458" s="247"/>
      <c r="AL458" s="247"/>
      <c r="AM458" s="247"/>
      <c r="AN458" s="247"/>
      <c r="AO458" s="247"/>
      <c r="AP458" s="412">
        <f>AA287</f>
        <v>0</v>
      </c>
      <c r="AQ458" s="428"/>
      <c r="AR458" s="428"/>
      <c r="AS458" s="428"/>
      <c r="AT458" s="428"/>
      <c r="BD458" s="381">
        <f t="shared" ref="BD458:BD469" si="141">IF(BH458&lt;0,0,IF($V$21&gt;0,10,0))</f>
        <v>10</v>
      </c>
      <c r="BE458" s="382">
        <f>IF(BD458&gt;0,121,0)</f>
        <v>121</v>
      </c>
      <c r="BG458" s="395">
        <f>IF($BE458&gt;$R$66-3+($BR$335*12),121,0)</f>
        <v>121</v>
      </c>
      <c r="BH458" s="1754">
        <f t="shared" ref="BH458:BH469" si="142">IF(BR457&lt;=0,0,BR457)</f>
        <v>0</v>
      </c>
      <c r="BI458" s="1754"/>
      <c r="BJ458" s="1754"/>
      <c r="BK458" s="1754"/>
      <c r="BL458" s="1754">
        <f t="shared" si="90"/>
        <v>0</v>
      </c>
      <c r="BM458" s="1754"/>
      <c r="BN458" s="1754"/>
      <c r="BO458" s="1754">
        <f t="shared" si="81"/>
        <v>0</v>
      </c>
      <c r="BP458" s="1754"/>
      <c r="BQ458" s="1754"/>
      <c r="BR458" s="1754">
        <f t="shared" ref="BR458:BR469" si="143">BH458-BL458</f>
        <v>0</v>
      </c>
      <c r="BS458" s="1754"/>
      <c r="BT458" s="1754"/>
      <c r="BU458" s="1754"/>
      <c r="BW458" s="395">
        <f>IF($BE458&gt;$R$66-3+($CH$335*12),121,0)</f>
        <v>121</v>
      </c>
      <c r="BX458" s="1754">
        <f t="shared" si="137"/>
        <v>0</v>
      </c>
      <c r="BY458" s="1754"/>
      <c r="BZ458" s="1754"/>
      <c r="CA458" s="1754"/>
      <c r="CB458" s="1754">
        <f t="shared" si="91"/>
        <v>0</v>
      </c>
      <c r="CC458" s="1754"/>
      <c r="CD458" s="1754"/>
      <c r="CE458" s="1754">
        <f t="shared" si="82"/>
        <v>0</v>
      </c>
      <c r="CF458" s="1754"/>
      <c r="CG458" s="1754"/>
      <c r="CH458" s="1754">
        <f t="shared" si="83"/>
        <v>0</v>
      </c>
      <c r="CI458" s="1754"/>
      <c r="CJ458" s="1754"/>
      <c r="CK458" s="1754"/>
      <c r="CM458" s="395">
        <f>IF($BE458&gt;$R$66-3+($CX$335*12),121,0)</f>
        <v>121</v>
      </c>
      <c r="CN458" s="1754">
        <f t="shared" si="138"/>
        <v>0</v>
      </c>
      <c r="CO458" s="1754"/>
      <c r="CP458" s="1754"/>
      <c r="CQ458" s="1754"/>
      <c r="CR458" s="1754">
        <f t="shared" si="92"/>
        <v>0</v>
      </c>
      <c r="CS458" s="1754"/>
      <c r="CT458" s="1754"/>
      <c r="CU458" s="1754">
        <f t="shared" si="84"/>
        <v>0</v>
      </c>
      <c r="CV458" s="1754"/>
      <c r="CW458" s="1754"/>
      <c r="CX458" s="1754">
        <f t="shared" si="85"/>
        <v>0</v>
      </c>
      <c r="CY458" s="1754"/>
      <c r="CZ458" s="1754"/>
      <c r="DA458" s="1754"/>
      <c r="DC458" s="395">
        <f>IF($BE458&gt;$R$66-3,121,0)</f>
        <v>121</v>
      </c>
      <c r="DD458" s="1754">
        <f t="shared" si="139"/>
        <v>0</v>
      </c>
      <c r="DE458" s="1754"/>
      <c r="DF458" s="1754"/>
      <c r="DG458" s="1754"/>
      <c r="DH458" s="1754">
        <f t="shared" si="93"/>
        <v>0</v>
      </c>
      <c r="DI458" s="1754"/>
      <c r="DJ458" s="1754"/>
      <c r="DK458" s="1754">
        <f t="shared" si="86"/>
        <v>0</v>
      </c>
      <c r="DL458" s="1754"/>
      <c r="DM458" s="1754"/>
      <c r="DN458" s="1754"/>
      <c r="DP458" s="395">
        <f t="shared" si="94"/>
        <v>121</v>
      </c>
      <c r="DQ458" s="1754">
        <f t="shared" si="95"/>
        <v>0</v>
      </c>
      <c r="DR458" s="1754"/>
      <c r="DS458" s="1754"/>
      <c r="DT458" s="1754"/>
      <c r="DU458" s="1754">
        <f t="shared" si="106"/>
        <v>0</v>
      </c>
      <c r="DV458" s="1754"/>
      <c r="DW458" s="1754"/>
      <c r="DX458" s="1754">
        <f t="shared" si="114"/>
        <v>0</v>
      </c>
      <c r="DY458" s="1754"/>
      <c r="DZ458" s="1754"/>
      <c r="EA458" s="1754">
        <f t="shared" si="115"/>
        <v>0</v>
      </c>
      <c r="EB458" s="1754"/>
      <c r="EC458" s="1754"/>
      <c r="ED458" s="1754"/>
      <c r="EE458" s="384"/>
      <c r="EF458" s="1750">
        <f t="shared" si="87"/>
        <v>0</v>
      </c>
      <c r="EG458" s="1751"/>
      <c r="EH458" s="1751"/>
      <c r="EI458" s="1751"/>
      <c r="EJ458" s="1752"/>
      <c r="EL458" s="1750">
        <f t="shared" si="116"/>
        <v>0</v>
      </c>
      <c r="EM458" s="1751"/>
      <c r="EN458" s="1751"/>
      <c r="EO458" s="1751"/>
      <c r="EP458" s="1752"/>
      <c r="ER458" s="1750">
        <f t="shared" si="88"/>
        <v>0</v>
      </c>
      <c r="ES458" s="1751"/>
      <c r="ET458" s="1751"/>
      <c r="EU458" s="1751"/>
      <c r="EV458" s="1752"/>
      <c r="EX458" s="1750">
        <f>IF(BE458&gt;0,Einstrahlung!$K$10*Kalkulation!$P$62/100*$AY$29*POWER((100-$P$64)/100,BD458-1),0)</f>
        <v>0</v>
      </c>
      <c r="EY458" s="1751"/>
      <c r="EZ458" s="1751"/>
      <c r="FA458" s="1751"/>
      <c r="FB458" s="1752"/>
      <c r="FD458" s="1750">
        <f t="shared" si="96"/>
        <v>0</v>
      </c>
      <c r="FE458" s="1751"/>
      <c r="FF458" s="1751"/>
      <c r="FG458" s="1751"/>
      <c r="FH458" s="1752"/>
      <c r="FI458" s="385"/>
      <c r="FJ458" s="380">
        <f t="shared" si="104"/>
        <v>0</v>
      </c>
      <c r="FK458" s="385"/>
      <c r="FL458" s="380">
        <f>IF(BE458&gt;0,IF($FL$336&gt;SUM($EX$458:$FB$469),SUM($EX$458:$FB$469)/12,$FL$336/12),0)</f>
        <v>0</v>
      </c>
      <c r="FM458" s="385"/>
      <c r="FN458" s="380">
        <f t="shared" si="97"/>
        <v>0</v>
      </c>
      <c r="FO458" s="962">
        <f t="shared" si="102"/>
        <v>250</v>
      </c>
      <c r="FP458" s="956">
        <f t="shared" si="89"/>
        <v>0.4</v>
      </c>
      <c r="FQ458" s="380">
        <f t="shared" si="111"/>
        <v>0</v>
      </c>
      <c r="FR458" s="626">
        <f>IF(AND(GV458&gt;108,GV458&lt;=120),$FR$457,IF(AND(GV458&gt;120,GV458&lt;=132),$FR$469,0))</f>
        <v>1</v>
      </c>
      <c r="FT458" s="1819">
        <f t="shared" si="103"/>
        <v>0</v>
      </c>
      <c r="FU458" s="1820"/>
      <c r="FV458" s="1820"/>
      <c r="FW458" s="1820"/>
      <c r="FX458" s="1821"/>
      <c r="FY458" s="1819">
        <f t="shared" si="98"/>
        <v>0</v>
      </c>
      <c r="FZ458" s="1820"/>
      <c r="GA458" s="1820"/>
      <c r="GB458" s="1821"/>
      <c r="GC458" s="1825">
        <f t="shared" si="117"/>
        <v>0</v>
      </c>
      <c r="GD458" s="1826"/>
      <c r="GE458" s="1826"/>
      <c r="GF458" s="1827"/>
      <c r="GH458" s="1750">
        <f t="shared" si="99"/>
        <v>0</v>
      </c>
      <c r="GI458" s="1751"/>
      <c r="GJ458" s="1751"/>
      <c r="GK458" s="1751"/>
      <c r="GL458" s="1750">
        <f t="shared" si="100"/>
        <v>0</v>
      </c>
      <c r="GM458" s="1751"/>
      <c r="GN458" s="1751"/>
      <c r="GO458" s="1752"/>
      <c r="GP458" s="385"/>
      <c r="GQ458" s="1865">
        <f t="shared" si="101"/>
        <v>0</v>
      </c>
      <c r="GR458" s="1866"/>
      <c r="GS458" s="1866"/>
      <c r="GT458" s="1867"/>
      <c r="GU458" s="192">
        <f t="shared" si="105"/>
        <v>1</v>
      </c>
      <c r="GV458" s="192">
        <f>SUM($GU$337:GU458)</f>
        <v>114</v>
      </c>
      <c r="GW458" s="318"/>
      <c r="HF458" s="380">
        <f t="shared" si="140"/>
        <v>0</v>
      </c>
      <c r="HX458" s="380"/>
    </row>
    <row r="459" spans="6:232">
      <c r="F459" s="413" t="s">
        <v>693</v>
      </c>
      <c r="H459" s="1599">
        <f>IF(D289&gt;0,HS337,0)</f>
        <v>0</v>
      </c>
      <c r="I459" s="1600"/>
      <c r="J459" s="1600"/>
      <c r="K459" s="1600"/>
      <c r="L459" s="1601"/>
      <c r="N459" s="1602">
        <f t="shared" si="130"/>
        <v>0</v>
      </c>
      <c r="O459" s="1603"/>
      <c r="P459" s="1603"/>
      <c r="Q459" s="1603"/>
      <c r="R459" s="1604"/>
      <c r="Y459" s="409">
        <v>22</v>
      </c>
      <c r="Z459" s="247"/>
      <c r="AA459" s="247"/>
      <c r="AB459" s="251"/>
      <c r="AD459" s="247"/>
      <c r="AE459" s="247"/>
      <c r="AF459" s="247"/>
      <c r="AG459" s="247"/>
      <c r="AH459" s="247"/>
      <c r="AI459" s="247"/>
      <c r="AJ459" s="247"/>
      <c r="AK459" s="247"/>
      <c r="AL459" s="247"/>
      <c r="AM459" s="247"/>
      <c r="AN459" s="247"/>
      <c r="AO459" s="247"/>
      <c r="AP459" s="412">
        <f>AA289</f>
        <v>0</v>
      </c>
      <c r="AQ459" s="428"/>
      <c r="AR459" s="428"/>
      <c r="AS459" s="428"/>
      <c r="AT459" s="428"/>
      <c r="BD459" s="387">
        <f t="shared" si="141"/>
        <v>10</v>
      </c>
      <c r="BE459" s="382">
        <f>IF(BD459&gt;0,122,0)</f>
        <v>122</v>
      </c>
      <c r="BG459" s="383">
        <f>IF($BE459&gt;$R$66-3+($BR$335*12),122,0)</f>
        <v>122</v>
      </c>
      <c r="BH459" s="1754">
        <f t="shared" si="142"/>
        <v>0</v>
      </c>
      <c r="BI459" s="1754"/>
      <c r="BJ459" s="1754"/>
      <c r="BK459" s="1754"/>
      <c r="BL459" s="1754">
        <f t="shared" si="90"/>
        <v>0</v>
      </c>
      <c r="BM459" s="1754"/>
      <c r="BN459" s="1754"/>
      <c r="BO459" s="1754">
        <f t="shared" si="81"/>
        <v>0</v>
      </c>
      <c r="BP459" s="1754"/>
      <c r="BQ459" s="1754"/>
      <c r="BR459" s="1754">
        <f t="shared" si="143"/>
        <v>0</v>
      </c>
      <c r="BS459" s="1754"/>
      <c r="BT459" s="1754"/>
      <c r="BU459" s="1754"/>
      <c r="BW459" s="383">
        <f>IF($BE459&gt;$R$66-3+($CH$335*12),122,0)</f>
        <v>122</v>
      </c>
      <c r="BX459" s="1754">
        <f t="shared" si="137"/>
        <v>0</v>
      </c>
      <c r="BY459" s="1754"/>
      <c r="BZ459" s="1754"/>
      <c r="CA459" s="1754"/>
      <c r="CB459" s="1754">
        <f t="shared" si="91"/>
        <v>0</v>
      </c>
      <c r="CC459" s="1754"/>
      <c r="CD459" s="1754"/>
      <c r="CE459" s="1754">
        <f t="shared" si="82"/>
        <v>0</v>
      </c>
      <c r="CF459" s="1754"/>
      <c r="CG459" s="1754"/>
      <c r="CH459" s="1754">
        <f t="shared" si="83"/>
        <v>0</v>
      </c>
      <c r="CI459" s="1754"/>
      <c r="CJ459" s="1754"/>
      <c r="CK459" s="1754"/>
      <c r="CM459" s="383">
        <f>IF($BE459&gt;$R$66-3+($CX$335*12),122,0)</f>
        <v>122</v>
      </c>
      <c r="CN459" s="1754">
        <f t="shared" si="138"/>
        <v>0</v>
      </c>
      <c r="CO459" s="1754"/>
      <c r="CP459" s="1754"/>
      <c r="CQ459" s="1754"/>
      <c r="CR459" s="1754">
        <f t="shared" si="92"/>
        <v>0</v>
      </c>
      <c r="CS459" s="1754"/>
      <c r="CT459" s="1754"/>
      <c r="CU459" s="1754">
        <f t="shared" si="84"/>
        <v>0</v>
      </c>
      <c r="CV459" s="1754"/>
      <c r="CW459" s="1754"/>
      <c r="CX459" s="1754">
        <f t="shared" si="85"/>
        <v>0</v>
      </c>
      <c r="CY459" s="1754"/>
      <c r="CZ459" s="1754"/>
      <c r="DA459" s="1754"/>
      <c r="DC459" s="383">
        <f>IF($BE459&gt;$R$66-3,122,0)</f>
        <v>122</v>
      </c>
      <c r="DD459" s="1754">
        <f t="shared" si="139"/>
        <v>0</v>
      </c>
      <c r="DE459" s="1754"/>
      <c r="DF459" s="1754"/>
      <c r="DG459" s="1754"/>
      <c r="DH459" s="1754">
        <f t="shared" si="93"/>
        <v>0</v>
      </c>
      <c r="DI459" s="1754"/>
      <c r="DJ459" s="1754"/>
      <c r="DK459" s="1754">
        <f t="shared" si="86"/>
        <v>0</v>
      </c>
      <c r="DL459" s="1754"/>
      <c r="DM459" s="1754"/>
      <c r="DN459" s="1754"/>
      <c r="DP459" s="383">
        <f t="shared" si="94"/>
        <v>122</v>
      </c>
      <c r="DQ459" s="1754">
        <f t="shared" si="95"/>
        <v>0</v>
      </c>
      <c r="DR459" s="1754"/>
      <c r="DS459" s="1754"/>
      <c r="DT459" s="1754"/>
      <c r="DU459" s="1754">
        <f t="shared" si="106"/>
        <v>0</v>
      </c>
      <c r="DV459" s="1754"/>
      <c r="DW459" s="1754"/>
      <c r="DX459" s="1754">
        <f t="shared" si="114"/>
        <v>0</v>
      </c>
      <c r="DY459" s="1754"/>
      <c r="DZ459" s="1754"/>
      <c r="EA459" s="1754">
        <f t="shared" si="115"/>
        <v>0</v>
      </c>
      <c r="EB459" s="1754"/>
      <c r="EC459" s="1754"/>
      <c r="ED459" s="1754"/>
      <c r="EE459" s="384"/>
      <c r="EF459" s="1750">
        <f t="shared" si="87"/>
        <v>0</v>
      </c>
      <c r="EG459" s="1751"/>
      <c r="EH459" s="1751"/>
      <c r="EI459" s="1751"/>
      <c r="EJ459" s="1752"/>
      <c r="EL459" s="1750">
        <f t="shared" si="116"/>
        <v>0</v>
      </c>
      <c r="EM459" s="1751"/>
      <c r="EN459" s="1751"/>
      <c r="EO459" s="1751"/>
      <c r="EP459" s="1752"/>
      <c r="ER459" s="1750">
        <f t="shared" si="88"/>
        <v>0</v>
      </c>
      <c r="ES459" s="1751"/>
      <c r="ET459" s="1751"/>
      <c r="EU459" s="1751"/>
      <c r="EV459" s="1752"/>
      <c r="EX459" s="1750">
        <f>IF(BE459&gt;0,Einstrahlung!$K$12*Kalkulation!$P$62/100*$AY$29*POWER((100-$P$64)/100,BD459-1),0)</f>
        <v>0</v>
      </c>
      <c r="EY459" s="1751"/>
      <c r="EZ459" s="1751"/>
      <c r="FA459" s="1751"/>
      <c r="FB459" s="1752"/>
      <c r="FD459" s="1750">
        <f t="shared" si="96"/>
        <v>0</v>
      </c>
      <c r="FE459" s="1751"/>
      <c r="FF459" s="1751"/>
      <c r="FG459" s="1751"/>
      <c r="FH459" s="1752"/>
      <c r="FI459" s="385"/>
      <c r="FJ459" s="380">
        <f t="shared" si="104"/>
        <v>0</v>
      </c>
      <c r="FK459" s="385"/>
      <c r="FL459" s="380">
        <f t="shared" ref="FL459:FL469" si="144">IF(BE459&gt;0,IF($FL$336&gt;SUM($EX$458:$FB$469),SUM($EX$458:$FB$469)/12,$FL$336/12),0)</f>
        <v>0</v>
      </c>
      <c r="FM459" s="385"/>
      <c r="FN459" s="380">
        <f t="shared" si="97"/>
        <v>0</v>
      </c>
      <c r="FO459" s="962">
        <f t="shared" si="102"/>
        <v>251</v>
      </c>
      <c r="FP459" s="956">
        <f t="shared" si="89"/>
        <v>0.4</v>
      </c>
      <c r="FQ459" s="380">
        <f t="shared" si="111"/>
        <v>0</v>
      </c>
      <c r="FR459" s="626">
        <f t="shared" ref="FR459:FR468" si="145">IF(AND(GV459&gt;108,GV459&lt;=120),$FR$457,IF(AND(GV459&gt;120,GV459&lt;=132),$FR$469,0))</f>
        <v>1</v>
      </c>
      <c r="FT459" s="1819">
        <f t="shared" si="103"/>
        <v>0</v>
      </c>
      <c r="FU459" s="1820"/>
      <c r="FV459" s="1820"/>
      <c r="FW459" s="1820"/>
      <c r="FX459" s="1821"/>
      <c r="FY459" s="1819">
        <f t="shared" si="98"/>
        <v>0</v>
      </c>
      <c r="FZ459" s="1820"/>
      <c r="GA459" s="1820"/>
      <c r="GB459" s="1821"/>
      <c r="GC459" s="1825">
        <f t="shared" si="117"/>
        <v>0</v>
      </c>
      <c r="GD459" s="1826"/>
      <c r="GE459" s="1826"/>
      <c r="GF459" s="1827"/>
      <c r="GH459" s="1750">
        <f t="shared" si="99"/>
        <v>0</v>
      </c>
      <c r="GI459" s="1751"/>
      <c r="GJ459" s="1751"/>
      <c r="GK459" s="1752"/>
      <c r="GL459" s="1750">
        <f t="shared" si="100"/>
        <v>0</v>
      </c>
      <c r="GM459" s="1751"/>
      <c r="GN459" s="1751"/>
      <c r="GO459" s="1752"/>
      <c r="GP459" s="385"/>
      <c r="GQ459" s="1750">
        <f t="shared" si="101"/>
        <v>0</v>
      </c>
      <c r="GR459" s="1751"/>
      <c r="GS459" s="1751"/>
      <c r="GT459" s="1752"/>
      <c r="GU459" s="192">
        <f t="shared" si="105"/>
        <v>1</v>
      </c>
      <c r="GV459" s="192">
        <f>SUM($GU$337:GU459)</f>
        <v>115</v>
      </c>
      <c r="GW459" s="318"/>
      <c r="HF459" s="380">
        <f t="shared" si="140"/>
        <v>0</v>
      </c>
      <c r="HX459" s="380"/>
    </row>
    <row r="460" spans="6:232">
      <c r="F460" s="413" t="s">
        <v>694</v>
      </c>
      <c r="H460" s="1599">
        <f>IF(D291&gt;0,HT337,0)</f>
        <v>0</v>
      </c>
      <c r="I460" s="1600"/>
      <c r="J460" s="1600"/>
      <c r="K460" s="1600"/>
      <c r="L460" s="1601"/>
      <c r="N460" s="1602">
        <f t="shared" si="130"/>
        <v>0</v>
      </c>
      <c r="O460" s="1603"/>
      <c r="P460" s="1603"/>
      <c r="Q460" s="1603"/>
      <c r="R460" s="1604"/>
      <c r="Y460" s="409">
        <v>23</v>
      </c>
      <c r="Z460" s="247"/>
      <c r="AA460" s="247"/>
      <c r="AB460" s="251"/>
      <c r="AD460" s="247"/>
      <c r="AE460" s="247"/>
      <c r="AF460" s="247"/>
      <c r="AG460" s="247"/>
      <c r="AH460" s="247"/>
      <c r="AI460" s="247"/>
      <c r="AJ460" s="247"/>
      <c r="AK460" s="247"/>
      <c r="AL460" s="247"/>
      <c r="AM460" s="247"/>
      <c r="AN460" s="247"/>
      <c r="AO460" s="247"/>
      <c r="AP460" s="412">
        <f>AA291</f>
        <v>0</v>
      </c>
      <c r="AQ460" s="428"/>
      <c r="AR460" s="428"/>
      <c r="AS460" s="428"/>
      <c r="AT460" s="428"/>
      <c r="BD460" s="387">
        <f t="shared" si="141"/>
        <v>10</v>
      </c>
      <c r="BE460" s="382">
        <f>IF(BD460&gt;0,123,0)</f>
        <v>123</v>
      </c>
      <c r="BG460" s="383">
        <f>IF($BE460&gt;$R$66-3+($BR$335*12),123,0)</f>
        <v>123</v>
      </c>
      <c r="BH460" s="1754">
        <f t="shared" si="142"/>
        <v>0</v>
      </c>
      <c r="BI460" s="1754"/>
      <c r="BJ460" s="1754"/>
      <c r="BK460" s="1754"/>
      <c r="BL460" s="1754">
        <f t="shared" si="90"/>
        <v>0</v>
      </c>
      <c r="BM460" s="1754"/>
      <c r="BN460" s="1754"/>
      <c r="BO460" s="1754">
        <f t="shared" si="81"/>
        <v>0</v>
      </c>
      <c r="BP460" s="1754"/>
      <c r="BQ460" s="1754"/>
      <c r="BR460" s="1754">
        <f t="shared" si="143"/>
        <v>0</v>
      </c>
      <c r="BS460" s="1754"/>
      <c r="BT460" s="1754"/>
      <c r="BU460" s="1754"/>
      <c r="BW460" s="383">
        <f>IF($BE460&gt;$R$66-3+($CH$335*12),123,0)</f>
        <v>123</v>
      </c>
      <c r="BX460" s="1754">
        <f t="shared" si="137"/>
        <v>0</v>
      </c>
      <c r="BY460" s="1754"/>
      <c r="BZ460" s="1754"/>
      <c r="CA460" s="1754"/>
      <c r="CB460" s="1754">
        <f t="shared" si="91"/>
        <v>0</v>
      </c>
      <c r="CC460" s="1754"/>
      <c r="CD460" s="1754"/>
      <c r="CE460" s="1754">
        <f t="shared" si="82"/>
        <v>0</v>
      </c>
      <c r="CF460" s="1754"/>
      <c r="CG460" s="1754"/>
      <c r="CH460" s="1754">
        <f t="shared" si="83"/>
        <v>0</v>
      </c>
      <c r="CI460" s="1754"/>
      <c r="CJ460" s="1754"/>
      <c r="CK460" s="1754"/>
      <c r="CM460" s="383">
        <f>IF($BE460&gt;$R$66-3+($CX$335*12),123,0)</f>
        <v>123</v>
      </c>
      <c r="CN460" s="1754">
        <f t="shared" si="138"/>
        <v>0</v>
      </c>
      <c r="CO460" s="1754"/>
      <c r="CP460" s="1754"/>
      <c r="CQ460" s="1754"/>
      <c r="CR460" s="1754">
        <f t="shared" si="92"/>
        <v>0</v>
      </c>
      <c r="CS460" s="1754"/>
      <c r="CT460" s="1754"/>
      <c r="CU460" s="1754">
        <f t="shared" si="84"/>
        <v>0</v>
      </c>
      <c r="CV460" s="1754"/>
      <c r="CW460" s="1754"/>
      <c r="CX460" s="1754">
        <f t="shared" si="85"/>
        <v>0</v>
      </c>
      <c r="CY460" s="1754"/>
      <c r="CZ460" s="1754"/>
      <c r="DA460" s="1754"/>
      <c r="DC460" s="383">
        <f>IF($BE460&gt;$R$66-3,123,0)</f>
        <v>123</v>
      </c>
      <c r="DD460" s="1754">
        <f t="shared" si="139"/>
        <v>0</v>
      </c>
      <c r="DE460" s="1754"/>
      <c r="DF460" s="1754"/>
      <c r="DG460" s="1754"/>
      <c r="DH460" s="1754">
        <f t="shared" si="93"/>
        <v>0</v>
      </c>
      <c r="DI460" s="1754"/>
      <c r="DJ460" s="1754"/>
      <c r="DK460" s="1754">
        <f t="shared" si="86"/>
        <v>0</v>
      </c>
      <c r="DL460" s="1754"/>
      <c r="DM460" s="1754"/>
      <c r="DN460" s="1754"/>
      <c r="DP460" s="383">
        <f t="shared" si="94"/>
        <v>123</v>
      </c>
      <c r="DQ460" s="1754">
        <f t="shared" si="95"/>
        <v>0</v>
      </c>
      <c r="DR460" s="1754"/>
      <c r="DS460" s="1754"/>
      <c r="DT460" s="1754"/>
      <c r="DU460" s="1754">
        <f t="shared" si="106"/>
        <v>0</v>
      </c>
      <c r="DV460" s="1754"/>
      <c r="DW460" s="1754"/>
      <c r="DX460" s="1754">
        <f t="shared" si="114"/>
        <v>0</v>
      </c>
      <c r="DY460" s="1754"/>
      <c r="DZ460" s="1754"/>
      <c r="EA460" s="1754">
        <f t="shared" si="115"/>
        <v>0</v>
      </c>
      <c r="EB460" s="1754"/>
      <c r="EC460" s="1754"/>
      <c r="ED460" s="1754"/>
      <c r="EE460" s="384"/>
      <c r="EF460" s="1750">
        <f t="shared" si="87"/>
        <v>0</v>
      </c>
      <c r="EG460" s="1751"/>
      <c r="EH460" s="1751"/>
      <c r="EI460" s="1751"/>
      <c r="EJ460" s="1752"/>
      <c r="EL460" s="1750">
        <f t="shared" si="116"/>
        <v>0</v>
      </c>
      <c r="EM460" s="1751"/>
      <c r="EN460" s="1751"/>
      <c r="EO460" s="1751"/>
      <c r="EP460" s="1752"/>
      <c r="ER460" s="1750">
        <f t="shared" si="88"/>
        <v>0</v>
      </c>
      <c r="ES460" s="1751"/>
      <c r="ET460" s="1751"/>
      <c r="EU460" s="1751"/>
      <c r="EV460" s="1752"/>
      <c r="EX460" s="1750">
        <f>IF(BE460&gt;0,Einstrahlung!$K$14*Kalkulation!$P$62/100*$AY$29*POWER((100-$P$64)/100,BD460-1),0)</f>
        <v>0</v>
      </c>
      <c r="EY460" s="1751"/>
      <c r="EZ460" s="1751"/>
      <c r="FA460" s="1751"/>
      <c r="FB460" s="1752"/>
      <c r="FD460" s="1750">
        <f t="shared" si="96"/>
        <v>0</v>
      </c>
      <c r="FE460" s="1751"/>
      <c r="FF460" s="1751"/>
      <c r="FG460" s="1751"/>
      <c r="FH460" s="1752"/>
      <c r="FI460" s="385"/>
      <c r="FJ460" s="380">
        <f t="shared" si="104"/>
        <v>0</v>
      </c>
      <c r="FK460" s="385"/>
      <c r="FL460" s="380">
        <f t="shared" si="144"/>
        <v>0</v>
      </c>
      <c r="FM460" s="385"/>
      <c r="FN460" s="380">
        <f t="shared" si="97"/>
        <v>0</v>
      </c>
      <c r="FO460" s="962">
        <f t="shared" si="102"/>
        <v>252</v>
      </c>
      <c r="FP460" s="956">
        <f t="shared" si="89"/>
        <v>0.4</v>
      </c>
      <c r="FQ460" s="380">
        <f t="shared" si="111"/>
        <v>0</v>
      </c>
      <c r="FR460" s="626">
        <f t="shared" si="145"/>
        <v>1</v>
      </c>
      <c r="FT460" s="1819">
        <f t="shared" si="103"/>
        <v>0</v>
      </c>
      <c r="FU460" s="1820"/>
      <c r="FV460" s="1820"/>
      <c r="FW460" s="1820"/>
      <c r="FX460" s="1821"/>
      <c r="FY460" s="1819">
        <f t="shared" si="98"/>
        <v>0</v>
      </c>
      <c r="FZ460" s="1820"/>
      <c r="GA460" s="1820"/>
      <c r="GB460" s="1821"/>
      <c r="GC460" s="1825">
        <f t="shared" si="117"/>
        <v>0</v>
      </c>
      <c r="GD460" s="1826"/>
      <c r="GE460" s="1826"/>
      <c r="GF460" s="1827"/>
      <c r="GH460" s="1750">
        <f t="shared" si="99"/>
        <v>0</v>
      </c>
      <c r="GI460" s="1751"/>
      <c r="GJ460" s="1751"/>
      <c r="GK460" s="1752"/>
      <c r="GL460" s="1750">
        <f t="shared" si="100"/>
        <v>0</v>
      </c>
      <c r="GM460" s="1751"/>
      <c r="GN460" s="1751"/>
      <c r="GO460" s="1752"/>
      <c r="GP460" s="385"/>
      <c r="GQ460" s="1750">
        <f t="shared" si="101"/>
        <v>0</v>
      </c>
      <c r="GR460" s="1751"/>
      <c r="GS460" s="1751"/>
      <c r="GT460" s="1752"/>
      <c r="GU460" s="192">
        <f t="shared" si="105"/>
        <v>1</v>
      </c>
      <c r="GV460" s="192">
        <f>SUM($GU$337:GU460)</f>
        <v>116</v>
      </c>
      <c r="GW460" s="318"/>
      <c r="HF460" s="380">
        <f t="shared" si="140"/>
        <v>0</v>
      </c>
      <c r="HX460" s="380"/>
    </row>
    <row r="461" spans="6:232">
      <c r="F461" s="413" t="s">
        <v>695</v>
      </c>
      <c r="H461" s="1599">
        <f>IF(D293&gt;0,HU337,0)</f>
        <v>0</v>
      </c>
      <c r="I461" s="1600"/>
      <c r="J461" s="1600"/>
      <c r="K461" s="1600"/>
      <c r="L461" s="1601"/>
      <c r="N461" s="1602">
        <f t="shared" si="130"/>
        <v>0</v>
      </c>
      <c r="O461" s="1603"/>
      <c r="P461" s="1603"/>
      <c r="Q461" s="1603"/>
      <c r="R461" s="1604"/>
      <c r="Y461" s="409">
        <v>24</v>
      </c>
      <c r="Z461" s="247"/>
      <c r="AA461" s="247"/>
      <c r="AB461" s="251"/>
      <c r="AD461" s="247"/>
      <c r="AE461" s="247"/>
      <c r="AF461" s="247"/>
      <c r="AG461" s="247"/>
      <c r="AH461" s="247"/>
      <c r="AI461" s="247"/>
      <c r="AJ461" s="247"/>
      <c r="AK461" s="247"/>
      <c r="AL461" s="247"/>
      <c r="AM461" s="247"/>
      <c r="AN461" s="247"/>
      <c r="AO461" s="247"/>
      <c r="AP461" s="412">
        <f>AA293</f>
        <v>0</v>
      </c>
      <c r="AQ461" s="428"/>
      <c r="AR461" s="428"/>
      <c r="AS461" s="428"/>
      <c r="AT461" s="428"/>
      <c r="BD461" s="387">
        <f t="shared" si="141"/>
        <v>10</v>
      </c>
      <c r="BE461" s="382">
        <f>IF(BD461&gt;0,124,0)</f>
        <v>124</v>
      </c>
      <c r="BG461" s="383">
        <f>IF($BE461&gt;$R$66-3+($BR$335*12),124,0)</f>
        <v>124</v>
      </c>
      <c r="BH461" s="1754">
        <f t="shared" si="142"/>
        <v>0</v>
      </c>
      <c r="BI461" s="1754"/>
      <c r="BJ461" s="1754"/>
      <c r="BK461" s="1754"/>
      <c r="BL461" s="1754">
        <f t="shared" si="90"/>
        <v>0</v>
      </c>
      <c r="BM461" s="1754"/>
      <c r="BN461" s="1754"/>
      <c r="BO461" s="1754">
        <f t="shared" si="81"/>
        <v>0</v>
      </c>
      <c r="BP461" s="1754"/>
      <c r="BQ461" s="1754"/>
      <c r="BR461" s="1754">
        <f t="shared" si="143"/>
        <v>0</v>
      </c>
      <c r="BS461" s="1754"/>
      <c r="BT461" s="1754"/>
      <c r="BU461" s="1754"/>
      <c r="BW461" s="383">
        <f>IF($BE461&gt;$R$66-3+($CH$335*12),124,0)</f>
        <v>124</v>
      </c>
      <c r="BX461" s="1754">
        <f t="shared" si="137"/>
        <v>0</v>
      </c>
      <c r="BY461" s="1754"/>
      <c r="BZ461" s="1754"/>
      <c r="CA461" s="1754"/>
      <c r="CB461" s="1754">
        <f t="shared" si="91"/>
        <v>0</v>
      </c>
      <c r="CC461" s="1754"/>
      <c r="CD461" s="1754"/>
      <c r="CE461" s="1754">
        <f t="shared" si="82"/>
        <v>0</v>
      </c>
      <c r="CF461" s="1754"/>
      <c r="CG461" s="1754"/>
      <c r="CH461" s="1754">
        <f t="shared" si="83"/>
        <v>0</v>
      </c>
      <c r="CI461" s="1754"/>
      <c r="CJ461" s="1754"/>
      <c r="CK461" s="1754"/>
      <c r="CM461" s="383">
        <f>IF($BE461&gt;$R$66-3+($CX$335*12),124,0)</f>
        <v>124</v>
      </c>
      <c r="CN461" s="1754">
        <f t="shared" si="138"/>
        <v>0</v>
      </c>
      <c r="CO461" s="1754"/>
      <c r="CP461" s="1754"/>
      <c r="CQ461" s="1754"/>
      <c r="CR461" s="1754">
        <f t="shared" si="92"/>
        <v>0</v>
      </c>
      <c r="CS461" s="1754"/>
      <c r="CT461" s="1754"/>
      <c r="CU461" s="1754">
        <f t="shared" si="84"/>
        <v>0</v>
      </c>
      <c r="CV461" s="1754"/>
      <c r="CW461" s="1754"/>
      <c r="CX461" s="1754">
        <f t="shared" si="85"/>
        <v>0</v>
      </c>
      <c r="CY461" s="1754"/>
      <c r="CZ461" s="1754"/>
      <c r="DA461" s="1754"/>
      <c r="DC461" s="383">
        <f>IF($BE461&gt;$R$66-3,124,0)</f>
        <v>124</v>
      </c>
      <c r="DD461" s="1754">
        <f t="shared" si="139"/>
        <v>0</v>
      </c>
      <c r="DE461" s="1754"/>
      <c r="DF461" s="1754"/>
      <c r="DG461" s="1754"/>
      <c r="DH461" s="1754">
        <f t="shared" si="93"/>
        <v>0</v>
      </c>
      <c r="DI461" s="1754"/>
      <c r="DJ461" s="1754"/>
      <c r="DK461" s="1754">
        <f t="shared" si="86"/>
        <v>0</v>
      </c>
      <c r="DL461" s="1754"/>
      <c r="DM461" s="1754"/>
      <c r="DN461" s="1754"/>
      <c r="DP461" s="383">
        <f t="shared" si="94"/>
        <v>124</v>
      </c>
      <c r="DQ461" s="1754">
        <f t="shared" si="95"/>
        <v>0</v>
      </c>
      <c r="DR461" s="1754"/>
      <c r="DS461" s="1754"/>
      <c r="DT461" s="1754"/>
      <c r="DU461" s="1754">
        <f t="shared" si="106"/>
        <v>0</v>
      </c>
      <c r="DV461" s="1754"/>
      <c r="DW461" s="1754"/>
      <c r="DX461" s="1754">
        <f t="shared" si="114"/>
        <v>0</v>
      </c>
      <c r="DY461" s="1754"/>
      <c r="DZ461" s="1754"/>
      <c r="EA461" s="1754">
        <f t="shared" si="115"/>
        <v>0</v>
      </c>
      <c r="EB461" s="1754"/>
      <c r="EC461" s="1754"/>
      <c r="ED461" s="1754"/>
      <c r="EE461" s="384"/>
      <c r="EF461" s="1750">
        <f t="shared" si="87"/>
        <v>0</v>
      </c>
      <c r="EG461" s="1751"/>
      <c r="EH461" s="1751"/>
      <c r="EI461" s="1751"/>
      <c r="EJ461" s="1752"/>
      <c r="EL461" s="1750">
        <f t="shared" si="116"/>
        <v>0</v>
      </c>
      <c r="EM461" s="1751"/>
      <c r="EN461" s="1751"/>
      <c r="EO461" s="1751"/>
      <c r="EP461" s="1752"/>
      <c r="ER461" s="1750">
        <f t="shared" si="88"/>
        <v>0</v>
      </c>
      <c r="ES461" s="1751"/>
      <c r="ET461" s="1751"/>
      <c r="EU461" s="1751"/>
      <c r="EV461" s="1752"/>
      <c r="EX461" s="1750">
        <f>IF(BE461&gt;0,Einstrahlung!$K$16*Kalkulation!$P$62/100*$AY$29*POWER((100-$P$64)/100,BD461-1),0)</f>
        <v>0</v>
      </c>
      <c r="EY461" s="1751"/>
      <c r="EZ461" s="1751"/>
      <c r="FA461" s="1751"/>
      <c r="FB461" s="1752"/>
      <c r="FD461" s="1750">
        <f t="shared" si="96"/>
        <v>0</v>
      </c>
      <c r="FE461" s="1751"/>
      <c r="FF461" s="1751"/>
      <c r="FG461" s="1751"/>
      <c r="FH461" s="1752"/>
      <c r="FI461" s="385"/>
      <c r="FJ461" s="380">
        <f t="shared" si="104"/>
        <v>0</v>
      </c>
      <c r="FK461" s="385"/>
      <c r="FL461" s="380">
        <f t="shared" si="144"/>
        <v>0</v>
      </c>
      <c r="FM461" s="385"/>
      <c r="FN461" s="380">
        <f t="shared" si="97"/>
        <v>0</v>
      </c>
      <c r="FO461" s="962">
        <f t="shared" si="102"/>
        <v>253</v>
      </c>
      <c r="FP461" s="956">
        <f t="shared" si="89"/>
        <v>0.4</v>
      </c>
      <c r="FQ461" s="380">
        <f t="shared" si="111"/>
        <v>0</v>
      </c>
      <c r="FR461" s="626">
        <f t="shared" si="145"/>
        <v>1</v>
      </c>
      <c r="FT461" s="1819">
        <f t="shared" si="103"/>
        <v>0</v>
      </c>
      <c r="FU461" s="1820"/>
      <c r="FV461" s="1820"/>
      <c r="FW461" s="1820"/>
      <c r="FX461" s="1821"/>
      <c r="FY461" s="1819">
        <f t="shared" si="98"/>
        <v>0</v>
      </c>
      <c r="FZ461" s="1820"/>
      <c r="GA461" s="1820"/>
      <c r="GB461" s="1821"/>
      <c r="GC461" s="1825">
        <f t="shared" si="117"/>
        <v>0</v>
      </c>
      <c r="GD461" s="1826"/>
      <c r="GE461" s="1826"/>
      <c r="GF461" s="1827"/>
      <c r="GH461" s="1750">
        <f t="shared" si="99"/>
        <v>0</v>
      </c>
      <c r="GI461" s="1751"/>
      <c r="GJ461" s="1751"/>
      <c r="GK461" s="1752"/>
      <c r="GL461" s="1750">
        <f t="shared" si="100"/>
        <v>0</v>
      </c>
      <c r="GM461" s="1751"/>
      <c r="GN461" s="1751"/>
      <c r="GO461" s="1752"/>
      <c r="GP461" s="385"/>
      <c r="GQ461" s="1750">
        <f t="shared" si="101"/>
        <v>0</v>
      </c>
      <c r="GR461" s="1751"/>
      <c r="GS461" s="1751"/>
      <c r="GT461" s="1752"/>
      <c r="GU461" s="192">
        <f t="shared" si="105"/>
        <v>1</v>
      </c>
      <c r="GV461" s="192">
        <f>SUM($GU$337:GU461)</f>
        <v>117</v>
      </c>
      <c r="GW461" s="318"/>
      <c r="HF461" s="380">
        <f t="shared" si="140"/>
        <v>0</v>
      </c>
      <c r="HX461" s="380"/>
    </row>
    <row r="462" spans="6:232" ht="13.5" thickBot="1">
      <c r="F462" s="414" t="s">
        <v>696</v>
      </c>
      <c r="H462" s="1610">
        <f>IF(D295&gt;0,HV337,0)</f>
        <v>0</v>
      </c>
      <c r="I462" s="1611"/>
      <c r="J462" s="1611"/>
      <c r="K462" s="1611"/>
      <c r="L462" s="1612"/>
      <c r="N462" s="1681">
        <f t="shared" si="130"/>
        <v>0</v>
      </c>
      <c r="O462" s="1682"/>
      <c r="P462" s="1682"/>
      <c r="Q462" s="1682"/>
      <c r="R462" s="1683"/>
      <c r="Y462" s="415">
        <v>25</v>
      </c>
      <c r="Z462" s="402"/>
      <c r="AA462" s="402"/>
      <c r="AB462" s="404"/>
      <c r="AC462" s="404"/>
      <c r="AD462" s="402"/>
      <c r="AE462" s="402"/>
      <c r="AF462" s="402"/>
      <c r="AG462" s="402"/>
      <c r="AH462" s="402"/>
      <c r="AI462" s="402"/>
      <c r="AJ462" s="402"/>
      <c r="AK462" s="402"/>
      <c r="AL462" s="402"/>
      <c r="AM462" s="402"/>
      <c r="AN462" s="402"/>
      <c r="AO462" s="402"/>
      <c r="AP462" s="416">
        <f>AA295</f>
        <v>0</v>
      </c>
      <c r="AQ462" s="428"/>
      <c r="AR462" s="428"/>
      <c r="AS462" s="428"/>
      <c r="AT462" s="428"/>
      <c r="BD462" s="387">
        <f t="shared" si="141"/>
        <v>10</v>
      </c>
      <c r="BE462" s="382">
        <f>IF(BD462&gt;0,125,0)</f>
        <v>125</v>
      </c>
      <c r="BG462" s="383">
        <f>IF($BE462&gt;$R$66-3+($BR$335*12),125,0)</f>
        <v>125</v>
      </c>
      <c r="BH462" s="1754">
        <f t="shared" si="142"/>
        <v>0</v>
      </c>
      <c r="BI462" s="1754"/>
      <c r="BJ462" s="1754"/>
      <c r="BK462" s="1754"/>
      <c r="BL462" s="1754">
        <f t="shared" si="90"/>
        <v>0</v>
      </c>
      <c r="BM462" s="1754"/>
      <c r="BN462" s="1754"/>
      <c r="BO462" s="1754">
        <f t="shared" si="81"/>
        <v>0</v>
      </c>
      <c r="BP462" s="1754"/>
      <c r="BQ462" s="1754"/>
      <c r="BR462" s="1754">
        <f t="shared" si="143"/>
        <v>0</v>
      </c>
      <c r="BS462" s="1754"/>
      <c r="BT462" s="1754"/>
      <c r="BU462" s="1754"/>
      <c r="BW462" s="383">
        <f>IF($BE462&gt;$R$66-3+($CH$335*12),125,0)</f>
        <v>125</v>
      </c>
      <c r="BX462" s="1754">
        <f t="shared" si="137"/>
        <v>0</v>
      </c>
      <c r="BY462" s="1754"/>
      <c r="BZ462" s="1754"/>
      <c r="CA462" s="1754"/>
      <c r="CB462" s="1754">
        <f t="shared" si="91"/>
        <v>0</v>
      </c>
      <c r="CC462" s="1754"/>
      <c r="CD462" s="1754"/>
      <c r="CE462" s="1754">
        <f t="shared" si="82"/>
        <v>0</v>
      </c>
      <c r="CF462" s="1754"/>
      <c r="CG462" s="1754"/>
      <c r="CH462" s="1754">
        <f t="shared" si="83"/>
        <v>0</v>
      </c>
      <c r="CI462" s="1754"/>
      <c r="CJ462" s="1754"/>
      <c r="CK462" s="1754"/>
      <c r="CM462" s="383">
        <f>IF($BE462&gt;$R$66-3+($CX$335*12),125,0)</f>
        <v>125</v>
      </c>
      <c r="CN462" s="1754">
        <f t="shared" si="138"/>
        <v>0</v>
      </c>
      <c r="CO462" s="1754"/>
      <c r="CP462" s="1754"/>
      <c r="CQ462" s="1754"/>
      <c r="CR462" s="1754">
        <f t="shared" si="92"/>
        <v>0</v>
      </c>
      <c r="CS462" s="1754"/>
      <c r="CT462" s="1754"/>
      <c r="CU462" s="1754">
        <f t="shared" si="84"/>
        <v>0</v>
      </c>
      <c r="CV462" s="1754"/>
      <c r="CW462" s="1754"/>
      <c r="CX462" s="1754">
        <f t="shared" si="85"/>
        <v>0</v>
      </c>
      <c r="CY462" s="1754"/>
      <c r="CZ462" s="1754"/>
      <c r="DA462" s="1754"/>
      <c r="DC462" s="383">
        <f>IF($BE462&gt;$R$66-3,125,0)</f>
        <v>125</v>
      </c>
      <c r="DD462" s="1754">
        <f t="shared" si="139"/>
        <v>0</v>
      </c>
      <c r="DE462" s="1754"/>
      <c r="DF462" s="1754"/>
      <c r="DG462" s="1754"/>
      <c r="DH462" s="1754">
        <f t="shared" si="93"/>
        <v>0</v>
      </c>
      <c r="DI462" s="1754"/>
      <c r="DJ462" s="1754"/>
      <c r="DK462" s="1754">
        <f t="shared" si="86"/>
        <v>0</v>
      </c>
      <c r="DL462" s="1754"/>
      <c r="DM462" s="1754"/>
      <c r="DN462" s="1754"/>
      <c r="DP462" s="383">
        <f t="shared" si="94"/>
        <v>125</v>
      </c>
      <c r="DQ462" s="1754">
        <f t="shared" si="95"/>
        <v>0</v>
      </c>
      <c r="DR462" s="1754"/>
      <c r="DS462" s="1754"/>
      <c r="DT462" s="1754"/>
      <c r="DU462" s="1754">
        <f t="shared" si="106"/>
        <v>0</v>
      </c>
      <c r="DV462" s="1754"/>
      <c r="DW462" s="1754"/>
      <c r="DX462" s="1754">
        <f t="shared" si="114"/>
        <v>0</v>
      </c>
      <c r="DY462" s="1754"/>
      <c r="DZ462" s="1754"/>
      <c r="EA462" s="1754">
        <f t="shared" si="115"/>
        <v>0</v>
      </c>
      <c r="EB462" s="1754"/>
      <c r="EC462" s="1754"/>
      <c r="ED462" s="1754"/>
      <c r="EE462" s="384"/>
      <c r="EF462" s="1750">
        <f t="shared" si="87"/>
        <v>0</v>
      </c>
      <c r="EG462" s="1751"/>
      <c r="EH462" s="1751"/>
      <c r="EI462" s="1751"/>
      <c r="EJ462" s="1752"/>
      <c r="EL462" s="1750">
        <f t="shared" si="116"/>
        <v>0</v>
      </c>
      <c r="EM462" s="1751"/>
      <c r="EN462" s="1751"/>
      <c r="EO462" s="1751"/>
      <c r="EP462" s="1752"/>
      <c r="ER462" s="1750">
        <f t="shared" si="88"/>
        <v>0</v>
      </c>
      <c r="ES462" s="1751"/>
      <c r="ET462" s="1751"/>
      <c r="EU462" s="1751"/>
      <c r="EV462" s="1752"/>
      <c r="EX462" s="1750">
        <f>IF(BE462&gt;0,Einstrahlung!$K$18*Kalkulation!$P$62/100*$AY$29*POWER((100-$P$64)/100,BD462-1),0)</f>
        <v>0</v>
      </c>
      <c r="EY462" s="1751"/>
      <c r="EZ462" s="1751"/>
      <c r="FA462" s="1751"/>
      <c r="FB462" s="1752"/>
      <c r="FD462" s="1750">
        <f t="shared" si="96"/>
        <v>0</v>
      </c>
      <c r="FE462" s="1751"/>
      <c r="FF462" s="1751"/>
      <c r="FG462" s="1751"/>
      <c r="FH462" s="1752"/>
      <c r="FI462" s="385"/>
      <c r="FJ462" s="380">
        <f t="shared" si="104"/>
        <v>0</v>
      </c>
      <c r="FK462" s="385"/>
      <c r="FL462" s="380">
        <f t="shared" si="144"/>
        <v>0</v>
      </c>
      <c r="FM462" s="385"/>
      <c r="FN462" s="380">
        <f t="shared" si="97"/>
        <v>0</v>
      </c>
      <c r="FO462" s="962">
        <f t="shared" si="102"/>
        <v>254</v>
      </c>
      <c r="FP462" s="956">
        <f t="shared" si="89"/>
        <v>0.4</v>
      </c>
      <c r="FQ462" s="380">
        <f t="shared" si="111"/>
        <v>0</v>
      </c>
      <c r="FR462" s="626">
        <f t="shared" si="145"/>
        <v>1</v>
      </c>
      <c r="FT462" s="1819">
        <f t="shared" si="103"/>
        <v>0</v>
      </c>
      <c r="FU462" s="1820"/>
      <c r="FV462" s="1820"/>
      <c r="FW462" s="1820"/>
      <c r="FX462" s="1821"/>
      <c r="FY462" s="1819">
        <f t="shared" si="98"/>
        <v>0</v>
      </c>
      <c r="FZ462" s="1820"/>
      <c r="GA462" s="1820"/>
      <c r="GB462" s="1821"/>
      <c r="GC462" s="1825">
        <f t="shared" si="117"/>
        <v>0</v>
      </c>
      <c r="GD462" s="1826"/>
      <c r="GE462" s="1826"/>
      <c r="GF462" s="1827"/>
      <c r="GH462" s="1750">
        <f t="shared" si="99"/>
        <v>0</v>
      </c>
      <c r="GI462" s="1751"/>
      <c r="GJ462" s="1751"/>
      <c r="GK462" s="1752"/>
      <c r="GL462" s="1750">
        <f t="shared" si="100"/>
        <v>0</v>
      </c>
      <c r="GM462" s="1751"/>
      <c r="GN462" s="1751"/>
      <c r="GO462" s="1752"/>
      <c r="GP462" s="385"/>
      <c r="GQ462" s="1750">
        <f t="shared" si="101"/>
        <v>0</v>
      </c>
      <c r="GR462" s="1751"/>
      <c r="GS462" s="1751"/>
      <c r="GT462" s="1752"/>
      <c r="GU462" s="192">
        <f t="shared" si="105"/>
        <v>1</v>
      </c>
      <c r="GV462" s="192">
        <f>SUM($GU$337:GU462)</f>
        <v>118</v>
      </c>
      <c r="GW462" s="318"/>
      <c r="HF462" s="380">
        <f t="shared" si="140"/>
        <v>0</v>
      </c>
      <c r="HX462" s="380"/>
    </row>
    <row r="463" spans="6:232" ht="13.5" thickBot="1">
      <c r="N463" s="1676">
        <f>SUM(N436:R462)</f>
        <v>0</v>
      </c>
      <c r="O463" s="1677"/>
      <c r="P463" s="1677"/>
      <c r="Q463" s="1677"/>
      <c r="R463" s="1678"/>
      <c r="BD463" s="387">
        <f t="shared" si="141"/>
        <v>10</v>
      </c>
      <c r="BE463" s="382">
        <f>IF(BD463&gt;0,126,0)</f>
        <v>126</v>
      </c>
      <c r="BG463" s="383">
        <f>IF($BE463&gt;$R$66-3+($BR$335*12),126,0)</f>
        <v>126</v>
      </c>
      <c r="BH463" s="1754">
        <f t="shared" si="142"/>
        <v>0</v>
      </c>
      <c r="BI463" s="1754"/>
      <c r="BJ463" s="1754"/>
      <c r="BK463" s="1754"/>
      <c r="BL463" s="1754">
        <f t="shared" si="90"/>
        <v>0</v>
      </c>
      <c r="BM463" s="1754"/>
      <c r="BN463" s="1754"/>
      <c r="BO463" s="1754">
        <f t="shared" si="81"/>
        <v>0</v>
      </c>
      <c r="BP463" s="1754"/>
      <c r="BQ463" s="1754"/>
      <c r="BR463" s="1754">
        <f t="shared" si="143"/>
        <v>0</v>
      </c>
      <c r="BS463" s="1754"/>
      <c r="BT463" s="1754"/>
      <c r="BU463" s="1754"/>
      <c r="BW463" s="383">
        <f>IF($BE463&gt;$R$66-3+($CH$335*12),126,0)</f>
        <v>126</v>
      </c>
      <c r="BX463" s="1754">
        <f t="shared" si="137"/>
        <v>0</v>
      </c>
      <c r="BY463" s="1754"/>
      <c r="BZ463" s="1754"/>
      <c r="CA463" s="1754"/>
      <c r="CB463" s="1754">
        <f t="shared" si="91"/>
        <v>0</v>
      </c>
      <c r="CC463" s="1754"/>
      <c r="CD463" s="1754"/>
      <c r="CE463" s="1754">
        <f t="shared" si="82"/>
        <v>0</v>
      </c>
      <c r="CF463" s="1754"/>
      <c r="CG463" s="1754"/>
      <c r="CH463" s="1754">
        <f t="shared" si="83"/>
        <v>0</v>
      </c>
      <c r="CI463" s="1754"/>
      <c r="CJ463" s="1754"/>
      <c r="CK463" s="1754"/>
      <c r="CM463" s="383">
        <f>IF($BE463&gt;$R$66-3+($CX$335*12),126,0)</f>
        <v>126</v>
      </c>
      <c r="CN463" s="1754">
        <f t="shared" si="138"/>
        <v>0</v>
      </c>
      <c r="CO463" s="1754"/>
      <c r="CP463" s="1754"/>
      <c r="CQ463" s="1754"/>
      <c r="CR463" s="1754">
        <f t="shared" si="92"/>
        <v>0</v>
      </c>
      <c r="CS463" s="1754"/>
      <c r="CT463" s="1754"/>
      <c r="CU463" s="1754">
        <f t="shared" si="84"/>
        <v>0</v>
      </c>
      <c r="CV463" s="1754"/>
      <c r="CW463" s="1754"/>
      <c r="CX463" s="1754">
        <f t="shared" si="85"/>
        <v>0</v>
      </c>
      <c r="CY463" s="1754"/>
      <c r="CZ463" s="1754"/>
      <c r="DA463" s="1754"/>
      <c r="DC463" s="383">
        <f>IF($BE463&gt;$R$66-3,126,0)</f>
        <v>126</v>
      </c>
      <c r="DD463" s="1754">
        <f t="shared" si="139"/>
        <v>0</v>
      </c>
      <c r="DE463" s="1754"/>
      <c r="DF463" s="1754"/>
      <c r="DG463" s="1754"/>
      <c r="DH463" s="1754">
        <f t="shared" si="93"/>
        <v>0</v>
      </c>
      <c r="DI463" s="1754"/>
      <c r="DJ463" s="1754"/>
      <c r="DK463" s="1754">
        <f t="shared" si="86"/>
        <v>0</v>
      </c>
      <c r="DL463" s="1754"/>
      <c r="DM463" s="1754"/>
      <c r="DN463" s="1754"/>
      <c r="DP463" s="383">
        <f t="shared" si="94"/>
        <v>126</v>
      </c>
      <c r="DQ463" s="1754">
        <f t="shared" si="95"/>
        <v>0</v>
      </c>
      <c r="DR463" s="1754"/>
      <c r="DS463" s="1754"/>
      <c r="DT463" s="1754"/>
      <c r="DU463" s="1754">
        <f t="shared" si="106"/>
        <v>0</v>
      </c>
      <c r="DV463" s="1754"/>
      <c r="DW463" s="1754"/>
      <c r="DX463" s="1754">
        <f t="shared" si="114"/>
        <v>0</v>
      </c>
      <c r="DY463" s="1754"/>
      <c r="DZ463" s="1754"/>
      <c r="EA463" s="1754">
        <f t="shared" si="115"/>
        <v>0</v>
      </c>
      <c r="EB463" s="1754"/>
      <c r="EC463" s="1754"/>
      <c r="ED463" s="1754"/>
      <c r="EE463" s="384"/>
      <c r="EF463" s="1750">
        <f t="shared" si="87"/>
        <v>0</v>
      </c>
      <c r="EG463" s="1751"/>
      <c r="EH463" s="1751"/>
      <c r="EI463" s="1751"/>
      <c r="EJ463" s="1752"/>
      <c r="EL463" s="1750">
        <f t="shared" si="116"/>
        <v>0</v>
      </c>
      <c r="EM463" s="1751"/>
      <c r="EN463" s="1751"/>
      <c r="EO463" s="1751"/>
      <c r="EP463" s="1752"/>
      <c r="ER463" s="1750">
        <f t="shared" si="88"/>
        <v>0</v>
      </c>
      <c r="ES463" s="1751"/>
      <c r="ET463" s="1751"/>
      <c r="EU463" s="1751"/>
      <c r="EV463" s="1752"/>
      <c r="EX463" s="1750">
        <f>IF(BE463&gt;0,Einstrahlung!$K$20*Kalkulation!$P$62/100*$AY$29*POWER((100-$P$64)/100,BD463-1),0)</f>
        <v>0</v>
      </c>
      <c r="EY463" s="1751"/>
      <c r="EZ463" s="1751"/>
      <c r="FA463" s="1751"/>
      <c r="FB463" s="1752"/>
      <c r="FD463" s="1750">
        <f t="shared" si="96"/>
        <v>0</v>
      </c>
      <c r="FE463" s="1751"/>
      <c r="FF463" s="1751"/>
      <c r="FG463" s="1751"/>
      <c r="FH463" s="1752"/>
      <c r="FI463" s="385"/>
      <c r="FJ463" s="380">
        <f t="shared" si="104"/>
        <v>0</v>
      </c>
      <c r="FK463" s="385"/>
      <c r="FL463" s="380">
        <f t="shared" si="144"/>
        <v>0</v>
      </c>
      <c r="FM463" s="385"/>
      <c r="FN463" s="380">
        <f t="shared" si="97"/>
        <v>0</v>
      </c>
      <c r="FO463" s="962">
        <f t="shared" si="102"/>
        <v>255</v>
      </c>
      <c r="FP463" s="956">
        <f t="shared" si="89"/>
        <v>0.4</v>
      </c>
      <c r="FQ463" s="380">
        <f t="shared" si="111"/>
        <v>0</v>
      </c>
      <c r="FR463" s="626">
        <f t="shared" si="145"/>
        <v>1</v>
      </c>
      <c r="FT463" s="1819">
        <f t="shared" si="103"/>
        <v>0</v>
      </c>
      <c r="FU463" s="1820"/>
      <c r="FV463" s="1820"/>
      <c r="FW463" s="1820"/>
      <c r="FX463" s="1821"/>
      <c r="FY463" s="1819">
        <f t="shared" si="98"/>
        <v>0</v>
      </c>
      <c r="FZ463" s="1820"/>
      <c r="GA463" s="1820"/>
      <c r="GB463" s="1821"/>
      <c r="GC463" s="1825">
        <f t="shared" si="117"/>
        <v>0</v>
      </c>
      <c r="GD463" s="1826"/>
      <c r="GE463" s="1826"/>
      <c r="GF463" s="1827"/>
      <c r="GH463" s="1750">
        <f t="shared" si="99"/>
        <v>0</v>
      </c>
      <c r="GI463" s="1751"/>
      <c r="GJ463" s="1751"/>
      <c r="GK463" s="1752"/>
      <c r="GL463" s="1750">
        <f t="shared" si="100"/>
        <v>0</v>
      </c>
      <c r="GM463" s="1751"/>
      <c r="GN463" s="1751"/>
      <c r="GO463" s="1752"/>
      <c r="GP463" s="385"/>
      <c r="GQ463" s="1750">
        <f t="shared" si="101"/>
        <v>0</v>
      </c>
      <c r="GR463" s="1751"/>
      <c r="GS463" s="1751"/>
      <c r="GT463" s="1752"/>
      <c r="GU463" s="192">
        <f t="shared" si="105"/>
        <v>1</v>
      </c>
      <c r="GV463" s="192">
        <f>SUM($GU$337:GU463)</f>
        <v>119</v>
      </c>
      <c r="GW463" s="318"/>
      <c r="HF463" s="380">
        <f t="shared" si="140"/>
        <v>0</v>
      </c>
      <c r="HX463" s="380"/>
    </row>
    <row r="464" spans="6:232">
      <c r="F464" s="379"/>
      <c r="G464" s="379"/>
      <c r="H464" s="379"/>
      <c r="I464" s="379"/>
      <c r="J464" s="379"/>
      <c r="K464" s="379"/>
      <c r="BD464" s="387">
        <f t="shared" si="141"/>
        <v>10</v>
      </c>
      <c r="BE464" s="382">
        <f>IF(BD464&gt;0,127,0)</f>
        <v>127</v>
      </c>
      <c r="BG464" s="383">
        <f>IF($BE464&gt;$R$66-3+($BR$335*12),127,0)</f>
        <v>127</v>
      </c>
      <c r="BH464" s="1754">
        <f t="shared" si="142"/>
        <v>0</v>
      </c>
      <c r="BI464" s="1754"/>
      <c r="BJ464" s="1754"/>
      <c r="BK464" s="1754"/>
      <c r="BL464" s="1754">
        <f t="shared" si="90"/>
        <v>0</v>
      </c>
      <c r="BM464" s="1754"/>
      <c r="BN464" s="1754"/>
      <c r="BO464" s="1754">
        <f t="shared" si="81"/>
        <v>0</v>
      </c>
      <c r="BP464" s="1754"/>
      <c r="BQ464" s="1754"/>
      <c r="BR464" s="1754">
        <f t="shared" si="143"/>
        <v>0</v>
      </c>
      <c r="BS464" s="1754"/>
      <c r="BT464" s="1754"/>
      <c r="BU464" s="1754"/>
      <c r="BW464" s="383">
        <f>IF($BE464&gt;$R$66-3+($CH$335*12),127,0)</f>
        <v>127</v>
      </c>
      <c r="BX464" s="1754">
        <f t="shared" si="137"/>
        <v>0</v>
      </c>
      <c r="BY464" s="1754"/>
      <c r="BZ464" s="1754"/>
      <c r="CA464" s="1754"/>
      <c r="CB464" s="1754">
        <f t="shared" si="91"/>
        <v>0</v>
      </c>
      <c r="CC464" s="1754"/>
      <c r="CD464" s="1754"/>
      <c r="CE464" s="1754">
        <f t="shared" si="82"/>
        <v>0</v>
      </c>
      <c r="CF464" s="1754"/>
      <c r="CG464" s="1754"/>
      <c r="CH464" s="1754">
        <f t="shared" si="83"/>
        <v>0</v>
      </c>
      <c r="CI464" s="1754"/>
      <c r="CJ464" s="1754"/>
      <c r="CK464" s="1754"/>
      <c r="CM464" s="383">
        <f>IF($BE464&gt;$R$66-3+($CX$335*12),127,0)</f>
        <v>127</v>
      </c>
      <c r="CN464" s="1754">
        <f t="shared" si="138"/>
        <v>0</v>
      </c>
      <c r="CO464" s="1754"/>
      <c r="CP464" s="1754"/>
      <c r="CQ464" s="1754"/>
      <c r="CR464" s="1754">
        <f t="shared" si="92"/>
        <v>0</v>
      </c>
      <c r="CS464" s="1754"/>
      <c r="CT464" s="1754"/>
      <c r="CU464" s="1754">
        <f t="shared" si="84"/>
        <v>0</v>
      </c>
      <c r="CV464" s="1754"/>
      <c r="CW464" s="1754"/>
      <c r="CX464" s="1754">
        <f t="shared" si="85"/>
        <v>0</v>
      </c>
      <c r="CY464" s="1754"/>
      <c r="CZ464" s="1754"/>
      <c r="DA464" s="1754"/>
      <c r="DC464" s="383">
        <f>IF($BE464&gt;$R$66-3,127,0)</f>
        <v>127</v>
      </c>
      <c r="DD464" s="1754">
        <f t="shared" si="139"/>
        <v>0</v>
      </c>
      <c r="DE464" s="1754"/>
      <c r="DF464" s="1754"/>
      <c r="DG464" s="1754"/>
      <c r="DH464" s="1754">
        <f t="shared" si="93"/>
        <v>0</v>
      </c>
      <c r="DI464" s="1754"/>
      <c r="DJ464" s="1754"/>
      <c r="DK464" s="1754">
        <f t="shared" si="86"/>
        <v>0</v>
      </c>
      <c r="DL464" s="1754"/>
      <c r="DM464" s="1754"/>
      <c r="DN464" s="1754"/>
      <c r="DP464" s="383">
        <f t="shared" si="94"/>
        <v>127</v>
      </c>
      <c r="DQ464" s="1754">
        <f t="shared" si="95"/>
        <v>0</v>
      </c>
      <c r="DR464" s="1754"/>
      <c r="DS464" s="1754"/>
      <c r="DT464" s="1754"/>
      <c r="DU464" s="1754">
        <f t="shared" si="106"/>
        <v>0</v>
      </c>
      <c r="DV464" s="1754"/>
      <c r="DW464" s="1754"/>
      <c r="DX464" s="1754">
        <f t="shared" si="114"/>
        <v>0</v>
      </c>
      <c r="DY464" s="1754"/>
      <c r="DZ464" s="1754"/>
      <c r="EA464" s="1754">
        <f t="shared" si="115"/>
        <v>0</v>
      </c>
      <c r="EB464" s="1754"/>
      <c r="EC464" s="1754"/>
      <c r="ED464" s="1754"/>
      <c r="EE464" s="384"/>
      <c r="EF464" s="1750">
        <f t="shared" si="87"/>
        <v>0</v>
      </c>
      <c r="EG464" s="1751"/>
      <c r="EH464" s="1751"/>
      <c r="EI464" s="1751"/>
      <c r="EJ464" s="1752"/>
      <c r="EL464" s="1750">
        <f t="shared" si="116"/>
        <v>0</v>
      </c>
      <c r="EM464" s="1751"/>
      <c r="EN464" s="1751"/>
      <c r="EO464" s="1751"/>
      <c r="EP464" s="1752"/>
      <c r="ER464" s="1750">
        <f t="shared" si="88"/>
        <v>0</v>
      </c>
      <c r="ES464" s="1751"/>
      <c r="ET464" s="1751"/>
      <c r="EU464" s="1751"/>
      <c r="EV464" s="1752"/>
      <c r="EX464" s="1750">
        <f>IF(BE464&gt;0,Einstrahlung!$K$22*Kalkulation!$P$62/100*$AY$29*POWER((100-$P$64)/100,BD464-1),0)</f>
        <v>0</v>
      </c>
      <c r="EY464" s="1751"/>
      <c r="EZ464" s="1751"/>
      <c r="FA464" s="1751"/>
      <c r="FB464" s="1752"/>
      <c r="FD464" s="1750">
        <f t="shared" si="96"/>
        <v>0</v>
      </c>
      <c r="FE464" s="1751"/>
      <c r="FF464" s="1751"/>
      <c r="FG464" s="1751"/>
      <c r="FH464" s="1752"/>
      <c r="FI464" s="385"/>
      <c r="FJ464" s="380">
        <f t="shared" si="104"/>
        <v>0</v>
      </c>
      <c r="FK464" s="385"/>
      <c r="FL464" s="380">
        <f t="shared" si="144"/>
        <v>0</v>
      </c>
      <c r="FM464" s="385"/>
      <c r="FN464" s="380">
        <f t="shared" si="97"/>
        <v>0</v>
      </c>
      <c r="FO464" s="962">
        <f t="shared" si="102"/>
        <v>256</v>
      </c>
      <c r="FP464" s="956">
        <f t="shared" si="89"/>
        <v>0.4</v>
      </c>
      <c r="FQ464" s="380">
        <f t="shared" si="111"/>
        <v>0</v>
      </c>
      <c r="FR464" s="626">
        <f t="shared" si="145"/>
        <v>1</v>
      </c>
      <c r="FT464" s="1819">
        <f t="shared" si="103"/>
        <v>0</v>
      </c>
      <c r="FU464" s="1820"/>
      <c r="FV464" s="1820"/>
      <c r="FW464" s="1820"/>
      <c r="FX464" s="1821"/>
      <c r="FY464" s="1819">
        <f t="shared" si="98"/>
        <v>0</v>
      </c>
      <c r="FZ464" s="1820"/>
      <c r="GA464" s="1820"/>
      <c r="GB464" s="1821"/>
      <c r="GC464" s="1825">
        <f t="shared" si="117"/>
        <v>0</v>
      </c>
      <c r="GD464" s="1826"/>
      <c r="GE464" s="1826"/>
      <c r="GF464" s="1827"/>
      <c r="GH464" s="1750">
        <f t="shared" si="99"/>
        <v>0</v>
      </c>
      <c r="GI464" s="1751"/>
      <c r="GJ464" s="1751"/>
      <c r="GK464" s="1752"/>
      <c r="GL464" s="1750">
        <f t="shared" si="100"/>
        <v>0</v>
      </c>
      <c r="GM464" s="1751"/>
      <c r="GN464" s="1751"/>
      <c r="GO464" s="1752"/>
      <c r="GP464" s="385"/>
      <c r="GQ464" s="1750">
        <f t="shared" si="101"/>
        <v>0</v>
      </c>
      <c r="GR464" s="1751"/>
      <c r="GS464" s="1751"/>
      <c r="GT464" s="1752"/>
      <c r="GU464" s="192">
        <f t="shared" si="105"/>
        <v>1</v>
      </c>
      <c r="GV464" s="192">
        <f>SUM($GU$337:GU464)</f>
        <v>120</v>
      </c>
      <c r="GW464" s="318"/>
      <c r="HF464" s="380">
        <f t="shared" si="140"/>
        <v>0</v>
      </c>
      <c r="HX464" s="380"/>
    </row>
    <row r="465" spans="4:232">
      <c r="N465" s="417" t="s">
        <v>241</v>
      </c>
      <c r="O465" s="930" t="s">
        <v>868</v>
      </c>
      <c r="P465" s="930" t="s">
        <v>869</v>
      </c>
      <c r="Q465" s="417" t="s">
        <v>242</v>
      </c>
      <c r="R465" s="418"/>
      <c r="BD465" s="387">
        <f t="shared" si="141"/>
        <v>10</v>
      </c>
      <c r="BE465" s="382">
        <f>IF(BD465&gt;0,128,0)</f>
        <v>128</v>
      </c>
      <c r="BG465" s="383">
        <f>IF($BE465&gt;$R$66-3+($BR$335*12),128,0)</f>
        <v>128</v>
      </c>
      <c r="BH465" s="1754">
        <f t="shared" si="142"/>
        <v>0</v>
      </c>
      <c r="BI465" s="1754"/>
      <c r="BJ465" s="1754"/>
      <c r="BK465" s="1754"/>
      <c r="BL465" s="1754">
        <f t="shared" si="90"/>
        <v>0</v>
      </c>
      <c r="BM465" s="1754"/>
      <c r="BN465" s="1754"/>
      <c r="BO465" s="1754">
        <f t="shared" si="81"/>
        <v>0</v>
      </c>
      <c r="BP465" s="1754"/>
      <c r="BQ465" s="1754"/>
      <c r="BR465" s="1754">
        <f t="shared" si="143"/>
        <v>0</v>
      </c>
      <c r="BS465" s="1754"/>
      <c r="BT465" s="1754"/>
      <c r="BU465" s="1754"/>
      <c r="BW465" s="383">
        <f>IF($BE465&gt;$R$66-3+($CH$335*12),128,0)</f>
        <v>128</v>
      </c>
      <c r="BX465" s="1754">
        <f t="shared" si="137"/>
        <v>0</v>
      </c>
      <c r="BY465" s="1754"/>
      <c r="BZ465" s="1754"/>
      <c r="CA465" s="1754"/>
      <c r="CB465" s="1754">
        <f t="shared" si="91"/>
        <v>0</v>
      </c>
      <c r="CC465" s="1754"/>
      <c r="CD465" s="1754"/>
      <c r="CE465" s="1754">
        <f t="shared" si="82"/>
        <v>0</v>
      </c>
      <c r="CF465" s="1754"/>
      <c r="CG465" s="1754"/>
      <c r="CH465" s="1754">
        <f t="shared" si="83"/>
        <v>0</v>
      </c>
      <c r="CI465" s="1754"/>
      <c r="CJ465" s="1754"/>
      <c r="CK465" s="1754"/>
      <c r="CM465" s="383">
        <f>IF($BE465&gt;$R$66-3+($CX$335*12),128,0)</f>
        <v>128</v>
      </c>
      <c r="CN465" s="1754">
        <f t="shared" si="138"/>
        <v>0</v>
      </c>
      <c r="CO465" s="1754"/>
      <c r="CP465" s="1754"/>
      <c r="CQ465" s="1754"/>
      <c r="CR465" s="1754">
        <f t="shared" si="92"/>
        <v>0</v>
      </c>
      <c r="CS465" s="1754"/>
      <c r="CT465" s="1754"/>
      <c r="CU465" s="1754">
        <f t="shared" si="84"/>
        <v>0</v>
      </c>
      <c r="CV465" s="1754"/>
      <c r="CW465" s="1754"/>
      <c r="CX465" s="1754">
        <f t="shared" si="85"/>
        <v>0</v>
      </c>
      <c r="CY465" s="1754"/>
      <c r="CZ465" s="1754"/>
      <c r="DA465" s="1754"/>
      <c r="DC465" s="383">
        <f>IF($BE465&gt;$R$66-3,128,0)</f>
        <v>128</v>
      </c>
      <c r="DD465" s="1754">
        <f t="shared" si="139"/>
        <v>0</v>
      </c>
      <c r="DE465" s="1754"/>
      <c r="DF465" s="1754"/>
      <c r="DG465" s="1754"/>
      <c r="DH465" s="1754">
        <f t="shared" si="93"/>
        <v>0</v>
      </c>
      <c r="DI465" s="1754"/>
      <c r="DJ465" s="1754"/>
      <c r="DK465" s="1754">
        <f t="shared" si="86"/>
        <v>0</v>
      </c>
      <c r="DL465" s="1754"/>
      <c r="DM465" s="1754"/>
      <c r="DN465" s="1754"/>
      <c r="DP465" s="383">
        <f t="shared" si="94"/>
        <v>128</v>
      </c>
      <c r="DQ465" s="1754">
        <f t="shared" si="95"/>
        <v>0</v>
      </c>
      <c r="DR465" s="1754"/>
      <c r="DS465" s="1754"/>
      <c r="DT465" s="1754"/>
      <c r="DU465" s="1754">
        <f t="shared" si="106"/>
        <v>0</v>
      </c>
      <c r="DV465" s="1754"/>
      <c r="DW465" s="1754"/>
      <c r="DX465" s="1754">
        <f t="shared" si="114"/>
        <v>0</v>
      </c>
      <c r="DY465" s="1754"/>
      <c r="DZ465" s="1754"/>
      <c r="EA465" s="1754">
        <f t="shared" si="115"/>
        <v>0</v>
      </c>
      <c r="EB465" s="1754"/>
      <c r="EC465" s="1754"/>
      <c r="ED465" s="1754"/>
      <c r="EE465" s="384"/>
      <c r="EF465" s="1750">
        <f t="shared" si="87"/>
        <v>0</v>
      </c>
      <c r="EG465" s="1751"/>
      <c r="EH465" s="1751"/>
      <c r="EI465" s="1751"/>
      <c r="EJ465" s="1752"/>
      <c r="EL465" s="1750">
        <f t="shared" si="116"/>
        <v>0</v>
      </c>
      <c r="EM465" s="1751"/>
      <c r="EN465" s="1751"/>
      <c r="EO465" s="1751"/>
      <c r="EP465" s="1752"/>
      <c r="ER465" s="1750">
        <f t="shared" si="88"/>
        <v>0</v>
      </c>
      <c r="ES465" s="1751"/>
      <c r="ET465" s="1751"/>
      <c r="EU465" s="1751"/>
      <c r="EV465" s="1752"/>
      <c r="EX465" s="1750">
        <f>IF(BE465&gt;0,Einstrahlung!$K$24*Kalkulation!$P$62/100*$AY$29*POWER((100-$P$64)/100,BD465-1),0)</f>
        <v>0</v>
      </c>
      <c r="EY465" s="1751"/>
      <c r="EZ465" s="1751"/>
      <c r="FA465" s="1751"/>
      <c r="FB465" s="1752"/>
      <c r="FD465" s="1750">
        <f t="shared" si="96"/>
        <v>0</v>
      </c>
      <c r="FE465" s="1751"/>
      <c r="FF465" s="1751"/>
      <c r="FG465" s="1751"/>
      <c r="FH465" s="1752"/>
      <c r="FI465" s="385"/>
      <c r="FJ465" s="380">
        <f t="shared" si="104"/>
        <v>0</v>
      </c>
      <c r="FK465" s="385"/>
      <c r="FL465" s="380">
        <f t="shared" si="144"/>
        <v>0</v>
      </c>
      <c r="FM465" s="385"/>
      <c r="FN465" s="380">
        <f t="shared" si="97"/>
        <v>0</v>
      </c>
      <c r="FO465" s="962">
        <f t="shared" si="102"/>
        <v>257</v>
      </c>
      <c r="FP465" s="956">
        <f t="shared" si="89"/>
        <v>0.4</v>
      </c>
      <c r="FQ465" s="380">
        <f t="shared" si="111"/>
        <v>0</v>
      </c>
      <c r="FR465" s="626">
        <f t="shared" si="145"/>
        <v>1</v>
      </c>
      <c r="FT465" s="1819">
        <f t="shared" si="103"/>
        <v>0</v>
      </c>
      <c r="FU465" s="1820"/>
      <c r="FV465" s="1820"/>
      <c r="FW465" s="1820"/>
      <c r="FX465" s="1821"/>
      <c r="FY465" s="1819">
        <f t="shared" si="98"/>
        <v>0</v>
      </c>
      <c r="FZ465" s="1820"/>
      <c r="GA465" s="1820"/>
      <c r="GB465" s="1821"/>
      <c r="GC465" s="1825">
        <f t="shared" si="117"/>
        <v>0</v>
      </c>
      <c r="GD465" s="1826"/>
      <c r="GE465" s="1826"/>
      <c r="GF465" s="1827"/>
      <c r="GH465" s="1750">
        <f t="shared" si="99"/>
        <v>0</v>
      </c>
      <c r="GI465" s="1751"/>
      <c r="GJ465" s="1751"/>
      <c r="GK465" s="1752"/>
      <c r="GL465" s="1750">
        <f t="shared" si="100"/>
        <v>0</v>
      </c>
      <c r="GM465" s="1751"/>
      <c r="GN465" s="1751"/>
      <c r="GO465" s="1752"/>
      <c r="GP465" s="385"/>
      <c r="GQ465" s="1750">
        <f t="shared" si="101"/>
        <v>0</v>
      </c>
      <c r="GR465" s="1751"/>
      <c r="GS465" s="1751"/>
      <c r="GT465" s="1752"/>
      <c r="GU465" s="192">
        <f t="shared" si="105"/>
        <v>1</v>
      </c>
      <c r="GV465" s="192">
        <f>SUM($GU$337:GU465)</f>
        <v>121</v>
      </c>
      <c r="GW465" s="318"/>
      <c r="HF465" s="380">
        <f t="shared" si="140"/>
        <v>0</v>
      </c>
      <c r="HX465" s="380"/>
    </row>
    <row r="466" spans="4:232">
      <c r="N466" s="419">
        <v>10</v>
      </c>
      <c r="O466" s="419">
        <v>40</v>
      </c>
      <c r="P466" s="419">
        <v>1000</v>
      </c>
      <c r="Q466" s="419">
        <v>1000</v>
      </c>
      <c r="BD466" s="387">
        <f t="shared" si="141"/>
        <v>10</v>
      </c>
      <c r="BE466" s="382">
        <f>IF(BD466&gt;0,129,0)</f>
        <v>129</v>
      </c>
      <c r="BG466" s="383">
        <f>IF($BE466&gt;$R$66-3+($BR$335*12),129,0)</f>
        <v>129</v>
      </c>
      <c r="BH466" s="1754">
        <f t="shared" si="142"/>
        <v>0</v>
      </c>
      <c r="BI466" s="1754"/>
      <c r="BJ466" s="1754"/>
      <c r="BK466" s="1754"/>
      <c r="BL466" s="1754">
        <f t="shared" si="90"/>
        <v>0</v>
      </c>
      <c r="BM466" s="1754"/>
      <c r="BN466" s="1754"/>
      <c r="BO466" s="1754">
        <f t="shared" ref="BO466:BO529" si="146">IF($BE466&gt;0,BH466*$BI$335/(100*12),0)</f>
        <v>0</v>
      </c>
      <c r="BP466" s="1754"/>
      <c r="BQ466" s="1754"/>
      <c r="BR466" s="1754">
        <f t="shared" si="143"/>
        <v>0</v>
      </c>
      <c r="BS466" s="1754"/>
      <c r="BT466" s="1754"/>
      <c r="BU466" s="1754"/>
      <c r="BW466" s="383">
        <f>IF($BE466&gt;$R$66-3+($CH$335*12),129,0)</f>
        <v>129</v>
      </c>
      <c r="BX466" s="1754">
        <f t="shared" si="137"/>
        <v>0</v>
      </c>
      <c r="BY466" s="1754"/>
      <c r="BZ466" s="1754"/>
      <c r="CA466" s="1754"/>
      <c r="CB466" s="1754">
        <f t="shared" si="91"/>
        <v>0</v>
      </c>
      <c r="CC466" s="1754"/>
      <c r="CD466" s="1754"/>
      <c r="CE466" s="1754">
        <f t="shared" ref="CE466:CE529" si="147">IF($BE466&gt;0,BX466*$BY$335/(100*12),0)</f>
        <v>0</v>
      </c>
      <c r="CF466" s="1754"/>
      <c r="CG466" s="1754"/>
      <c r="CH466" s="1754">
        <f t="shared" ref="CH466:CH529" si="148">BX466-CB466</f>
        <v>0</v>
      </c>
      <c r="CI466" s="1754"/>
      <c r="CJ466" s="1754"/>
      <c r="CK466" s="1754"/>
      <c r="CM466" s="383">
        <f>IF($BE466&gt;$R$66-3+($CX$335*12),129,0)</f>
        <v>129</v>
      </c>
      <c r="CN466" s="1754">
        <f t="shared" si="138"/>
        <v>0</v>
      </c>
      <c r="CO466" s="1754"/>
      <c r="CP466" s="1754"/>
      <c r="CQ466" s="1754"/>
      <c r="CR466" s="1754">
        <f t="shared" si="92"/>
        <v>0</v>
      </c>
      <c r="CS466" s="1754"/>
      <c r="CT466" s="1754"/>
      <c r="CU466" s="1754">
        <f t="shared" ref="CU466:CU529" si="149">IF($BE466&gt;0,CN466*$CO$335/(100*12),0)</f>
        <v>0</v>
      </c>
      <c r="CV466" s="1754"/>
      <c r="CW466" s="1754"/>
      <c r="CX466" s="1754">
        <f t="shared" ref="CX466:CX529" si="150">CN466-CR466</f>
        <v>0</v>
      </c>
      <c r="CY466" s="1754"/>
      <c r="CZ466" s="1754"/>
      <c r="DA466" s="1754"/>
      <c r="DC466" s="383">
        <f>IF($BE466&gt;$R$66-3,129,0)</f>
        <v>129</v>
      </c>
      <c r="DD466" s="1754">
        <f t="shared" si="139"/>
        <v>0</v>
      </c>
      <c r="DE466" s="1754"/>
      <c r="DF466" s="1754"/>
      <c r="DG466" s="1754"/>
      <c r="DH466" s="1754">
        <f t="shared" si="93"/>
        <v>0</v>
      </c>
      <c r="DI466" s="1754"/>
      <c r="DJ466" s="1754"/>
      <c r="DK466" s="1754">
        <f t="shared" ref="DK466:DK529" si="151">IF(EA466&gt;(DD466),0,DD466)</f>
        <v>0</v>
      </c>
      <c r="DL466" s="1754"/>
      <c r="DM466" s="1754"/>
      <c r="DN466" s="1754"/>
      <c r="DP466" s="383">
        <f t="shared" si="94"/>
        <v>129</v>
      </c>
      <c r="DQ466" s="1754">
        <f t="shared" si="95"/>
        <v>0</v>
      </c>
      <c r="DR466" s="1754"/>
      <c r="DS466" s="1754"/>
      <c r="DT466" s="1754"/>
      <c r="DU466" s="1754">
        <f t="shared" si="106"/>
        <v>0</v>
      </c>
      <c r="DV466" s="1754"/>
      <c r="DW466" s="1754"/>
      <c r="DX466" s="1754">
        <f t="shared" si="114"/>
        <v>0</v>
      </c>
      <c r="DY466" s="1754"/>
      <c r="DZ466" s="1754"/>
      <c r="EA466" s="1754">
        <f t="shared" si="115"/>
        <v>0</v>
      </c>
      <c r="EB466" s="1754"/>
      <c r="EC466" s="1754"/>
      <c r="ED466" s="1754"/>
      <c r="EE466" s="384"/>
      <c r="EF466" s="1750">
        <f t="shared" ref="EF466:EF529" si="152">IF($BE466&gt;0,$AB$187/12,0)</f>
        <v>0</v>
      </c>
      <c r="EG466" s="1751"/>
      <c r="EH466" s="1751"/>
      <c r="EI466" s="1751"/>
      <c r="EJ466" s="1752"/>
      <c r="EL466" s="1750">
        <f t="shared" si="116"/>
        <v>0</v>
      </c>
      <c r="EM466" s="1751"/>
      <c r="EN466" s="1751"/>
      <c r="EO466" s="1751"/>
      <c r="EP466" s="1752"/>
      <c r="ER466" s="1750">
        <f t="shared" ref="ER466:ER529" si="153">IF($BE466&gt;0,($AB$197+$AB$203)/12,0)</f>
        <v>0</v>
      </c>
      <c r="ES466" s="1751"/>
      <c r="ET466" s="1751"/>
      <c r="EU466" s="1751"/>
      <c r="EV466" s="1752"/>
      <c r="EX466" s="1750">
        <f>IF(BE466&gt;0,Einstrahlung!$K$26*Kalkulation!$P$62/100*$AY$29*POWER((100-$P$64)/100,BD466-1),0)</f>
        <v>0</v>
      </c>
      <c r="EY466" s="1751"/>
      <c r="EZ466" s="1751"/>
      <c r="FA466" s="1751"/>
      <c r="FB466" s="1752"/>
      <c r="FD466" s="1750">
        <f t="shared" si="96"/>
        <v>0</v>
      </c>
      <c r="FE466" s="1751"/>
      <c r="FF466" s="1751"/>
      <c r="FG466" s="1751"/>
      <c r="FH466" s="1752"/>
      <c r="FI466" s="385"/>
      <c r="FJ466" s="380">
        <f t="shared" si="104"/>
        <v>0</v>
      </c>
      <c r="FK466" s="385"/>
      <c r="FL466" s="380">
        <f t="shared" si="144"/>
        <v>0</v>
      </c>
      <c r="FM466" s="385"/>
      <c r="FN466" s="380">
        <f t="shared" si="97"/>
        <v>0</v>
      </c>
      <c r="FO466" s="962">
        <f t="shared" si="102"/>
        <v>258</v>
      </c>
      <c r="FP466" s="956">
        <f t="shared" ref="FP466:FP529" si="154">IF($B$118&lt;41,0,IF(FO466&lt;58,$BI$147,IF(AND(FO466&gt;57,FO466&lt;70),$BI$143,IF(FO466&gt;69,$BI$141,0))))</f>
        <v>0.4</v>
      </c>
      <c r="FQ466" s="380">
        <f t="shared" si="111"/>
        <v>0</v>
      </c>
      <c r="FR466" s="626">
        <f t="shared" si="145"/>
        <v>1</v>
      </c>
      <c r="FT466" s="1819">
        <f t="shared" si="103"/>
        <v>0</v>
      </c>
      <c r="FU466" s="1820"/>
      <c r="FV466" s="1820"/>
      <c r="FW466" s="1820"/>
      <c r="FX466" s="1821"/>
      <c r="FY466" s="1819">
        <f t="shared" si="98"/>
        <v>0</v>
      </c>
      <c r="FZ466" s="1820"/>
      <c r="GA466" s="1820"/>
      <c r="GB466" s="1821"/>
      <c r="GC466" s="1825">
        <f t="shared" si="117"/>
        <v>0</v>
      </c>
      <c r="GD466" s="1826"/>
      <c r="GE466" s="1826"/>
      <c r="GF466" s="1827"/>
      <c r="GH466" s="1750">
        <f t="shared" si="99"/>
        <v>0</v>
      </c>
      <c r="GI466" s="1751"/>
      <c r="GJ466" s="1751"/>
      <c r="GK466" s="1752"/>
      <c r="GL466" s="1750">
        <f t="shared" si="100"/>
        <v>0</v>
      </c>
      <c r="GM466" s="1751"/>
      <c r="GN466" s="1751"/>
      <c r="GO466" s="1752"/>
      <c r="GP466" s="385"/>
      <c r="GQ466" s="1750">
        <f t="shared" si="101"/>
        <v>0</v>
      </c>
      <c r="GR466" s="1751"/>
      <c r="GS466" s="1751"/>
      <c r="GT466" s="1752"/>
      <c r="GU466" s="192">
        <f t="shared" si="105"/>
        <v>1</v>
      </c>
      <c r="GV466" s="192">
        <f>SUM($GU$337:GU466)</f>
        <v>122</v>
      </c>
      <c r="GW466" s="318"/>
      <c r="HF466" s="380">
        <f t="shared" si="140"/>
        <v>0</v>
      </c>
      <c r="HX466" s="380"/>
    </row>
    <row r="467" spans="4:232">
      <c r="D467" s="605">
        <v>3</v>
      </c>
      <c r="E467" s="423"/>
      <c r="F467" s="421" t="s">
        <v>239</v>
      </c>
      <c r="G467" s="422"/>
      <c r="H467" s="422"/>
      <c r="I467" s="422"/>
      <c r="J467" s="422"/>
      <c r="K467" s="423"/>
      <c r="L467" s="422"/>
      <c r="M467" s="424"/>
      <c r="N467" s="521">
        <v>6</v>
      </c>
      <c r="O467" s="521">
        <v>9</v>
      </c>
      <c r="P467" s="521">
        <v>12</v>
      </c>
      <c r="Q467" s="521">
        <v>15</v>
      </c>
      <c r="BD467" s="387">
        <f t="shared" si="141"/>
        <v>10</v>
      </c>
      <c r="BE467" s="382">
        <f>IF(BD467&gt;0,130,0)</f>
        <v>130</v>
      </c>
      <c r="BG467" s="383">
        <f>IF($BE467&gt;$R$66-3+($BR$335*12),130,0)</f>
        <v>130</v>
      </c>
      <c r="BH467" s="1754">
        <f t="shared" si="142"/>
        <v>0</v>
      </c>
      <c r="BI467" s="1754"/>
      <c r="BJ467" s="1754"/>
      <c r="BK467" s="1754"/>
      <c r="BL467" s="1754">
        <f t="shared" ref="BL467:BL530" si="155">IF(BH467&lt;=BL466,BH467,IF(BG467&gt;0,IF($BG$334="R",$BR$332/(($BR$333-$X$92)*12),$BR$334/12-BO467),0))</f>
        <v>0</v>
      </c>
      <c r="BM467" s="1754"/>
      <c r="BN467" s="1754"/>
      <c r="BO467" s="1754">
        <f t="shared" si="146"/>
        <v>0</v>
      </c>
      <c r="BP467" s="1754"/>
      <c r="BQ467" s="1754"/>
      <c r="BR467" s="1754">
        <f t="shared" si="143"/>
        <v>0</v>
      </c>
      <c r="BS467" s="1754"/>
      <c r="BT467" s="1754"/>
      <c r="BU467" s="1754"/>
      <c r="BW467" s="383">
        <f>IF($BE467&gt;$R$66-3+($CH$335*12),130,0)</f>
        <v>130</v>
      </c>
      <c r="BX467" s="1754">
        <f t="shared" si="137"/>
        <v>0</v>
      </c>
      <c r="BY467" s="1754"/>
      <c r="BZ467" s="1754"/>
      <c r="CA467" s="1754"/>
      <c r="CB467" s="1754">
        <f t="shared" ref="CB467:CB530" si="156">IF(BX467&lt;=CB466,BX467,IF(BW467&gt;0,IF($BW$334="R",$CH$332/(($CH$333-$X$94)*12),$CH$334/12-CE467),0))</f>
        <v>0</v>
      </c>
      <c r="CC467" s="1754"/>
      <c r="CD467" s="1754"/>
      <c r="CE467" s="1754">
        <f t="shared" si="147"/>
        <v>0</v>
      </c>
      <c r="CF467" s="1754"/>
      <c r="CG467" s="1754"/>
      <c r="CH467" s="1754">
        <f t="shared" si="148"/>
        <v>0</v>
      </c>
      <c r="CI467" s="1754"/>
      <c r="CJ467" s="1754"/>
      <c r="CK467" s="1754"/>
      <c r="CM467" s="383">
        <f>IF($BE467&gt;$R$66-3+($CX$335*12),130,0)</f>
        <v>130</v>
      </c>
      <c r="CN467" s="1754">
        <f t="shared" si="138"/>
        <v>0</v>
      </c>
      <c r="CO467" s="1754"/>
      <c r="CP467" s="1754"/>
      <c r="CQ467" s="1754"/>
      <c r="CR467" s="1754">
        <f t="shared" ref="CR467:CR530" si="157">IF(CN467&lt;=CR466,CN467,IF(CM467&gt;0,IF($CM$334="R",$CX$332/(($CX$333-$X$96)*12),$CX$334/12-CU467),0))</f>
        <v>0</v>
      </c>
      <c r="CS467" s="1754"/>
      <c r="CT467" s="1754"/>
      <c r="CU467" s="1754">
        <f t="shared" si="149"/>
        <v>0</v>
      </c>
      <c r="CV467" s="1754"/>
      <c r="CW467" s="1754"/>
      <c r="CX467" s="1754">
        <f t="shared" si="150"/>
        <v>0</v>
      </c>
      <c r="CY467" s="1754"/>
      <c r="CZ467" s="1754"/>
      <c r="DA467" s="1754"/>
      <c r="DC467" s="383">
        <f>IF($BE467&gt;$R$66-3,130,0)</f>
        <v>130</v>
      </c>
      <c r="DD467" s="1754">
        <f t="shared" si="139"/>
        <v>0</v>
      </c>
      <c r="DE467" s="1754"/>
      <c r="DF467" s="1754"/>
      <c r="DG467" s="1754"/>
      <c r="DH467" s="1754">
        <f t="shared" ref="DH467:DH530" si="158">IF($BE467&gt;0,DD467*$DE$335/(100*12),0)</f>
        <v>0</v>
      </c>
      <c r="DI467" s="1754"/>
      <c r="DJ467" s="1754"/>
      <c r="DK467" s="1754">
        <f t="shared" si="151"/>
        <v>0</v>
      </c>
      <c r="DL467" s="1754"/>
      <c r="DM467" s="1754"/>
      <c r="DN467" s="1754"/>
      <c r="DP467" s="383">
        <f t="shared" ref="DP467:DP530" si="159">DC467</f>
        <v>130</v>
      </c>
      <c r="DQ467" s="1754">
        <f t="shared" ref="DQ467:DQ517" si="160">IF(DD467=0,0,IF(EA466&lt;=0,0,EA466))</f>
        <v>0</v>
      </c>
      <c r="DR467" s="1754"/>
      <c r="DS467" s="1754"/>
      <c r="DT467" s="1754"/>
      <c r="DU467" s="1754">
        <f t="shared" si="106"/>
        <v>0</v>
      </c>
      <c r="DV467" s="1754"/>
      <c r="DW467" s="1754"/>
      <c r="DX467" s="1754">
        <f t="shared" si="114"/>
        <v>0</v>
      </c>
      <c r="DY467" s="1754"/>
      <c r="DZ467" s="1754"/>
      <c r="EA467" s="1754">
        <f t="shared" si="115"/>
        <v>0</v>
      </c>
      <c r="EB467" s="1754"/>
      <c r="EC467" s="1754"/>
      <c r="ED467" s="1754"/>
      <c r="EE467" s="384"/>
      <c r="EF467" s="1750">
        <f t="shared" si="152"/>
        <v>0</v>
      </c>
      <c r="EG467" s="1751"/>
      <c r="EH467" s="1751"/>
      <c r="EI467" s="1751"/>
      <c r="EJ467" s="1752"/>
      <c r="EL467" s="1750">
        <f t="shared" si="116"/>
        <v>0</v>
      </c>
      <c r="EM467" s="1751"/>
      <c r="EN467" s="1751"/>
      <c r="EO467" s="1751"/>
      <c r="EP467" s="1752"/>
      <c r="ER467" s="1750">
        <f t="shared" si="153"/>
        <v>0</v>
      </c>
      <c r="ES467" s="1751"/>
      <c r="ET467" s="1751"/>
      <c r="EU467" s="1751"/>
      <c r="EV467" s="1752"/>
      <c r="EX467" s="1750">
        <f>IF(BE467&gt;0,Einstrahlung!$K$28*Kalkulation!$P$62/100*$AY$29*POWER((100-$P$64)/100,BD467-1),0)</f>
        <v>0</v>
      </c>
      <c r="EY467" s="1751"/>
      <c r="EZ467" s="1751"/>
      <c r="FA467" s="1751"/>
      <c r="FB467" s="1752"/>
      <c r="FD467" s="1750">
        <f t="shared" ref="FD467:FD530" si="161">((FJ467*$BS$147/100*$AZ$151)+(FJ467*$BS$149/100*$AZ$153)+(FJ467*$BS$151/100*$AZ$155)+(FJ467*$BS$153/100*$AZ$157)+(FJ467*$BS$155/100*$AZ$159))</f>
        <v>0</v>
      </c>
      <c r="FE467" s="1751"/>
      <c r="FF467" s="1751"/>
      <c r="FG467" s="1751"/>
      <c r="FH467" s="1752"/>
      <c r="FI467" s="385"/>
      <c r="FJ467" s="380">
        <f t="shared" si="104"/>
        <v>0</v>
      </c>
      <c r="FK467" s="385"/>
      <c r="FL467" s="380">
        <f t="shared" si="144"/>
        <v>0</v>
      </c>
      <c r="FM467" s="385"/>
      <c r="FN467" s="380">
        <f t="shared" ref="FN467:FN530" si="162">FL467*$FN$336</f>
        <v>0</v>
      </c>
      <c r="FO467" s="962">
        <f t="shared" si="102"/>
        <v>259</v>
      </c>
      <c r="FP467" s="956">
        <f t="shared" si="154"/>
        <v>0.4</v>
      </c>
      <c r="FQ467" s="380">
        <f t="shared" si="111"/>
        <v>0</v>
      </c>
      <c r="FR467" s="626">
        <f t="shared" si="145"/>
        <v>1</v>
      </c>
      <c r="FT467" s="1819">
        <f t="shared" si="103"/>
        <v>0</v>
      </c>
      <c r="FU467" s="1820"/>
      <c r="FV467" s="1820"/>
      <c r="FW467" s="1820"/>
      <c r="FX467" s="1821"/>
      <c r="FY467" s="1819">
        <f t="shared" ref="FY467:FY530" si="163">IF(BE467=0,0,IF((FT466+FT467)/2&lt;0,(FT467+FT466)/2*$AD$239/12/100,(FT467+FT466)/2*$AD$238/12/100))</f>
        <v>0</v>
      </c>
      <c r="FZ467" s="1820"/>
      <c r="GA467" s="1820"/>
      <c r="GB467" s="1821"/>
      <c r="GC467" s="1825">
        <f t="shared" si="117"/>
        <v>0</v>
      </c>
      <c r="GD467" s="1826"/>
      <c r="GE467" s="1826"/>
      <c r="GF467" s="1827"/>
      <c r="GH467" s="1750">
        <f t="shared" ref="GH467:GH530" si="164">BL467+CB467+CR467+DU467</f>
        <v>0</v>
      </c>
      <c r="GI467" s="1751"/>
      <c r="GJ467" s="1751"/>
      <c r="GK467" s="1752"/>
      <c r="GL467" s="1750">
        <f t="shared" ref="GL467:GL530" si="165">BO467+CE467+CU467+DH467</f>
        <v>0</v>
      </c>
      <c r="GM467" s="1751"/>
      <c r="GN467" s="1751"/>
      <c r="GO467" s="1752"/>
      <c r="GP467" s="385"/>
      <c r="GQ467" s="1750">
        <f t="shared" ref="GQ467:GQ530" si="166">FD467+FQ467+EF467+EL467+ER467+IF(FY467&gt;0,0,FY467)</f>
        <v>0</v>
      </c>
      <c r="GR467" s="1751"/>
      <c r="GS467" s="1751"/>
      <c r="GT467" s="1752"/>
      <c r="GU467" s="192">
        <f t="shared" si="105"/>
        <v>1</v>
      </c>
      <c r="GV467" s="192">
        <f>SUM($GU$337:GU467)</f>
        <v>123</v>
      </c>
      <c r="GW467" s="318"/>
      <c r="HF467" s="380">
        <f t="shared" si="140"/>
        <v>0</v>
      </c>
      <c r="HX467" s="380"/>
    </row>
    <row r="468" spans="4:232">
      <c r="D468" s="605">
        <v>2</v>
      </c>
      <c r="E468" s="423"/>
      <c r="F468" s="421" t="s">
        <v>64</v>
      </c>
      <c r="G468" s="422"/>
      <c r="H468" s="422"/>
      <c r="I468" s="422"/>
      <c r="J468" s="422"/>
      <c r="K468" s="423"/>
      <c r="L468" s="422"/>
      <c r="M468" s="424"/>
      <c r="N468" s="521">
        <v>21</v>
      </c>
      <c r="O468" s="521">
        <v>21</v>
      </c>
      <c r="P468" s="521">
        <v>21</v>
      </c>
      <c r="Q468" s="521">
        <v>21</v>
      </c>
      <c r="BD468" s="387">
        <f t="shared" si="141"/>
        <v>10</v>
      </c>
      <c r="BE468" s="382">
        <f>IF(BD468&gt;0,131,0)</f>
        <v>131</v>
      </c>
      <c r="BG468" s="383">
        <f>IF($BE468&gt;$R$66-3+($BR$335*12),131,0)</f>
        <v>131</v>
      </c>
      <c r="BH468" s="1754">
        <f t="shared" si="142"/>
        <v>0</v>
      </c>
      <c r="BI468" s="1754"/>
      <c r="BJ468" s="1754"/>
      <c r="BK468" s="1754"/>
      <c r="BL468" s="1754">
        <f t="shared" si="155"/>
        <v>0</v>
      </c>
      <c r="BM468" s="1754"/>
      <c r="BN468" s="1754"/>
      <c r="BO468" s="1754">
        <f t="shared" si="146"/>
        <v>0</v>
      </c>
      <c r="BP468" s="1754"/>
      <c r="BQ468" s="1754"/>
      <c r="BR468" s="1754">
        <f t="shared" si="143"/>
        <v>0</v>
      </c>
      <c r="BS468" s="1754"/>
      <c r="BT468" s="1754"/>
      <c r="BU468" s="1754"/>
      <c r="BW468" s="383">
        <f>IF($BE468&gt;$R$66-3+($CH$335*12),131,0)</f>
        <v>131</v>
      </c>
      <c r="BX468" s="1754">
        <f t="shared" si="137"/>
        <v>0</v>
      </c>
      <c r="BY468" s="1754"/>
      <c r="BZ468" s="1754"/>
      <c r="CA468" s="1754"/>
      <c r="CB468" s="1754">
        <f t="shared" si="156"/>
        <v>0</v>
      </c>
      <c r="CC468" s="1754"/>
      <c r="CD468" s="1754"/>
      <c r="CE468" s="1754">
        <f t="shared" si="147"/>
        <v>0</v>
      </c>
      <c r="CF468" s="1754"/>
      <c r="CG468" s="1754"/>
      <c r="CH468" s="1754">
        <f t="shared" si="148"/>
        <v>0</v>
      </c>
      <c r="CI468" s="1754"/>
      <c r="CJ468" s="1754"/>
      <c r="CK468" s="1754"/>
      <c r="CM468" s="383">
        <f>IF($BE468&gt;$R$66-3+($CX$335*12),131,0)</f>
        <v>131</v>
      </c>
      <c r="CN468" s="1754">
        <f t="shared" si="138"/>
        <v>0</v>
      </c>
      <c r="CO468" s="1754"/>
      <c r="CP468" s="1754"/>
      <c r="CQ468" s="1754"/>
      <c r="CR468" s="1754">
        <f t="shared" si="157"/>
        <v>0</v>
      </c>
      <c r="CS468" s="1754"/>
      <c r="CT468" s="1754"/>
      <c r="CU468" s="1754">
        <f t="shared" si="149"/>
        <v>0</v>
      </c>
      <c r="CV468" s="1754"/>
      <c r="CW468" s="1754"/>
      <c r="CX468" s="1754">
        <f t="shared" si="150"/>
        <v>0</v>
      </c>
      <c r="CY468" s="1754"/>
      <c r="CZ468" s="1754"/>
      <c r="DA468" s="1754"/>
      <c r="DC468" s="383">
        <f>IF($BE468&gt;$R$66-3,131,0)</f>
        <v>131</v>
      </c>
      <c r="DD468" s="1754">
        <f t="shared" si="139"/>
        <v>0</v>
      </c>
      <c r="DE468" s="1754"/>
      <c r="DF468" s="1754"/>
      <c r="DG468" s="1754"/>
      <c r="DH468" s="1754">
        <f t="shared" si="158"/>
        <v>0</v>
      </c>
      <c r="DI468" s="1754"/>
      <c r="DJ468" s="1754"/>
      <c r="DK468" s="1754">
        <f t="shared" si="151"/>
        <v>0</v>
      </c>
      <c r="DL468" s="1754"/>
      <c r="DM468" s="1754"/>
      <c r="DN468" s="1754"/>
      <c r="DP468" s="383">
        <f t="shared" si="159"/>
        <v>131</v>
      </c>
      <c r="DQ468" s="1754">
        <f t="shared" si="160"/>
        <v>0</v>
      </c>
      <c r="DR468" s="1754"/>
      <c r="DS468" s="1754"/>
      <c r="DT468" s="1754"/>
      <c r="DU468" s="1754">
        <f t="shared" si="106"/>
        <v>0</v>
      </c>
      <c r="DV468" s="1754"/>
      <c r="DW468" s="1754"/>
      <c r="DX468" s="1754">
        <f t="shared" si="114"/>
        <v>0</v>
      </c>
      <c r="DY468" s="1754"/>
      <c r="DZ468" s="1754"/>
      <c r="EA468" s="1754">
        <f t="shared" si="115"/>
        <v>0</v>
      </c>
      <c r="EB468" s="1754"/>
      <c r="EC468" s="1754"/>
      <c r="ED468" s="1754"/>
      <c r="EE468" s="384"/>
      <c r="EF468" s="1750">
        <f t="shared" si="152"/>
        <v>0</v>
      </c>
      <c r="EG468" s="1751"/>
      <c r="EH468" s="1751"/>
      <c r="EI468" s="1751"/>
      <c r="EJ468" s="1752"/>
      <c r="EL468" s="1750">
        <f t="shared" si="116"/>
        <v>0</v>
      </c>
      <c r="EM468" s="1751"/>
      <c r="EN468" s="1751"/>
      <c r="EO468" s="1751"/>
      <c r="EP468" s="1752"/>
      <c r="ER468" s="1750">
        <f t="shared" si="153"/>
        <v>0</v>
      </c>
      <c r="ES468" s="1751"/>
      <c r="ET468" s="1751"/>
      <c r="EU468" s="1751"/>
      <c r="EV468" s="1752"/>
      <c r="EX468" s="1750">
        <f>IF(BE468&gt;0,Einstrahlung!$K$30*Kalkulation!$P$62/100*$AY$29*POWER((100-$P$64)/100,BD468-1),0)</f>
        <v>0</v>
      </c>
      <c r="EY468" s="1751"/>
      <c r="EZ468" s="1751"/>
      <c r="FA468" s="1751"/>
      <c r="FB468" s="1752"/>
      <c r="FD468" s="1750">
        <f t="shared" si="161"/>
        <v>0</v>
      </c>
      <c r="FE468" s="1751"/>
      <c r="FF468" s="1751"/>
      <c r="FG468" s="1751"/>
      <c r="FH468" s="1752"/>
      <c r="FI468" s="385"/>
      <c r="FJ468" s="380">
        <f t="shared" si="104"/>
        <v>0</v>
      </c>
      <c r="FK468" s="385"/>
      <c r="FL468" s="380">
        <f t="shared" si="144"/>
        <v>0</v>
      </c>
      <c r="FM468" s="385"/>
      <c r="FN468" s="380">
        <f t="shared" si="162"/>
        <v>0</v>
      </c>
      <c r="FO468" s="962">
        <f t="shared" ref="FO468:FO531" si="167">FO467+1</f>
        <v>260</v>
      </c>
      <c r="FP468" s="956">
        <f t="shared" si="154"/>
        <v>0.4</v>
      </c>
      <c r="FQ468" s="380">
        <f t="shared" si="111"/>
        <v>0</v>
      </c>
      <c r="FR468" s="626">
        <f t="shared" si="145"/>
        <v>1</v>
      </c>
      <c r="FT468" s="1819">
        <f t="shared" ref="FT468:FT531" si="168">GC467+(FD468+FQ468)-(GH468+GL468)+(EF468+EL468+ER468)</f>
        <v>0</v>
      </c>
      <c r="FU468" s="1820"/>
      <c r="FV468" s="1820"/>
      <c r="FW468" s="1820"/>
      <c r="FX468" s="1821"/>
      <c r="FY468" s="1819">
        <f t="shared" si="163"/>
        <v>0</v>
      </c>
      <c r="FZ468" s="1820"/>
      <c r="GA468" s="1820"/>
      <c r="GB468" s="1821"/>
      <c r="GC468" s="1825">
        <f t="shared" si="117"/>
        <v>0</v>
      </c>
      <c r="GD468" s="1826"/>
      <c r="GE468" s="1826"/>
      <c r="GF468" s="1827"/>
      <c r="GH468" s="1750">
        <f t="shared" si="164"/>
        <v>0</v>
      </c>
      <c r="GI468" s="1751"/>
      <c r="GJ468" s="1751"/>
      <c r="GK468" s="1752"/>
      <c r="GL468" s="1750">
        <f t="shared" si="165"/>
        <v>0</v>
      </c>
      <c r="GM468" s="1751"/>
      <c r="GN468" s="1751"/>
      <c r="GO468" s="1752"/>
      <c r="GP468" s="385"/>
      <c r="GQ468" s="1750">
        <f t="shared" si="166"/>
        <v>0</v>
      </c>
      <c r="GR468" s="1751"/>
      <c r="GS468" s="1751"/>
      <c r="GT468" s="1752"/>
      <c r="GU468" s="192">
        <f t="shared" si="105"/>
        <v>1</v>
      </c>
      <c r="GV468" s="192">
        <f>SUM($GU$337:GU468)</f>
        <v>124</v>
      </c>
      <c r="GW468" s="318"/>
      <c r="HF468" s="380">
        <f t="shared" si="140"/>
        <v>0</v>
      </c>
      <c r="HX468" s="380"/>
    </row>
    <row r="469" spans="4:232" ht="13.5" thickBot="1">
      <c r="D469" s="605">
        <v>1</v>
      </c>
      <c r="E469" s="423"/>
      <c r="F469" s="421" t="s">
        <v>240</v>
      </c>
      <c r="G469" s="422"/>
      <c r="H469" s="422"/>
      <c r="I469" s="422"/>
      <c r="J469" s="422"/>
      <c r="K469" s="423"/>
      <c r="L469" s="422"/>
      <c r="M469" s="424"/>
      <c r="N469" s="521">
        <v>24</v>
      </c>
      <c r="O469" s="521">
        <v>24</v>
      </c>
      <c r="P469" s="521">
        <v>24</v>
      </c>
      <c r="Q469" s="521">
        <v>24</v>
      </c>
      <c r="BD469" s="389">
        <f t="shared" si="141"/>
        <v>10</v>
      </c>
      <c r="BE469" s="390">
        <f>IF(BD469&gt;0,132,0)</f>
        <v>132</v>
      </c>
      <c r="BG469" s="391">
        <f>IF($BE469&gt;$R$66-3+($BR$335*12),132,0)</f>
        <v>132</v>
      </c>
      <c r="BH469" s="1753">
        <f t="shared" si="142"/>
        <v>0</v>
      </c>
      <c r="BI469" s="1753"/>
      <c r="BJ469" s="1753"/>
      <c r="BK469" s="1753"/>
      <c r="BL469" s="1753">
        <f t="shared" si="155"/>
        <v>0</v>
      </c>
      <c r="BM469" s="1753"/>
      <c r="BN469" s="1753"/>
      <c r="BO469" s="1753">
        <f t="shared" si="146"/>
        <v>0</v>
      </c>
      <c r="BP469" s="1753"/>
      <c r="BQ469" s="1753"/>
      <c r="BR469" s="1753">
        <f t="shared" si="143"/>
        <v>0</v>
      </c>
      <c r="BS469" s="1753"/>
      <c r="BT469" s="1753"/>
      <c r="BU469" s="1753"/>
      <c r="BW469" s="391">
        <f>IF($BE469&gt;$R$66-3+($CH$335*12),132,0)</f>
        <v>132</v>
      </c>
      <c r="BX469" s="1753">
        <f t="shared" si="137"/>
        <v>0</v>
      </c>
      <c r="BY469" s="1753"/>
      <c r="BZ469" s="1753"/>
      <c r="CA469" s="1753"/>
      <c r="CB469" s="1753">
        <f t="shared" si="156"/>
        <v>0</v>
      </c>
      <c r="CC469" s="1753"/>
      <c r="CD469" s="1753"/>
      <c r="CE469" s="1753">
        <f t="shared" si="147"/>
        <v>0</v>
      </c>
      <c r="CF469" s="1753"/>
      <c r="CG469" s="1753"/>
      <c r="CH469" s="1753">
        <f t="shared" si="148"/>
        <v>0</v>
      </c>
      <c r="CI469" s="1753"/>
      <c r="CJ469" s="1753"/>
      <c r="CK469" s="1753"/>
      <c r="CM469" s="391">
        <f>IF($BE469&gt;$R$66-3+($CX$335*12),132,0)</f>
        <v>132</v>
      </c>
      <c r="CN469" s="1753">
        <f t="shared" si="138"/>
        <v>0</v>
      </c>
      <c r="CO469" s="1753"/>
      <c r="CP469" s="1753"/>
      <c r="CQ469" s="1753"/>
      <c r="CR469" s="1753">
        <f t="shared" si="157"/>
        <v>0</v>
      </c>
      <c r="CS469" s="1753"/>
      <c r="CT469" s="1753"/>
      <c r="CU469" s="1753">
        <f t="shared" si="149"/>
        <v>0</v>
      </c>
      <c r="CV469" s="1753"/>
      <c r="CW469" s="1753"/>
      <c r="CX469" s="1753">
        <f t="shared" si="150"/>
        <v>0</v>
      </c>
      <c r="CY469" s="1753"/>
      <c r="CZ469" s="1753"/>
      <c r="DA469" s="1753"/>
      <c r="DC469" s="391">
        <f>IF($BE469&gt;$R$66-3,132,0)</f>
        <v>132</v>
      </c>
      <c r="DD469" s="1753">
        <f t="shared" si="139"/>
        <v>0</v>
      </c>
      <c r="DE469" s="1753"/>
      <c r="DF469" s="1753"/>
      <c r="DG469" s="1753"/>
      <c r="DH469" s="1753">
        <f t="shared" si="158"/>
        <v>0</v>
      </c>
      <c r="DI469" s="1753"/>
      <c r="DJ469" s="1753"/>
      <c r="DK469" s="1753">
        <f t="shared" si="151"/>
        <v>0</v>
      </c>
      <c r="DL469" s="1753"/>
      <c r="DM469" s="1753"/>
      <c r="DN469" s="1753"/>
      <c r="DP469" s="391">
        <f t="shared" si="159"/>
        <v>132</v>
      </c>
      <c r="DQ469" s="1753">
        <f t="shared" si="160"/>
        <v>0</v>
      </c>
      <c r="DR469" s="1753"/>
      <c r="DS469" s="1753"/>
      <c r="DT469" s="1753"/>
      <c r="DU469" s="1753">
        <f t="shared" si="106"/>
        <v>0</v>
      </c>
      <c r="DV469" s="1753"/>
      <c r="DW469" s="1753"/>
      <c r="DX469" s="1753">
        <f t="shared" si="114"/>
        <v>0</v>
      </c>
      <c r="DY469" s="1753"/>
      <c r="DZ469" s="1753"/>
      <c r="EA469" s="1753">
        <f t="shared" si="115"/>
        <v>0</v>
      </c>
      <c r="EB469" s="1753"/>
      <c r="EC469" s="1753"/>
      <c r="ED469" s="1753"/>
      <c r="EE469" s="384"/>
      <c r="EF469" s="1744">
        <f t="shared" si="152"/>
        <v>0</v>
      </c>
      <c r="EG469" s="1745"/>
      <c r="EH469" s="1745"/>
      <c r="EI469" s="1745"/>
      <c r="EJ469" s="1746"/>
      <c r="EL469" s="1744">
        <f t="shared" si="116"/>
        <v>0</v>
      </c>
      <c r="EM469" s="1745"/>
      <c r="EN469" s="1745"/>
      <c r="EO469" s="1745"/>
      <c r="EP469" s="1746"/>
      <c r="ER469" s="1744">
        <f t="shared" si="153"/>
        <v>0</v>
      </c>
      <c r="ES469" s="1745"/>
      <c r="ET469" s="1745"/>
      <c r="EU469" s="1745"/>
      <c r="EV469" s="1746"/>
      <c r="EX469" s="1744">
        <f>IF(BE469&gt;0,Einstrahlung!$K$32*Kalkulation!$P$62/100*$AY$29*POWER((100-$P$64)/100,BD469-1),0)</f>
        <v>0</v>
      </c>
      <c r="EY469" s="1745"/>
      <c r="EZ469" s="1745"/>
      <c r="FA469" s="1745"/>
      <c r="FB469" s="1746"/>
      <c r="FD469" s="1744">
        <f t="shared" si="161"/>
        <v>0</v>
      </c>
      <c r="FE469" s="1745"/>
      <c r="FF469" s="1745"/>
      <c r="FG469" s="1745"/>
      <c r="FH469" s="1746"/>
      <c r="FI469" s="385"/>
      <c r="FJ469" s="453">
        <f t="shared" si="104"/>
        <v>0</v>
      </c>
      <c r="FK469" s="385"/>
      <c r="FL469" s="453">
        <f t="shared" si="144"/>
        <v>0</v>
      </c>
      <c r="FM469" s="385"/>
      <c r="FN469" s="453">
        <f t="shared" si="162"/>
        <v>0</v>
      </c>
      <c r="FO469" s="962">
        <f t="shared" si="167"/>
        <v>261</v>
      </c>
      <c r="FP469" s="956">
        <f t="shared" si="154"/>
        <v>0.4</v>
      </c>
      <c r="FQ469" s="453">
        <f t="shared" si="111"/>
        <v>0</v>
      </c>
      <c r="FR469" s="957">
        <f>POWER(1+$FQ$333,FS469)</f>
        <v>1</v>
      </c>
      <c r="FS469" s="617">
        <f>FS457+1</f>
        <v>10</v>
      </c>
      <c r="FT469" s="1822">
        <f t="shared" si="168"/>
        <v>0</v>
      </c>
      <c r="FU469" s="1823"/>
      <c r="FV469" s="1823"/>
      <c r="FW469" s="1823"/>
      <c r="FX469" s="1824"/>
      <c r="FY469" s="1822">
        <f t="shared" si="163"/>
        <v>0</v>
      </c>
      <c r="FZ469" s="1823"/>
      <c r="GA469" s="1823"/>
      <c r="GB469" s="1824"/>
      <c r="GC469" s="1831">
        <f t="shared" si="117"/>
        <v>0</v>
      </c>
      <c r="GD469" s="1832"/>
      <c r="GE469" s="1832"/>
      <c r="GF469" s="1833"/>
      <c r="GH469" s="1744">
        <f t="shared" si="164"/>
        <v>0</v>
      </c>
      <c r="GI469" s="1745"/>
      <c r="GJ469" s="1745"/>
      <c r="GK469" s="1746"/>
      <c r="GL469" s="1744">
        <f t="shared" si="165"/>
        <v>0</v>
      </c>
      <c r="GM469" s="1745"/>
      <c r="GN469" s="1745"/>
      <c r="GO469" s="1746"/>
      <c r="GP469" s="385"/>
      <c r="GQ469" s="1744">
        <f t="shared" si="166"/>
        <v>0</v>
      </c>
      <c r="GR469" s="1745"/>
      <c r="GS469" s="1745"/>
      <c r="GT469" s="1746"/>
      <c r="GU469" s="192">
        <f t="shared" si="105"/>
        <v>1</v>
      </c>
      <c r="GV469" s="192">
        <f>SUM($GU$337:GU469)</f>
        <v>125</v>
      </c>
      <c r="GW469" s="318"/>
      <c r="HG469" s="380">
        <f t="shared" ref="HG469:HG480" si="169">IF(GV469=132,SUM(GQ458:GT469),0)</f>
        <v>0</v>
      </c>
      <c r="HX469" s="380"/>
    </row>
    <row r="470" spans="4:232">
      <c r="D470" s="605">
        <v>4</v>
      </c>
      <c r="E470" s="423"/>
      <c r="F470" s="1138" t="s">
        <v>1171</v>
      </c>
      <c r="G470" s="422"/>
      <c r="H470" s="422"/>
      <c r="I470" s="422"/>
      <c r="J470" s="422"/>
      <c r="K470" s="423"/>
      <c r="L470" s="422"/>
      <c r="M470" s="424"/>
      <c r="N470" s="521">
        <v>21</v>
      </c>
      <c r="O470" s="521">
        <v>21</v>
      </c>
      <c r="P470" s="521">
        <v>21</v>
      </c>
      <c r="Q470" s="521">
        <v>21</v>
      </c>
      <c r="BD470" s="381">
        <f t="shared" ref="BD470:BD481" si="170">IF(BH470&lt;0,0,IF($V$21&gt;0,11,0))</f>
        <v>11</v>
      </c>
      <c r="BE470" s="382">
        <f>IF(BD470&gt;0,133,0)</f>
        <v>133</v>
      </c>
      <c r="BG470" s="395">
        <f>IF($BE470&gt;$R$66-3+($BR$335*12),133,0)</f>
        <v>133</v>
      </c>
      <c r="BH470" s="1754">
        <f t="shared" ref="BH470:BH481" si="171">IF(BR469&lt;=0,0,BR469)</f>
        <v>0</v>
      </c>
      <c r="BI470" s="1754"/>
      <c r="BJ470" s="1754"/>
      <c r="BK470" s="1754"/>
      <c r="BL470" s="1754">
        <f t="shared" si="155"/>
        <v>0</v>
      </c>
      <c r="BM470" s="1754"/>
      <c r="BN470" s="1754"/>
      <c r="BO470" s="1754">
        <f t="shared" si="146"/>
        <v>0</v>
      </c>
      <c r="BP470" s="1754"/>
      <c r="BQ470" s="1754"/>
      <c r="BR470" s="1754">
        <f t="shared" ref="BR470:BR481" si="172">BH470-BL470</f>
        <v>0</v>
      </c>
      <c r="BS470" s="1754"/>
      <c r="BT470" s="1754"/>
      <c r="BU470" s="1754"/>
      <c r="BW470" s="395">
        <f>IF($BE470&gt;$R$66-3+($CH$335*12),133,0)</f>
        <v>133</v>
      </c>
      <c r="BX470" s="1754">
        <f t="shared" si="137"/>
        <v>0</v>
      </c>
      <c r="BY470" s="1754"/>
      <c r="BZ470" s="1754"/>
      <c r="CA470" s="1754"/>
      <c r="CB470" s="1754">
        <f t="shared" si="156"/>
        <v>0</v>
      </c>
      <c r="CC470" s="1754"/>
      <c r="CD470" s="1754"/>
      <c r="CE470" s="1754">
        <f t="shared" si="147"/>
        <v>0</v>
      </c>
      <c r="CF470" s="1754"/>
      <c r="CG470" s="1754"/>
      <c r="CH470" s="1754">
        <f t="shared" si="148"/>
        <v>0</v>
      </c>
      <c r="CI470" s="1754"/>
      <c r="CJ470" s="1754"/>
      <c r="CK470" s="1754"/>
      <c r="CM470" s="395">
        <f>IF($BE470&gt;$R$66-3+($CX$335*12),133,0)</f>
        <v>133</v>
      </c>
      <c r="CN470" s="1754">
        <f t="shared" si="138"/>
        <v>0</v>
      </c>
      <c r="CO470" s="1754"/>
      <c r="CP470" s="1754"/>
      <c r="CQ470" s="1754"/>
      <c r="CR470" s="1754">
        <f t="shared" si="157"/>
        <v>0</v>
      </c>
      <c r="CS470" s="1754"/>
      <c r="CT470" s="1754"/>
      <c r="CU470" s="1754">
        <f t="shared" si="149"/>
        <v>0</v>
      </c>
      <c r="CV470" s="1754"/>
      <c r="CW470" s="1754"/>
      <c r="CX470" s="1754">
        <f t="shared" si="150"/>
        <v>0</v>
      </c>
      <c r="CY470" s="1754"/>
      <c r="CZ470" s="1754"/>
      <c r="DA470" s="1754"/>
      <c r="DC470" s="395">
        <f>IF($BE470&gt;$R$66-3,133,0)</f>
        <v>133</v>
      </c>
      <c r="DD470" s="1754">
        <f t="shared" si="139"/>
        <v>0</v>
      </c>
      <c r="DE470" s="1754"/>
      <c r="DF470" s="1754"/>
      <c r="DG470" s="1754"/>
      <c r="DH470" s="1754">
        <f t="shared" si="158"/>
        <v>0</v>
      </c>
      <c r="DI470" s="1754"/>
      <c r="DJ470" s="1754"/>
      <c r="DK470" s="1754">
        <f t="shared" si="151"/>
        <v>0</v>
      </c>
      <c r="DL470" s="1754"/>
      <c r="DM470" s="1754"/>
      <c r="DN470" s="1754"/>
      <c r="DP470" s="395">
        <f t="shared" si="159"/>
        <v>133</v>
      </c>
      <c r="DQ470" s="1754">
        <f t="shared" si="160"/>
        <v>0</v>
      </c>
      <c r="DR470" s="1754"/>
      <c r="DS470" s="1754"/>
      <c r="DT470" s="1754"/>
      <c r="DU470" s="1754">
        <f t="shared" si="106"/>
        <v>0</v>
      </c>
      <c r="DV470" s="1754"/>
      <c r="DW470" s="1754"/>
      <c r="DX470" s="1754">
        <f t="shared" si="114"/>
        <v>0</v>
      </c>
      <c r="DY470" s="1754"/>
      <c r="DZ470" s="1754"/>
      <c r="EA470" s="1754">
        <f t="shared" si="115"/>
        <v>0</v>
      </c>
      <c r="EB470" s="1754"/>
      <c r="EC470" s="1754"/>
      <c r="ED470" s="1754"/>
      <c r="EE470" s="384"/>
      <c r="EF470" s="1750">
        <f t="shared" si="152"/>
        <v>0</v>
      </c>
      <c r="EG470" s="1751"/>
      <c r="EH470" s="1751"/>
      <c r="EI470" s="1751"/>
      <c r="EJ470" s="1752"/>
      <c r="EL470" s="1750">
        <f t="shared" si="116"/>
        <v>0</v>
      </c>
      <c r="EM470" s="1751"/>
      <c r="EN470" s="1751"/>
      <c r="EO470" s="1751"/>
      <c r="EP470" s="1752"/>
      <c r="ER470" s="1750">
        <f t="shared" si="153"/>
        <v>0</v>
      </c>
      <c r="ES470" s="1751"/>
      <c r="ET470" s="1751"/>
      <c r="EU470" s="1751"/>
      <c r="EV470" s="1752"/>
      <c r="EX470" s="1750">
        <f>IF(BE470&gt;0,Einstrahlung!$K$10*Kalkulation!$P$62/100*$AY$29*POWER((100-$P$64)/100,BD470-1),0)</f>
        <v>0</v>
      </c>
      <c r="EY470" s="1751"/>
      <c r="EZ470" s="1751"/>
      <c r="FA470" s="1751"/>
      <c r="FB470" s="1752"/>
      <c r="FD470" s="1750">
        <f t="shared" si="161"/>
        <v>0</v>
      </c>
      <c r="FE470" s="1751"/>
      <c r="FF470" s="1751"/>
      <c r="FG470" s="1751"/>
      <c r="FH470" s="1752"/>
      <c r="FI470" s="385"/>
      <c r="FJ470" s="380">
        <f t="shared" ref="FJ470:FJ533" si="173">EX470-FL470</f>
        <v>0</v>
      </c>
      <c r="FK470" s="385"/>
      <c r="FL470" s="380">
        <f>IF(BE470&gt;0,IF($FL$336&gt;SUM($EX$470:$FB$481),SUM($EX$470:$FB$481)/12,$FL$336/12),0)</f>
        <v>0</v>
      </c>
      <c r="FM470" s="385"/>
      <c r="FN470" s="380">
        <f t="shared" si="162"/>
        <v>0</v>
      </c>
      <c r="FO470" s="962">
        <f t="shared" si="167"/>
        <v>262</v>
      </c>
      <c r="FP470" s="956">
        <f t="shared" si="154"/>
        <v>0.4</v>
      </c>
      <c r="FQ470" s="380">
        <f t="shared" si="111"/>
        <v>0</v>
      </c>
      <c r="FR470" s="626">
        <f>IF(AND(GV470&gt;120,GV470&lt;=132),$FR$469,IF(AND(GV470&gt;132,GV470&lt;=144),$FR$481,0))</f>
        <v>1</v>
      </c>
      <c r="FT470" s="1819">
        <f t="shared" si="168"/>
        <v>0</v>
      </c>
      <c r="FU470" s="1820"/>
      <c r="FV470" s="1820"/>
      <c r="FW470" s="1820"/>
      <c r="FX470" s="1821"/>
      <c r="FY470" s="1819">
        <f t="shared" si="163"/>
        <v>0</v>
      </c>
      <c r="FZ470" s="1820"/>
      <c r="GA470" s="1820"/>
      <c r="GB470" s="1821"/>
      <c r="GC470" s="1825">
        <f t="shared" si="117"/>
        <v>0</v>
      </c>
      <c r="GD470" s="1826"/>
      <c r="GE470" s="1826"/>
      <c r="GF470" s="1827"/>
      <c r="GH470" s="1750">
        <f t="shared" si="164"/>
        <v>0</v>
      </c>
      <c r="GI470" s="1751"/>
      <c r="GJ470" s="1751"/>
      <c r="GK470" s="1751"/>
      <c r="GL470" s="1750">
        <f t="shared" si="165"/>
        <v>0</v>
      </c>
      <c r="GM470" s="1751"/>
      <c r="GN470" s="1751"/>
      <c r="GO470" s="1752"/>
      <c r="GP470" s="385"/>
      <c r="GQ470" s="1865">
        <f t="shared" si="166"/>
        <v>0</v>
      </c>
      <c r="GR470" s="1866"/>
      <c r="GS470" s="1866"/>
      <c r="GT470" s="1867"/>
      <c r="GU470" s="192">
        <f t="shared" si="105"/>
        <v>1</v>
      </c>
      <c r="GV470" s="192">
        <f>SUM($GU$337:GU470)</f>
        <v>126</v>
      </c>
      <c r="GW470" s="318"/>
      <c r="HG470" s="380">
        <f t="shared" si="169"/>
        <v>0</v>
      </c>
      <c r="HX470" s="380"/>
    </row>
    <row r="471" spans="4:232">
      <c r="D471" s="420"/>
      <c r="E471" s="422"/>
      <c r="F471" s="425" t="s">
        <v>66</v>
      </c>
      <c r="G471" s="422"/>
      <c r="H471" s="422"/>
      <c r="I471" s="422"/>
      <c r="J471" s="422"/>
      <c r="K471" s="423"/>
      <c r="L471" s="422"/>
      <c r="M471" s="424"/>
      <c r="N471" s="522">
        <f>VLOOKUP($J$116,F467:Q470,9,FALSE)</f>
        <v>6</v>
      </c>
      <c r="O471" s="522">
        <f>VLOOKUP($J$116,F467:Q470,10,FALSE)</f>
        <v>9</v>
      </c>
      <c r="P471" s="522">
        <f>VLOOKUP($J$116,F467:Q470,11,FALSE)</f>
        <v>12</v>
      </c>
      <c r="Q471" s="522">
        <f>VLOOKUP($J$116,F467:Q470,12,FALSE)</f>
        <v>15</v>
      </c>
      <c r="BD471" s="387">
        <f t="shared" si="170"/>
        <v>11</v>
      </c>
      <c r="BE471" s="382">
        <f>IF(BD471&gt;0,134,0)</f>
        <v>134</v>
      </c>
      <c r="BG471" s="383">
        <f>IF($BE471&gt;$R$66-3+($BR$335*12),134,0)</f>
        <v>134</v>
      </c>
      <c r="BH471" s="1754">
        <f t="shared" si="171"/>
        <v>0</v>
      </c>
      <c r="BI471" s="1754"/>
      <c r="BJ471" s="1754"/>
      <c r="BK471" s="1754"/>
      <c r="BL471" s="1754">
        <f t="shared" si="155"/>
        <v>0</v>
      </c>
      <c r="BM471" s="1754"/>
      <c r="BN471" s="1754"/>
      <c r="BO471" s="1754">
        <f t="shared" si="146"/>
        <v>0</v>
      </c>
      <c r="BP471" s="1754"/>
      <c r="BQ471" s="1754"/>
      <c r="BR471" s="1754">
        <f t="shared" si="172"/>
        <v>0</v>
      </c>
      <c r="BS471" s="1754"/>
      <c r="BT471" s="1754"/>
      <c r="BU471" s="1754"/>
      <c r="BW471" s="383">
        <f>IF($BE471&gt;$R$66-3+($CH$335*12),134,0)</f>
        <v>134</v>
      </c>
      <c r="BX471" s="1754">
        <f t="shared" si="137"/>
        <v>0</v>
      </c>
      <c r="BY471" s="1754"/>
      <c r="BZ471" s="1754"/>
      <c r="CA471" s="1754"/>
      <c r="CB471" s="1754">
        <f t="shared" si="156"/>
        <v>0</v>
      </c>
      <c r="CC471" s="1754"/>
      <c r="CD471" s="1754"/>
      <c r="CE471" s="1754">
        <f t="shared" si="147"/>
        <v>0</v>
      </c>
      <c r="CF471" s="1754"/>
      <c r="CG471" s="1754"/>
      <c r="CH471" s="1754">
        <f t="shared" si="148"/>
        <v>0</v>
      </c>
      <c r="CI471" s="1754"/>
      <c r="CJ471" s="1754"/>
      <c r="CK471" s="1754"/>
      <c r="CM471" s="383">
        <f>IF($BE471&gt;$R$66-3+($CX$335*12),134,0)</f>
        <v>134</v>
      </c>
      <c r="CN471" s="1754">
        <f t="shared" si="138"/>
        <v>0</v>
      </c>
      <c r="CO471" s="1754"/>
      <c r="CP471" s="1754"/>
      <c r="CQ471" s="1754"/>
      <c r="CR471" s="1754">
        <f t="shared" si="157"/>
        <v>0</v>
      </c>
      <c r="CS471" s="1754"/>
      <c r="CT471" s="1754"/>
      <c r="CU471" s="1754">
        <f t="shared" si="149"/>
        <v>0</v>
      </c>
      <c r="CV471" s="1754"/>
      <c r="CW471" s="1754"/>
      <c r="CX471" s="1754">
        <f t="shared" si="150"/>
        <v>0</v>
      </c>
      <c r="CY471" s="1754"/>
      <c r="CZ471" s="1754"/>
      <c r="DA471" s="1754"/>
      <c r="DC471" s="383">
        <f>IF($BE471&gt;$R$66-3,134,0)</f>
        <v>134</v>
      </c>
      <c r="DD471" s="1754">
        <f t="shared" si="139"/>
        <v>0</v>
      </c>
      <c r="DE471" s="1754"/>
      <c r="DF471" s="1754"/>
      <c r="DG471" s="1754"/>
      <c r="DH471" s="1754">
        <f t="shared" si="158"/>
        <v>0</v>
      </c>
      <c r="DI471" s="1754"/>
      <c r="DJ471" s="1754"/>
      <c r="DK471" s="1754">
        <f t="shared" si="151"/>
        <v>0</v>
      </c>
      <c r="DL471" s="1754"/>
      <c r="DM471" s="1754"/>
      <c r="DN471" s="1754"/>
      <c r="DP471" s="383">
        <f t="shared" si="159"/>
        <v>134</v>
      </c>
      <c r="DQ471" s="1754">
        <f t="shared" si="160"/>
        <v>0</v>
      </c>
      <c r="DR471" s="1754"/>
      <c r="DS471" s="1754"/>
      <c r="DT471" s="1754"/>
      <c r="DU471" s="1754">
        <f t="shared" si="106"/>
        <v>0</v>
      </c>
      <c r="DV471" s="1754"/>
      <c r="DW471" s="1754"/>
      <c r="DX471" s="1754">
        <f t="shared" si="114"/>
        <v>0</v>
      </c>
      <c r="DY471" s="1754"/>
      <c r="DZ471" s="1754"/>
      <c r="EA471" s="1754">
        <f t="shared" si="115"/>
        <v>0</v>
      </c>
      <c r="EB471" s="1754"/>
      <c r="EC471" s="1754"/>
      <c r="ED471" s="1754"/>
      <c r="EE471" s="384"/>
      <c r="EF471" s="1750">
        <f t="shared" si="152"/>
        <v>0</v>
      </c>
      <c r="EG471" s="1751"/>
      <c r="EH471" s="1751"/>
      <c r="EI471" s="1751"/>
      <c r="EJ471" s="1752"/>
      <c r="EL471" s="1750">
        <f t="shared" si="116"/>
        <v>0</v>
      </c>
      <c r="EM471" s="1751"/>
      <c r="EN471" s="1751"/>
      <c r="EO471" s="1751"/>
      <c r="EP471" s="1752"/>
      <c r="ER471" s="1750">
        <f t="shared" si="153"/>
        <v>0</v>
      </c>
      <c r="ES471" s="1751"/>
      <c r="ET471" s="1751"/>
      <c r="EU471" s="1751"/>
      <c r="EV471" s="1752"/>
      <c r="EX471" s="1750">
        <f>IF(BE471&gt;0,Einstrahlung!$K$12*Kalkulation!$P$62/100*$AY$29*POWER((100-$P$64)/100,BD471-1),0)</f>
        <v>0</v>
      </c>
      <c r="EY471" s="1751"/>
      <c r="EZ471" s="1751"/>
      <c r="FA471" s="1751"/>
      <c r="FB471" s="1752"/>
      <c r="FD471" s="1750">
        <f t="shared" si="161"/>
        <v>0</v>
      </c>
      <c r="FE471" s="1751"/>
      <c r="FF471" s="1751"/>
      <c r="FG471" s="1751"/>
      <c r="FH471" s="1752"/>
      <c r="FI471" s="385"/>
      <c r="FJ471" s="380">
        <f t="shared" si="173"/>
        <v>0</v>
      </c>
      <c r="FK471" s="385"/>
      <c r="FL471" s="380">
        <f t="shared" ref="FL471:FL481" si="174">IF(BE471&gt;0,IF($FL$336&gt;SUM($EX$470:$FB$481),SUM($EX$470:$FB$481)/12,$FL$336/12),0)</f>
        <v>0</v>
      </c>
      <c r="FM471" s="385"/>
      <c r="FN471" s="380">
        <f t="shared" si="162"/>
        <v>0</v>
      </c>
      <c r="FO471" s="962">
        <f t="shared" si="167"/>
        <v>263</v>
      </c>
      <c r="FP471" s="956">
        <f t="shared" si="154"/>
        <v>0.4</v>
      </c>
      <c r="FQ471" s="380">
        <f t="shared" si="111"/>
        <v>0</v>
      </c>
      <c r="FR471" s="626">
        <f t="shared" ref="FR471:FR480" si="175">IF(AND(GV471&gt;120,GV471&lt;=132),$FR$469,IF(AND(GV471&gt;132,GV471&lt;=144),$FR$481,0))</f>
        <v>1</v>
      </c>
      <c r="FT471" s="1819">
        <f t="shared" si="168"/>
        <v>0</v>
      </c>
      <c r="FU471" s="1820"/>
      <c r="FV471" s="1820"/>
      <c r="FW471" s="1820"/>
      <c r="FX471" s="1821"/>
      <c r="FY471" s="1819">
        <f t="shared" si="163"/>
        <v>0</v>
      </c>
      <c r="FZ471" s="1820"/>
      <c r="GA471" s="1820"/>
      <c r="GB471" s="1821"/>
      <c r="GC471" s="1825">
        <f t="shared" si="117"/>
        <v>0</v>
      </c>
      <c r="GD471" s="1826"/>
      <c r="GE471" s="1826"/>
      <c r="GF471" s="1827"/>
      <c r="GH471" s="1750">
        <f t="shared" si="164"/>
        <v>0</v>
      </c>
      <c r="GI471" s="1751"/>
      <c r="GJ471" s="1751"/>
      <c r="GK471" s="1752"/>
      <c r="GL471" s="1750">
        <f t="shared" si="165"/>
        <v>0</v>
      </c>
      <c r="GM471" s="1751"/>
      <c r="GN471" s="1751"/>
      <c r="GO471" s="1752"/>
      <c r="GP471" s="385"/>
      <c r="GQ471" s="1750">
        <f t="shared" si="166"/>
        <v>0</v>
      </c>
      <c r="GR471" s="1751"/>
      <c r="GS471" s="1751"/>
      <c r="GT471" s="1752"/>
      <c r="GU471" s="192">
        <f t="shared" si="105"/>
        <v>1</v>
      </c>
      <c r="GV471" s="192">
        <f>SUM($GU$337:GU471)</f>
        <v>127</v>
      </c>
      <c r="GW471" s="318"/>
      <c r="HG471" s="380">
        <f t="shared" si="169"/>
        <v>0</v>
      </c>
      <c r="HX471" s="380"/>
    </row>
    <row r="472" spans="4:232">
      <c r="S472" s="711"/>
      <c r="T472" s="711"/>
      <c r="U472" s="711"/>
      <c r="V472" s="711"/>
      <c r="W472" s="711"/>
      <c r="X472" s="712"/>
      <c r="Y472" s="712"/>
      <c r="Z472" s="712"/>
      <c r="BD472" s="387">
        <f t="shared" si="170"/>
        <v>11</v>
      </c>
      <c r="BE472" s="382">
        <f>IF(BD472&gt;0,135,0)</f>
        <v>135</v>
      </c>
      <c r="BG472" s="383">
        <f>IF($BE472&gt;$R$66-3+($BR$335*12),135,0)</f>
        <v>135</v>
      </c>
      <c r="BH472" s="1754">
        <f t="shared" si="171"/>
        <v>0</v>
      </c>
      <c r="BI472" s="1754"/>
      <c r="BJ472" s="1754"/>
      <c r="BK472" s="1754"/>
      <c r="BL472" s="1754">
        <f t="shared" si="155"/>
        <v>0</v>
      </c>
      <c r="BM472" s="1754"/>
      <c r="BN472" s="1754"/>
      <c r="BO472" s="1754">
        <f t="shared" si="146"/>
        <v>0</v>
      </c>
      <c r="BP472" s="1754"/>
      <c r="BQ472" s="1754"/>
      <c r="BR472" s="1754">
        <f t="shared" si="172"/>
        <v>0</v>
      </c>
      <c r="BS472" s="1754"/>
      <c r="BT472" s="1754"/>
      <c r="BU472" s="1754"/>
      <c r="BW472" s="383">
        <f>IF($BE472&gt;$R$66-3+($CH$335*12),135,0)</f>
        <v>135</v>
      </c>
      <c r="BX472" s="1754">
        <f t="shared" si="137"/>
        <v>0</v>
      </c>
      <c r="BY472" s="1754"/>
      <c r="BZ472" s="1754"/>
      <c r="CA472" s="1754"/>
      <c r="CB472" s="1754">
        <f t="shared" si="156"/>
        <v>0</v>
      </c>
      <c r="CC472" s="1754"/>
      <c r="CD472" s="1754"/>
      <c r="CE472" s="1754">
        <f t="shared" si="147"/>
        <v>0</v>
      </c>
      <c r="CF472" s="1754"/>
      <c r="CG472" s="1754"/>
      <c r="CH472" s="1754">
        <f t="shared" si="148"/>
        <v>0</v>
      </c>
      <c r="CI472" s="1754"/>
      <c r="CJ472" s="1754"/>
      <c r="CK472" s="1754"/>
      <c r="CM472" s="383">
        <f>IF($BE472&gt;$R$66-3+($CX$335*12),135,0)</f>
        <v>135</v>
      </c>
      <c r="CN472" s="1754">
        <f t="shared" si="138"/>
        <v>0</v>
      </c>
      <c r="CO472" s="1754"/>
      <c r="CP472" s="1754"/>
      <c r="CQ472" s="1754"/>
      <c r="CR472" s="1754">
        <f t="shared" si="157"/>
        <v>0</v>
      </c>
      <c r="CS472" s="1754"/>
      <c r="CT472" s="1754"/>
      <c r="CU472" s="1754">
        <f t="shared" si="149"/>
        <v>0</v>
      </c>
      <c r="CV472" s="1754"/>
      <c r="CW472" s="1754"/>
      <c r="CX472" s="1754">
        <f t="shared" si="150"/>
        <v>0</v>
      </c>
      <c r="CY472" s="1754"/>
      <c r="CZ472" s="1754"/>
      <c r="DA472" s="1754"/>
      <c r="DC472" s="383">
        <f>IF($BE472&gt;$R$66-3,135,0)</f>
        <v>135</v>
      </c>
      <c r="DD472" s="1754">
        <f t="shared" si="139"/>
        <v>0</v>
      </c>
      <c r="DE472" s="1754"/>
      <c r="DF472" s="1754"/>
      <c r="DG472" s="1754"/>
      <c r="DH472" s="1754">
        <f t="shared" si="158"/>
        <v>0</v>
      </c>
      <c r="DI472" s="1754"/>
      <c r="DJ472" s="1754"/>
      <c r="DK472" s="1754">
        <f t="shared" si="151"/>
        <v>0</v>
      </c>
      <c r="DL472" s="1754"/>
      <c r="DM472" s="1754"/>
      <c r="DN472" s="1754"/>
      <c r="DP472" s="383">
        <f t="shared" si="159"/>
        <v>135</v>
      </c>
      <c r="DQ472" s="1754">
        <f t="shared" si="160"/>
        <v>0</v>
      </c>
      <c r="DR472" s="1754"/>
      <c r="DS472" s="1754"/>
      <c r="DT472" s="1754"/>
      <c r="DU472" s="1754">
        <f t="shared" si="106"/>
        <v>0</v>
      </c>
      <c r="DV472" s="1754"/>
      <c r="DW472" s="1754"/>
      <c r="DX472" s="1754">
        <f t="shared" si="114"/>
        <v>0</v>
      </c>
      <c r="DY472" s="1754"/>
      <c r="DZ472" s="1754"/>
      <c r="EA472" s="1754">
        <f t="shared" si="115"/>
        <v>0</v>
      </c>
      <c r="EB472" s="1754"/>
      <c r="EC472" s="1754"/>
      <c r="ED472" s="1754"/>
      <c r="EE472" s="384"/>
      <c r="EF472" s="1750">
        <f t="shared" si="152"/>
        <v>0</v>
      </c>
      <c r="EG472" s="1751"/>
      <c r="EH472" s="1751"/>
      <c r="EI472" s="1751"/>
      <c r="EJ472" s="1752"/>
      <c r="EL472" s="1750">
        <f t="shared" si="116"/>
        <v>0</v>
      </c>
      <c r="EM472" s="1751"/>
      <c r="EN472" s="1751"/>
      <c r="EO472" s="1751"/>
      <c r="EP472" s="1752"/>
      <c r="ER472" s="1750">
        <f t="shared" si="153"/>
        <v>0</v>
      </c>
      <c r="ES472" s="1751"/>
      <c r="ET472" s="1751"/>
      <c r="EU472" s="1751"/>
      <c r="EV472" s="1752"/>
      <c r="EX472" s="1750">
        <f>IF(BE472&gt;0,Einstrahlung!$K$14*Kalkulation!$P$62/100*$AY$29*POWER((100-$P$64)/100,BD472-1),0)</f>
        <v>0</v>
      </c>
      <c r="EY472" s="1751"/>
      <c r="EZ472" s="1751"/>
      <c r="FA472" s="1751"/>
      <c r="FB472" s="1752"/>
      <c r="FD472" s="1750">
        <f t="shared" si="161"/>
        <v>0</v>
      </c>
      <c r="FE472" s="1751"/>
      <c r="FF472" s="1751"/>
      <c r="FG472" s="1751"/>
      <c r="FH472" s="1752"/>
      <c r="FI472" s="385"/>
      <c r="FJ472" s="380">
        <f t="shared" si="173"/>
        <v>0</v>
      </c>
      <c r="FK472" s="385"/>
      <c r="FL472" s="380">
        <f t="shared" si="174"/>
        <v>0</v>
      </c>
      <c r="FM472" s="385"/>
      <c r="FN472" s="380">
        <f t="shared" si="162"/>
        <v>0</v>
      </c>
      <c r="FO472" s="962">
        <f t="shared" si="167"/>
        <v>264</v>
      </c>
      <c r="FP472" s="956">
        <f t="shared" si="154"/>
        <v>0.4</v>
      </c>
      <c r="FQ472" s="380">
        <f t="shared" si="111"/>
        <v>0</v>
      </c>
      <c r="FR472" s="626">
        <f t="shared" si="175"/>
        <v>1</v>
      </c>
      <c r="FT472" s="1819">
        <f t="shared" si="168"/>
        <v>0</v>
      </c>
      <c r="FU472" s="1820"/>
      <c r="FV472" s="1820"/>
      <c r="FW472" s="1820"/>
      <c r="FX472" s="1821"/>
      <c r="FY472" s="1819">
        <f t="shared" si="163"/>
        <v>0</v>
      </c>
      <c r="FZ472" s="1820"/>
      <c r="GA472" s="1820"/>
      <c r="GB472" s="1821"/>
      <c r="GC472" s="1825">
        <f t="shared" si="117"/>
        <v>0</v>
      </c>
      <c r="GD472" s="1826"/>
      <c r="GE472" s="1826"/>
      <c r="GF472" s="1827"/>
      <c r="GH472" s="1750">
        <f t="shared" si="164"/>
        <v>0</v>
      </c>
      <c r="GI472" s="1751"/>
      <c r="GJ472" s="1751"/>
      <c r="GK472" s="1752"/>
      <c r="GL472" s="1750">
        <f t="shared" si="165"/>
        <v>0</v>
      </c>
      <c r="GM472" s="1751"/>
      <c r="GN472" s="1751"/>
      <c r="GO472" s="1752"/>
      <c r="GP472" s="385"/>
      <c r="GQ472" s="1750">
        <f t="shared" si="166"/>
        <v>0</v>
      </c>
      <c r="GR472" s="1751"/>
      <c r="GS472" s="1751"/>
      <c r="GT472" s="1752"/>
      <c r="GU472" s="192">
        <f t="shared" ref="GU472:GU535" si="176">IF(BE472&gt;0,1,0)</f>
        <v>1</v>
      </c>
      <c r="GV472" s="192">
        <f>SUM($GU$337:GU472)</f>
        <v>128</v>
      </c>
      <c r="GW472" s="318"/>
      <c r="HG472" s="380">
        <f t="shared" si="169"/>
        <v>0</v>
      </c>
      <c r="HX472" s="380"/>
    </row>
    <row r="473" spans="4:232">
      <c r="BD473" s="387">
        <f t="shared" si="170"/>
        <v>11</v>
      </c>
      <c r="BE473" s="382">
        <f>IF(BD473&gt;0,136,0)</f>
        <v>136</v>
      </c>
      <c r="BG473" s="383">
        <f>IF($BE473&gt;$R$66-3+($BR$335*12),136,0)</f>
        <v>136</v>
      </c>
      <c r="BH473" s="1754">
        <f t="shared" si="171"/>
        <v>0</v>
      </c>
      <c r="BI473" s="1754"/>
      <c r="BJ473" s="1754"/>
      <c r="BK473" s="1754"/>
      <c r="BL473" s="1754">
        <f t="shared" si="155"/>
        <v>0</v>
      </c>
      <c r="BM473" s="1754"/>
      <c r="BN473" s="1754"/>
      <c r="BO473" s="1754">
        <f t="shared" si="146"/>
        <v>0</v>
      </c>
      <c r="BP473" s="1754"/>
      <c r="BQ473" s="1754"/>
      <c r="BR473" s="1754">
        <f t="shared" si="172"/>
        <v>0</v>
      </c>
      <c r="BS473" s="1754"/>
      <c r="BT473" s="1754"/>
      <c r="BU473" s="1754"/>
      <c r="BW473" s="383">
        <f>IF($BE473&gt;$R$66-3+($CH$335*12),136,0)</f>
        <v>136</v>
      </c>
      <c r="BX473" s="1754">
        <f t="shared" si="137"/>
        <v>0</v>
      </c>
      <c r="BY473" s="1754"/>
      <c r="BZ473" s="1754"/>
      <c r="CA473" s="1754"/>
      <c r="CB473" s="1754">
        <f t="shared" si="156"/>
        <v>0</v>
      </c>
      <c r="CC473" s="1754"/>
      <c r="CD473" s="1754"/>
      <c r="CE473" s="1754">
        <f t="shared" si="147"/>
        <v>0</v>
      </c>
      <c r="CF473" s="1754"/>
      <c r="CG473" s="1754"/>
      <c r="CH473" s="1754">
        <f t="shared" si="148"/>
        <v>0</v>
      </c>
      <c r="CI473" s="1754"/>
      <c r="CJ473" s="1754"/>
      <c r="CK473" s="1754"/>
      <c r="CM473" s="383">
        <f>IF($BE473&gt;$R$66-3+($CX$335*12),136,0)</f>
        <v>136</v>
      </c>
      <c r="CN473" s="1754">
        <f t="shared" si="138"/>
        <v>0</v>
      </c>
      <c r="CO473" s="1754"/>
      <c r="CP473" s="1754"/>
      <c r="CQ473" s="1754"/>
      <c r="CR473" s="1754">
        <f t="shared" si="157"/>
        <v>0</v>
      </c>
      <c r="CS473" s="1754"/>
      <c r="CT473" s="1754"/>
      <c r="CU473" s="1754">
        <f t="shared" si="149"/>
        <v>0</v>
      </c>
      <c r="CV473" s="1754"/>
      <c r="CW473" s="1754"/>
      <c r="CX473" s="1754">
        <f t="shared" si="150"/>
        <v>0</v>
      </c>
      <c r="CY473" s="1754"/>
      <c r="CZ473" s="1754"/>
      <c r="DA473" s="1754"/>
      <c r="DC473" s="383">
        <f>IF($BE473&gt;$R$66-3,136,0)</f>
        <v>136</v>
      </c>
      <c r="DD473" s="1754">
        <f t="shared" si="139"/>
        <v>0</v>
      </c>
      <c r="DE473" s="1754"/>
      <c r="DF473" s="1754"/>
      <c r="DG473" s="1754"/>
      <c r="DH473" s="1754">
        <f t="shared" si="158"/>
        <v>0</v>
      </c>
      <c r="DI473" s="1754"/>
      <c r="DJ473" s="1754"/>
      <c r="DK473" s="1754">
        <f t="shared" si="151"/>
        <v>0</v>
      </c>
      <c r="DL473" s="1754"/>
      <c r="DM473" s="1754"/>
      <c r="DN473" s="1754"/>
      <c r="DP473" s="383">
        <f t="shared" si="159"/>
        <v>136</v>
      </c>
      <c r="DQ473" s="1754">
        <f t="shared" si="160"/>
        <v>0</v>
      </c>
      <c r="DR473" s="1754"/>
      <c r="DS473" s="1754"/>
      <c r="DT473" s="1754"/>
      <c r="DU473" s="1754">
        <f t="shared" ref="DU473:DU535" si="177">IF(DD473=0,0,IF($BE473&gt;0,($DK$332*$DM$335/100)/12-DH473,0))</f>
        <v>0</v>
      </c>
      <c r="DV473" s="1754"/>
      <c r="DW473" s="1754"/>
      <c r="DX473" s="1754">
        <f t="shared" si="114"/>
        <v>0</v>
      </c>
      <c r="DY473" s="1754"/>
      <c r="DZ473" s="1754"/>
      <c r="EA473" s="1754">
        <f t="shared" si="115"/>
        <v>0</v>
      </c>
      <c r="EB473" s="1754"/>
      <c r="EC473" s="1754"/>
      <c r="ED473" s="1754"/>
      <c r="EE473" s="384"/>
      <c r="EF473" s="1750">
        <f t="shared" si="152"/>
        <v>0</v>
      </c>
      <c r="EG473" s="1751"/>
      <c r="EH473" s="1751"/>
      <c r="EI473" s="1751"/>
      <c r="EJ473" s="1752"/>
      <c r="EL473" s="1750">
        <f t="shared" si="116"/>
        <v>0</v>
      </c>
      <c r="EM473" s="1751"/>
      <c r="EN473" s="1751"/>
      <c r="EO473" s="1751"/>
      <c r="EP473" s="1752"/>
      <c r="ER473" s="1750">
        <f t="shared" si="153"/>
        <v>0</v>
      </c>
      <c r="ES473" s="1751"/>
      <c r="ET473" s="1751"/>
      <c r="EU473" s="1751"/>
      <c r="EV473" s="1752"/>
      <c r="EX473" s="1750">
        <f>IF(BE473&gt;0,Einstrahlung!$K$16*Kalkulation!$P$62/100*$AY$29*POWER((100-$P$64)/100,BD473-1),0)</f>
        <v>0</v>
      </c>
      <c r="EY473" s="1751"/>
      <c r="EZ473" s="1751"/>
      <c r="FA473" s="1751"/>
      <c r="FB473" s="1752"/>
      <c r="FD473" s="1750">
        <f t="shared" si="161"/>
        <v>0</v>
      </c>
      <c r="FE473" s="1751"/>
      <c r="FF473" s="1751"/>
      <c r="FG473" s="1751"/>
      <c r="FH473" s="1752"/>
      <c r="FI473" s="385"/>
      <c r="FJ473" s="380">
        <f t="shared" si="173"/>
        <v>0</v>
      </c>
      <c r="FK473" s="385"/>
      <c r="FL473" s="380">
        <f t="shared" si="174"/>
        <v>0</v>
      </c>
      <c r="FM473" s="385"/>
      <c r="FN473" s="380">
        <f t="shared" si="162"/>
        <v>0</v>
      </c>
      <c r="FO473" s="962">
        <f t="shared" si="167"/>
        <v>265</v>
      </c>
      <c r="FP473" s="956">
        <f t="shared" si="154"/>
        <v>0.4</v>
      </c>
      <c r="FQ473" s="380">
        <f t="shared" si="111"/>
        <v>0</v>
      </c>
      <c r="FR473" s="626">
        <f t="shared" si="175"/>
        <v>1</v>
      </c>
      <c r="FT473" s="1819">
        <f t="shared" si="168"/>
        <v>0</v>
      </c>
      <c r="FU473" s="1820"/>
      <c r="FV473" s="1820"/>
      <c r="FW473" s="1820"/>
      <c r="FX473" s="1821"/>
      <c r="FY473" s="1819">
        <f t="shared" si="163"/>
        <v>0</v>
      </c>
      <c r="FZ473" s="1820"/>
      <c r="GA473" s="1820"/>
      <c r="GB473" s="1821"/>
      <c r="GC473" s="1825">
        <f t="shared" si="117"/>
        <v>0</v>
      </c>
      <c r="GD473" s="1826"/>
      <c r="GE473" s="1826"/>
      <c r="GF473" s="1827"/>
      <c r="GH473" s="1750">
        <f t="shared" si="164"/>
        <v>0</v>
      </c>
      <c r="GI473" s="1751"/>
      <c r="GJ473" s="1751"/>
      <c r="GK473" s="1752"/>
      <c r="GL473" s="1750">
        <f t="shared" si="165"/>
        <v>0</v>
      </c>
      <c r="GM473" s="1751"/>
      <c r="GN473" s="1751"/>
      <c r="GO473" s="1752"/>
      <c r="GP473" s="385"/>
      <c r="GQ473" s="1750">
        <f t="shared" si="166"/>
        <v>0</v>
      </c>
      <c r="GR473" s="1751"/>
      <c r="GS473" s="1751"/>
      <c r="GT473" s="1752"/>
      <c r="GU473" s="192">
        <f t="shared" si="176"/>
        <v>1</v>
      </c>
      <c r="GV473" s="192">
        <f>SUM($GU$337:GU473)</f>
        <v>129</v>
      </c>
      <c r="GW473" s="318"/>
      <c r="HG473" s="380">
        <f t="shared" si="169"/>
        <v>0</v>
      </c>
      <c r="HX473" s="380"/>
    </row>
    <row r="474" spans="4:232">
      <c r="D474" s="192" t="s">
        <v>107</v>
      </c>
      <c r="N474" s="1679">
        <f>'Endfälliges Darlehen'!T17</f>
        <v>0</v>
      </c>
      <c r="O474" s="1679"/>
      <c r="P474" s="192" t="s">
        <v>381</v>
      </c>
      <c r="Q474" s="1675" t="s">
        <v>131</v>
      </c>
      <c r="R474" s="1675"/>
      <c r="S474" s="426" t="str">
        <f>"Darlehensstand am Ende des "&amp;V21&amp;". Jahres"</f>
        <v>Darlehensstand am Ende des 20. Jahres</v>
      </c>
      <c r="BD474" s="387">
        <f t="shared" si="170"/>
        <v>11</v>
      </c>
      <c r="BE474" s="382">
        <f>IF(BD474&gt;0,137,0)</f>
        <v>137</v>
      </c>
      <c r="BG474" s="383">
        <f>IF($BE474&gt;$R$66-3+($BR$335*12),137,0)</f>
        <v>137</v>
      </c>
      <c r="BH474" s="1754">
        <f t="shared" si="171"/>
        <v>0</v>
      </c>
      <c r="BI474" s="1754"/>
      <c r="BJ474" s="1754"/>
      <c r="BK474" s="1754"/>
      <c r="BL474" s="1754">
        <f t="shared" si="155"/>
        <v>0</v>
      </c>
      <c r="BM474" s="1754"/>
      <c r="BN474" s="1754"/>
      <c r="BO474" s="1754">
        <f t="shared" si="146"/>
        <v>0</v>
      </c>
      <c r="BP474" s="1754"/>
      <c r="BQ474" s="1754"/>
      <c r="BR474" s="1754">
        <f t="shared" si="172"/>
        <v>0</v>
      </c>
      <c r="BS474" s="1754"/>
      <c r="BT474" s="1754"/>
      <c r="BU474" s="1754"/>
      <c r="BW474" s="383">
        <f>IF($BE474&gt;$R$66-3+($CH$335*12),137,0)</f>
        <v>137</v>
      </c>
      <c r="BX474" s="1754">
        <f t="shared" si="137"/>
        <v>0</v>
      </c>
      <c r="BY474" s="1754"/>
      <c r="BZ474" s="1754"/>
      <c r="CA474" s="1754"/>
      <c r="CB474" s="1754">
        <f t="shared" si="156"/>
        <v>0</v>
      </c>
      <c r="CC474" s="1754"/>
      <c r="CD474" s="1754"/>
      <c r="CE474" s="1754">
        <f t="shared" si="147"/>
        <v>0</v>
      </c>
      <c r="CF474" s="1754"/>
      <c r="CG474" s="1754"/>
      <c r="CH474" s="1754">
        <f t="shared" si="148"/>
        <v>0</v>
      </c>
      <c r="CI474" s="1754"/>
      <c r="CJ474" s="1754"/>
      <c r="CK474" s="1754"/>
      <c r="CM474" s="383">
        <f>IF($BE474&gt;$R$66-3+($CX$335*12),137,0)</f>
        <v>137</v>
      </c>
      <c r="CN474" s="1754">
        <f t="shared" si="138"/>
        <v>0</v>
      </c>
      <c r="CO474" s="1754"/>
      <c r="CP474" s="1754"/>
      <c r="CQ474" s="1754"/>
      <c r="CR474" s="1754">
        <f t="shared" si="157"/>
        <v>0</v>
      </c>
      <c r="CS474" s="1754"/>
      <c r="CT474" s="1754"/>
      <c r="CU474" s="1754">
        <f t="shared" si="149"/>
        <v>0</v>
      </c>
      <c r="CV474" s="1754"/>
      <c r="CW474" s="1754"/>
      <c r="CX474" s="1754">
        <f t="shared" si="150"/>
        <v>0</v>
      </c>
      <c r="CY474" s="1754"/>
      <c r="CZ474" s="1754"/>
      <c r="DA474" s="1754"/>
      <c r="DC474" s="383">
        <f>IF($BE474&gt;$R$66-3,137,0)</f>
        <v>137</v>
      </c>
      <c r="DD474" s="1754">
        <f t="shared" si="139"/>
        <v>0</v>
      </c>
      <c r="DE474" s="1754"/>
      <c r="DF474" s="1754"/>
      <c r="DG474" s="1754"/>
      <c r="DH474" s="1754">
        <f t="shared" si="158"/>
        <v>0</v>
      </c>
      <c r="DI474" s="1754"/>
      <c r="DJ474" s="1754"/>
      <c r="DK474" s="1754">
        <f t="shared" si="151"/>
        <v>0</v>
      </c>
      <c r="DL474" s="1754"/>
      <c r="DM474" s="1754"/>
      <c r="DN474" s="1754"/>
      <c r="DP474" s="383">
        <f t="shared" si="159"/>
        <v>137</v>
      </c>
      <c r="DQ474" s="1754">
        <f t="shared" si="160"/>
        <v>0</v>
      </c>
      <c r="DR474" s="1754"/>
      <c r="DS474" s="1754"/>
      <c r="DT474" s="1754"/>
      <c r="DU474" s="1754">
        <f t="shared" si="177"/>
        <v>0</v>
      </c>
      <c r="DV474" s="1754"/>
      <c r="DW474" s="1754"/>
      <c r="DX474" s="1754">
        <f t="shared" si="114"/>
        <v>0</v>
      </c>
      <c r="DY474" s="1754"/>
      <c r="DZ474" s="1754"/>
      <c r="EA474" s="1754">
        <f t="shared" si="115"/>
        <v>0</v>
      </c>
      <c r="EB474" s="1754"/>
      <c r="EC474" s="1754"/>
      <c r="ED474" s="1754"/>
      <c r="EE474" s="384"/>
      <c r="EF474" s="1750">
        <f t="shared" si="152"/>
        <v>0</v>
      </c>
      <c r="EG474" s="1751"/>
      <c r="EH474" s="1751"/>
      <c r="EI474" s="1751"/>
      <c r="EJ474" s="1752"/>
      <c r="EL474" s="1750">
        <f t="shared" si="116"/>
        <v>0</v>
      </c>
      <c r="EM474" s="1751"/>
      <c r="EN474" s="1751"/>
      <c r="EO474" s="1751"/>
      <c r="EP474" s="1752"/>
      <c r="ER474" s="1750">
        <f t="shared" si="153"/>
        <v>0</v>
      </c>
      <c r="ES474" s="1751"/>
      <c r="ET474" s="1751"/>
      <c r="EU474" s="1751"/>
      <c r="EV474" s="1752"/>
      <c r="EX474" s="1750">
        <f>IF(BE474&gt;0,Einstrahlung!$K$18*Kalkulation!$P$62/100*$AY$29*POWER((100-$P$64)/100,BD474-1),0)</f>
        <v>0</v>
      </c>
      <c r="EY474" s="1751"/>
      <c r="EZ474" s="1751"/>
      <c r="FA474" s="1751"/>
      <c r="FB474" s="1752"/>
      <c r="FD474" s="1750">
        <f t="shared" si="161"/>
        <v>0</v>
      </c>
      <c r="FE474" s="1751"/>
      <c r="FF474" s="1751"/>
      <c r="FG474" s="1751"/>
      <c r="FH474" s="1752"/>
      <c r="FI474" s="385"/>
      <c r="FJ474" s="380">
        <f t="shared" si="173"/>
        <v>0</v>
      </c>
      <c r="FK474" s="385"/>
      <c r="FL474" s="380">
        <f t="shared" si="174"/>
        <v>0</v>
      </c>
      <c r="FM474" s="385"/>
      <c r="FN474" s="380">
        <f t="shared" si="162"/>
        <v>0</v>
      </c>
      <c r="FO474" s="962">
        <f t="shared" si="167"/>
        <v>266</v>
      </c>
      <c r="FP474" s="956">
        <f t="shared" si="154"/>
        <v>0.4</v>
      </c>
      <c r="FQ474" s="380">
        <f t="shared" ref="FQ474:FQ537" si="178">FN474*FR474-(FL474*($FQ$337/100)*FP474)</f>
        <v>0</v>
      </c>
      <c r="FR474" s="626">
        <f t="shared" si="175"/>
        <v>1</v>
      </c>
      <c r="FT474" s="1819">
        <f t="shared" si="168"/>
        <v>0</v>
      </c>
      <c r="FU474" s="1820"/>
      <c r="FV474" s="1820"/>
      <c r="FW474" s="1820"/>
      <c r="FX474" s="1821"/>
      <c r="FY474" s="1819">
        <f t="shared" si="163"/>
        <v>0</v>
      </c>
      <c r="FZ474" s="1820"/>
      <c r="GA474" s="1820"/>
      <c r="GB474" s="1821"/>
      <c r="GC474" s="1825">
        <f t="shared" si="117"/>
        <v>0</v>
      </c>
      <c r="GD474" s="1826"/>
      <c r="GE474" s="1826"/>
      <c r="GF474" s="1827"/>
      <c r="GH474" s="1750">
        <f t="shared" si="164"/>
        <v>0</v>
      </c>
      <c r="GI474" s="1751"/>
      <c r="GJ474" s="1751"/>
      <c r="GK474" s="1752"/>
      <c r="GL474" s="1750">
        <f t="shared" si="165"/>
        <v>0</v>
      </c>
      <c r="GM474" s="1751"/>
      <c r="GN474" s="1751"/>
      <c r="GO474" s="1752"/>
      <c r="GP474" s="385"/>
      <c r="GQ474" s="1750">
        <f t="shared" si="166"/>
        <v>0</v>
      </c>
      <c r="GR474" s="1751"/>
      <c r="GS474" s="1751"/>
      <c r="GT474" s="1752"/>
      <c r="GU474" s="192">
        <f t="shared" si="176"/>
        <v>1</v>
      </c>
      <c r="GV474" s="192">
        <f>SUM($GU$337:GU474)</f>
        <v>130</v>
      </c>
      <c r="GW474" s="318"/>
      <c r="HG474" s="380">
        <f t="shared" si="169"/>
        <v>0</v>
      </c>
      <c r="HX474" s="380"/>
    </row>
    <row r="475" spans="4:232">
      <c r="D475" s="192" t="s">
        <v>108</v>
      </c>
      <c r="N475" s="1679">
        <f>IF('Endfälliges Darlehen'!R13*100=0,0,'Endfälliges Darlehen'!W21/'Endfälliges Darlehen'!R13*100)</f>
        <v>0</v>
      </c>
      <c r="O475" s="1679"/>
      <c r="P475" s="192" t="s">
        <v>381</v>
      </c>
      <c r="Q475" s="1675">
        <f>IF(AY92&gt;0,1,0)</f>
        <v>0</v>
      </c>
      <c r="R475" s="1675"/>
      <c r="S475" s="192" t="str">
        <f>IF(AY92&gt;0,F92,"")</f>
        <v/>
      </c>
      <c r="X475" s="1722">
        <f>Q561</f>
        <v>0</v>
      </c>
      <c r="Y475" s="1615"/>
      <c r="Z475" s="1615"/>
      <c r="AA475" s="1615" t="str">
        <f>IF(AY92&gt;0,R92,"")</f>
        <v/>
      </c>
      <c r="AB475" s="1615"/>
      <c r="AC475" s="1615"/>
      <c r="AD475" s="1615"/>
      <c r="BD475" s="387">
        <f t="shared" si="170"/>
        <v>11</v>
      </c>
      <c r="BE475" s="382">
        <f>IF(BD475&gt;0,138,0)</f>
        <v>138</v>
      </c>
      <c r="BG475" s="383">
        <f>IF($BE475&gt;$R$66-3+($BR$335*12),138,0)</f>
        <v>138</v>
      </c>
      <c r="BH475" s="1754">
        <f t="shared" si="171"/>
        <v>0</v>
      </c>
      <c r="BI475" s="1754"/>
      <c r="BJ475" s="1754"/>
      <c r="BK475" s="1754"/>
      <c r="BL475" s="1754">
        <f t="shared" si="155"/>
        <v>0</v>
      </c>
      <c r="BM475" s="1754"/>
      <c r="BN475" s="1754"/>
      <c r="BO475" s="1754">
        <f t="shared" si="146"/>
        <v>0</v>
      </c>
      <c r="BP475" s="1754"/>
      <c r="BQ475" s="1754"/>
      <c r="BR475" s="1754">
        <f t="shared" si="172"/>
        <v>0</v>
      </c>
      <c r="BS475" s="1754"/>
      <c r="BT475" s="1754"/>
      <c r="BU475" s="1754"/>
      <c r="BW475" s="383">
        <f>IF($BE475&gt;$R$66-3+($CH$335*12),138,0)</f>
        <v>138</v>
      </c>
      <c r="BX475" s="1754">
        <f t="shared" si="137"/>
        <v>0</v>
      </c>
      <c r="BY475" s="1754"/>
      <c r="BZ475" s="1754"/>
      <c r="CA475" s="1754"/>
      <c r="CB475" s="1754">
        <f t="shared" si="156"/>
        <v>0</v>
      </c>
      <c r="CC475" s="1754"/>
      <c r="CD475" s="1754"/>
      <c r="CE475" s="1754">
        <f t="shared" si="147"/>
        <v>0</v>
      </c>
      <c r="CF475" s="1754"/>
      <c r="CG475" s="1754"/>
      <c r="CH475" s="1754">
        <f t="shared" si="148"/>
        <v>0</v>
      </c>
      <c r="CI475" s="1754"/>
      <c r="CJ475" s="1754"/>
      <c r="CK475" s="1754"/>
      <c r="CM475" s="383">
        <f>IF($BE475&gt;$R$66-3+($CX$335*12),138,0)</f>
        <v>138</v>
      </c>
      <c r="CN475" s="1754">
        <f t="shared" si="138"/>
        <v>0</v>
      </c>
      <c r="CO475" s="1754"/>
      <c r="CP475" s="1754"/>
      <c r="CQ475" s="1754"/>
      <c r="CR475" s="1754">
        <f t="shared" si="157"/>
        <v>0</v>
      </c>
      <c r="CS475" s="1754"/>
      <c r="CT475" s="1754"/>
      <c r="CU475" s="1754">
        <f t="shared" si="149"/>
        <v>0</v>
      </c>
      <c r="CV475" s="1754"/>
      <c r="CW475" s="1754"/>
      <c r="CX475" s="1754">
        <f t="shared" si="150"/>
        <v>0</v>
      </c>
      <c r="CY475" s="1754"/>
      <c r="CZ475" s="1754"/>
      <c r="DA475" s="1754"/>
      <c r="DC475" s="383">
        <f>IF($BE475&gt;$R$66-3,138,0)</f>
        <v>138</v>
      </c>
      <c r="DD475" s="1754">
        <f t="shared" si="139"/>
        <v>0</v>
      </c>
      <c r="DE475" s="1754"/>
      <c r="DF475" s="1754"/>
      <c r="DG475" s="1754"/>
      <c r="DH475" s="1754">
        <f t="shared" si="158"/>
        <v>0</v>
      </c>
      <c r="DI475" s="1754"/>
      <c r="DJ475" s="1754"/>
      <c r="DK475" s="1754">
        <f t="shared" si="151"/>
        <v>0</v>
      </c>
      <c r="DL475" s="1754"/>
      <c r="DM475" s="1754"/>
      <c r="DN475" s="1754"/>
      <c r="DP475" s="383">
        <f t="shared" si="159"/>
        <v>138</v>
      </c>
      <c r="DQ475" s="1754">
        <f t="shared" si="160"/>
        <v>0</v>
      </c>
      <c r="DR475" s="1754"/>
      <c r="DS475" s="1754"/>
      <c r="DT475" s="1754"/>
      <c r="DU475" s="1754">
        <f t="shared" si="177"/>
        <v>0</v>
      </c>
      <c r="DV475" s="1754"/>
      <c r="DW475" s="1754"/>
      <c r="DX475" s="1754">
        <f t="shared" si="114"/>
        <v>0</v>
      </c>
      <c r="DY475" s="1754"/>
      <c r="DZ475" s="1754"/>
      <c r="EA475" s="1754">
        <f t="shared" si="115"/>
        <v>0</v>
      </c>
      <c r="EB475" s="1754"/>
      <c r="EC475" s="1754"/>
      <c r="ED475" s="1754"/>
      <c r="EE475" s="384"/>
      <c r="EF475" s="1750">
        <f t="shared" si="152"/>
        <v>0</v>
      </c>
      <c r="EG475" s="1751"/>
      <c r="EH475" s="1751"/>
      <c r="EI475" s="1751"/>
      <c r="EJ475" s="1752"/>
      <c r="EL475" s="1750">
        <f t="shared" si="116"/>
        <v>0</v>
      </c>
      <c r="EM475" s="1751"/>
      <c r="EN475" s="1751"/>
      <c r="EO475" s="1751"/>
      <c r="EP475" s="1752"/>
      <c r="ER475" s="1750">
        <f t="shared" si="153"/>
        <v>0</v>
      </c>
      <c r="ES475" s="1751"/>
      <c r="ET475" s="1751"/>
      <c r="EU475" s="1751"/>
      <c r="EV475" s="1752"/>
      <c r="EX475" s="1750">
        <f>IF(BE475&gt;0,Einstrahlung!$K$20*Kalkulation!$P$62/100*$AY$29*POWER((100-$P$64)/100,BD475-1),0)</f>
        <v>0</v>
      </c>
      <c r="EY475" s="1751"/>
      <c r="EZ475" s="1751"/>
      <c r="FA475" s="1751"/>
      <c r="FB475" s="1752"/>
      <c r="FD475" s="1750">
        <f t="shared" si="161"/>
        <v>0</v>
      </c>
      <c r="FE475" s="1751"/>
      <c r="FF475" s="1751"/>
      <c r="FG475" s="1751"/>
      <c r="FH475" s="1752"/>
      <c r="FI475" s="385"/>
      <c r="FJ475" s="380">
        <f t="shared" si="173"/>
        <v>0</v>
      </c>
      <c r="FK475" s="385"/>
      <c r="FL475" s="380">
        <f t="shared" si="174"/>
        <v>0</v>
      </c>
      <c r="FM475" s="385"/>
      <c r="FN475" s="380">
        <f t="shared" si="162"/>
        <v>0</v>
      </c>
      <c r="FO475" s="962">
        <f t="shared" si="167"/>
        <v>267</v>
      </c>
      <c r="FP475" s="956">
        <f t="shared" si="154"/>
        <v>0.4</v>
      </c>
      <c r="FQ475" s="380">
        <f t="shared" si="178"/>
        <v>0</v>
      </c>
      <c r="FR475" s="626">
        <f t="shared" si="175"/>
        <v>1</v>
      </c>
      <c r="FT475" s="1819">
        <f t="shared" si="168"/>
        <v>0</v>
      </c>
      <c r="FU475" s="1820"/>
      <c r="FV475" s="1820"/>
      <c r="FW475" s="1820"/>
      <c r="FX475" s="1821"/>
      <c r="FY475" s="1819">
        <f t="shared" si="163"/>
        <v>0</v>
      </c>
      <c r="FZ475" s="1820"/>
      <c r="GA475" s="1820"/>
      <c r="GB475" s="1821"/>
      <c r="GC475" s="1825">
        <f t="shared" si="117"/>
        <v>0</v>
      </c>
      <c r="GD475" s="1826"/>
      <c r="GE475" s="1826"/>
      <c r="GF475" s="1827"/>
      <c r="GH475" s="1750">
        <f t="shared" si="164"/>
        <v>0</v>
      </c>
      <c r="GI475" s="1751"/>
      <c r="GJ475" s="1751"/>
      <c r="GK475" s="1752"/>
      <c r="GL475" s="1750">
        <f t="shared" si="165"/>
        <v>0</v>
      </c>
      <c r="GM475" s="1751"/>
      <c r="GN475" s="1751"/>
      <c r="GO475" s="1752"/>
      <c r="GP475" s="385"/>
      <c r="GQ475" s="1750">
        <f t="shared" si="166"/>
        <v>0</v>
      </c>
      <c r="GR475" s="1751"/>
      <c r="GS475" s="1751"/>
      <c r="GT475" s="1752"/>
      <c r="GU475" s="192">
        <f t="shared" si="176"/>
        <v>1</v>
      </c>
      <c r="GV475" s="192">
        <f>SUM($GU$337:GU475)</f>
        <v>131</v>
      </c>
      <c r="GW475" s="318"/>
      <c r="HG475" s="380">
        <f t="shared" si="169"/>
        <v>0</v>
      </c>
      <c r="HX475" s="380"/>
    </row>
    <row r="476" spans="4:232">
      <c r="D476" s="192" t="s">
        <v>109</v>
      </c>
      <c r="N476" s="1679">
        <f>'Endfälliges Darlehen'!T25</f>
        <v>0</v>
      </c>
      <c r="O476" s="1679"/>
      <c r="P476" s="192" t="s">
        <v>381</v>
      </c>
      <c r="Q476" s="1675">
        <f>IF(AY94&gt;0,1,0)</f>
        <v>0</v>
      </c>
      <c r="R476" s="1675"/>
      <c r="S476" s="192" t="str">
        <f>IF(AY94&gt;0,F94,"")</f>
        <v/>
      </c>
      <c r="X476" s="1722">
        <f>T561</f>
        <v>0</v>
      </c>
      <c r="Y476" s="1615"/>
      <c r="Z476" s="1615"/>
      <c r="AA476" s="1615" t="str">
        <f>IF(AY94&gt;0,R94,"")</f>
        <v/>
      </c>
      <c r="AB476" s="1615"/>
      <c r="AC476" s="1615"/>
      <c r="AD476" s="1615"/>
      <c r="BD476" s="387">
        <f t="shared" si="170"/>
        <v>11</v>
      </c>
      <c r="BE476" s="382">
        <f>IF(BD476&gt;0,139,0)</f>
        <v>139</v>
      </c>
      <c r="BG476" s="383">
        <f>IF($BE476&gt;$R$66-3+($BR$335*12),139,0)</f>
        <v>139</v>
      </c>
      <c r="BH476" s="1754">
        <f t="shared" si="171"/>
        <v>0</v>
      </c>
      <c r="BI476" s="1754"/>
      <c r="BJ476" s="1754"/>
      <c r="BK476" s="1754"/>
      <c r="BL476" s="1754">
        <f t="shared" si="155"/>
        <v>0</v>
      </c>
      <c r="BM476" s="1754"/>
      <c r="BN476" s="1754"/>
      <c r="BO476" s="1754">
        <f t="shared" si="146"/>
        <v>0</v>
      </c>
      <c r="BP476" s="1754"/>
      <c r="BQ476" s="1754"/>
      <c r="BR476" s="1754">
        <f t="shared" si="172"/>
        <v>0</v>
      </c>
      <c r="BS476" s="1754"/>
      <c r="BT476" s="1754"/>
      <c r="BU476" s="1754"/>
      <c r="BW476" s="383">
        <f>IF($BE476&gt;$R$66-3+($CH$335*12),139,0)</f>
        <v>139</v>
      </c>
      <c r="BX476" s="1754">
        <f t="shared" si="137"/>
        <v>0</v>
      </c>
      <c r="BY476" s="1754"/>
      <c r="BZ476" s="1754"/>
      <c r="CA476" s="1754"/>
      <c r="CB476" s="1754">
        <f t="shared" si="156"/>
        <v>0</v>
      </c>
      <c r="CC476" s="1754"/>
      <c r="CD476" s="1754"/>
      <c r="CE476" s="1754">
        <f t="shared" si="147"/>
        <v>0</v>
      </c>
      <c r="CF476" s="1754"/>
      <c r="CG476" s="1754"/>
      <c r="CH476" s="1754">
        <f t="shared" si="148"/>
        <v>0</v>
      </c>
      <c r="CI476" s="1754"/>
      <c r="CJ476" s="1754"/>
      <c r="CK476" s="1754"/>
      <c r="CM476" s="383">
        <f>IF($BE476&gt;$R$66-3+($CX$335*12),139,0)</f>
        <v>139</v>
      </c>
      <c r="CN476" s="1754">
        <f t="shared" si="138"/>
        <v>0</v>
      </c>
      <c r="CO476" s="1754"/>
      <c r="CP476" s="1754"/>
      <c r="CQ476" s="1754"/>
      <c r="CR476" s="1754">
        <f t="shared" si="157"/>
        <v>0</v>
      </c>
      <c r="CS476" s="1754"/>
      <c r="CT476" s="1754"/>
      <c r="CU476" s="1754">
        <f t="shared" si="149"/>
        <v>0</v>
      </c>
      <c r="CV476" s="1754"/>
      <c r="CW476" s="1754"/>
      <c r="CX476" s="1754">
        <f t="shared" si="150"/>
        <v>0</v>
      </c>
      <c r="CY476" s="1754"/>
      <c r="CZ476" s="1754"/>
      <c r="DA476" s="1754"/>
      <c r="DC476" s="383">
        <f>IF($BE476&gt;$R$66-3,139,0)</f>
        <v>139</v>
      </c>
      <c r="DD476" s="1754">
        <f t="shared" si="139"/>
        <v>0</v>
      </c>
      <c r="DE476" s="1754"/>
      <c r="DF476" s="1754"/>
      <c r="DG476" s="1754"/>
      <c r="DH476" s="1754">
        <f t="shared" si="158"/>
        <v>0</v>
      </c>
      <c r="DI476" s="1754"/>
      <c r="DJ476" s="1754"/>
      <c r="DK476" s="1754">
        <f t="shared" si="151"/>
        <v>0</v>
      </c>
      <c r="DL476" s="1754"/>
      <c r="DM476" s="1754"/>
      <c r="DN476" s="1754"/>
      <c r="DP476" s="383">
        <f t="shared" si="159"/>
        <v>139</v>
      </c>
      <c r="DQ476" s="1754">
        <f t="shared" si="160"/>
        <v>0</v>
      </c>
      <c r="DR476" s="1754"/>
      <c r="DS476" s="1754"/>
      <c r="DT476" s="1754"/>
      <c r="DU476" s="1754">
        <f t="shared" si="177"/>
        <v>0</v>
      </c>
      <c r="DV476" s="1754"/>
      <c r="DW476" s="1754"/>
      <c r="DX476" s="1754">
        <f t="shared" si="114"/>
        <v>0</v>
      </c>
      <c r="DY476" s="1754"/>
      <c r="DZ476" s="1754"/>
      <c r="EA476" s="1754">
        <f t="shared" si="115"/>
        <v>0</v>
      </c>
      <c r="EB476" s="1754"/>
      <c r="EC476" s="1754"/>
      <c r="ED476" s="1754"/>
      <c r="EE476" s="384"/>
      <c r="EF476" s="1750">
        <f t="shared" si="152"/>
        <v>0</v>
      </c>
      <c r="EG476" s="1751"/>
      <c r="EH476" s="1751"/>
      <c r="EI476" s="1751"/>
      <c r="EJ476" s="1752"/>
      <c r="EL476" s="1750">
        <f t="shared" si="116"/>
        <v>0</v>
      </c>
      <c r="EM476" s="1751"/>
      <c r="EN476" s="1751"/>
      <c r="EO476" s="1751"/>
      <c r="EP476" s="1752"/>
      <c r="ER476" s="1750">
        <f t="shared" si="153"/>
        <v>0</v>
      </c>
      <c r="ES476" s="1751"/>
      <c r="ET476" s="1751"/>
      <c r="EU476" s="1751"/>
      <c r="EV476" s="1752"/>
      <c r="EX476" s="1750">
        <f>IF(BE476&gt;0,Einstrahlung!$K$22*Kalkulation!$P$62/100*$AY$29*POWER((100-$P$64)/100,BD476-1),0)</f>
        <v>0</v>
      </c>
      <c r="EY476" s="1751"/>
      <c r="EZ476" s="1751"/>
      <c r="FA476" s="1751"/>
      <c r="FB476" s="1752"/>
      <c r="FD476" s="1750">
        <f t="shared" si="161"/>
        <v>0</v>
      </c>
      <c r="FE476" s="1751"/>
      <c r="FF476" s="1751"/>
      <c r="FG476" s="1751"/>
      <c r="FH476" s="1752"/>
      <c r="FI476" s="385"/>
      <c r="FJ476" s="380">
        <f t="shared" si="173"/>
        <v>0</v>
      </c>
      <c r="FK476" s="385"/>
      <c r="FL476" s="380">
        <f t="shared" si="174"/>
        <v>0</v>
      </c>
      <c r="FM476" s="385"/>
      <c r="FN476" s="380">
        <f t="shared" si="162"/>
        <v>0</v>
      </c>
      <c r="FO476" s="962">
        <f t="shared" si="167"/>
        <v>268</v>
      </c>
      <c r="FP476" s="956">
        <f t="shared" si="154"/>
        <v>0.4</v>
      </c>
      <c r="FQ476" s="380">
        <f t="shared" si="178"/>
        <v>0</v>
      </c>
      <c r="FR476" s="626">
        <f t="shared" si="175"/>
        <v>1</v>
      </c>
      <c r="FT476" s="1819">
        <f t="shared" si="168"/>
        <v>0</v>
      </c>
      <c r="FU476" s="1820"/>
      <c r="FV476" s="1820"/>
      <c r="FW476" s="1820"/>
      <c r="FX476" s="1821"/>
      <c r="FY476" s="1819">
        <f t="shared" si="163"/>
        <v>0</v>
      </c>
      <c r="FZ476" s="1820"/>
      <c r="GA476" s="1820"/>
      <c r="GB476" s="1821"/>
      <c r="GC476" s="1825">
        <f t="shared" si="117"/>
        <v>0</v>
      </c>
      <c r="GD476" s="1826"/>
      <c r="GE476" s="1826"/>
      <c r="GF476" s="1827"/>
      <c r="GH476" s="1750">
        <f t="shared" si="164"/>
        <v>0</v>
      </c>
      <c r="GI476" s="1751"/>
      <c r="GJ476" s="1751"/>
      <c r="GK476" s="1752"/>
      <c r="GL476" s="1750">
        <f t="shared" si="165"/>
        <v>0</v>
      </c>
      <c r="GM476" s="1751"/>
      <c r="GN476" s="1751"/>
      <c r="GO476" s="1752"/>
      <c r="GP476" s="385"/>
      <c r="GQ476" s="1750">
        <f t="shared" si="166"/>
        <v>0</v>
      </c>
      <c r="GR476" s="1751"/>
      <c r="GS476" s="1751"/>
      <c r="GT476" s="1752"/>
      <c r="GU476" s="192">
        <f t="shared" si="176"/>
        <v>1</v>
      </c>
      <c r="GV476" s="192">
        <f>SUM($GU$337:GU476)</f>
        <v>132</v>
      </c>
      <c r="GW476" s="318"/>
      <c r="HG476" s="380">
        <f t="shared" si="169"/>
        <v>0</v>
      </c>
      <c r="HX476" s="380"/>
    </row>
    <row r="477" spans="4:232">
      <c r="D477" s="192" t="s">
        <v>110</v>
      </c>
      <c r="N477" s="1679">
        <f>'Endfälliges Darlehen'!BZ123</f>
        <v>0</v>
      </c>
      <c r="O477" s="1679"/>
      <c r="Q477" s="1675">
        <f>IF(AY96&gt;0,1,0)</f>
        <v>0</v>
      </c>
      <c r="R477" s="1675"/>
      <c r="S477" s="192" t="str">
        <f>IF(AY96&gt;0,F96,"")</f>
        <v/>
      </c>
      <c r="X477" s="1722">
        <f>W561</f>
        <v>0</v>
      </c>
      <c r="Y477" s="1615"/>
      <c r="Z477" s="1615"/>
      <c r="AA477" s="1615" t="str">
        <f>IF(AY96&gt;0,R96,"")</f>
        <v/>
      </c>
      <c r="AB477" s="1615"/>
      <c r="AC477" s="1615"/>
      <c r="AD477" s="1615"/>
      <c r="BD477" s="387">
        <f t="shared" si="170"/>
        <v>11</v>
      </c>
      <c r="BE477" s="382">
        <f>IF(BD477&gt;0,140,0)</f>
        <v>140</v>
      </c>
      <c r="BG477" s="383">
        <f>IF($BE477&gt;$R$66-3+($BR$335*12),140,0)</f>
        <v>140</v>
      </c>
      <c r="BH477" s="1754">
        <f t="shared" si="171"/>
        <v>0</v>
      </c>
      <c r="BI477" s="1754"/>
      <c r="BJ477" s="1754"/>
      <c r="BK477" s="1754"/>
      <c r="BL477" s="1754">
        <f t="shared" si="155"/>
        <v>0</v>
      </c>
      <c r="BM477" s="1754"/>
      <c r="BN477" s="1754"/>
      <c r="BO477" s="1754">
        <f t="shared" si="146"/>
        <v>0</v>
      </c>
      <c r="BP477" s="1754"/>
      <c r="BQ477" s="1754"/>
      <c r="BR477" s="1754">
        <f t="shared" si="172"/>
        <v>0</v>
      </c>
      <c r="BS477" s="1754"/>
      <c r="BT477" s="1754"/>
      <c r="BU477" s="1754"/>
      <c r="BW477" s="383">
        <f>IF($BE477&gt;$R$66-3+($CH$335*12),140,0)</f>
        <v>140</v>
      </c>
      <c r="BX477" s="1754">
        <f t="shared" si="137"/>
        <v>0</v>
      </c>
      <c r="BY477" s="1754"/>
      <c r="BZ477" s="1754"/>
      <c r="CA477" s="1754"/>
      <c r="CB477" s="1754">
        <f t="shared" si="156"/>
        <v>0</v>
      </c>
      <c r="CC477" s="1754"/>
      <c r="CD477" s="1754"/>
      <c r="CE477" s="1754">
        <f t="shared" si="147"/>
        <v>0</v>
      </c>
      <c r="CF477" s="1754"/>
      <c r="CG477" s="1754"/>
      <c r="CH477" s="1754">
        <f t="shared" si="148"/>
        <v>0</v>
      </c>
      <c r="CI477" s="1754"/>
      <c r="CJ477" s="1754"/>
      <c r="CK477" s="1754"/>
      <c r="CM477" s="383">
        <f>IF($BE477&gt;$R$66-3+($CX$335*12),140,0)</f>
        <v>140</v>
      </c>
      <c r="CN477" s="1754">
        <f t="shared" si="138"/>
        <v>0</v>
      </c>
      <c r="CO477" s="1754"/>
      <c r="CP477" s="1754"/>
      <c r="CQ477" s="1754"/>
      <c r="CR477" s="1754">
        <f t="shared" si="157"/>
        <v>0</v>
      </c>
      <c r="CS477" s="1754"/>
      <c r="CT477" s="1754"/>
      <c r="CU477" s="1754">
        <f t="shared" si="149"/>
        <v>0</v>
      </c>
      <c r="CV477" s="1754"/>
      <c r="CW477" s="1754"/>
      <c r="CX477" s="1754">
        <f t="shared" si="150"/>
        <v>0</v>
      </c>
      <c r="CY477" s="1754"/>
      <c r="CZ477" s="1754"/>
      <c r="DA477" s="1754"/>
      <c r="DC477" s="383">
        <f>IF($BE477&gt;$R$66-3,140,0)</f>
        <v>140</v>
      </c>
      <c r="DD477" s="1754">
        <f t="shared" si="139"/>
        <v>0</v>
      </c>
      <c r="DE477" s="1754"/>
      <c r="DF477" s="1754"/>
      <c r="DG477" s="1754"/>
      <c r="DH477" s="1754">
        <f t="shared" si="158"/>
        <v>0</v>
      </c>
      <c r="DI477" s="1754"/>
      <c r="DJ477" s="1754"/>
      <c r="DK477" s="1754">
        <f t="shared" si="151"/>
        <v>0</v>
      </c>
      <c r="DL477" s="1754"/>
      <c r="DM477" s="1754"/>
      <c r="DN477" s="1754"/>
      <c r="DP477" s="383">
        <f t="shared" si="159"/>
        <v>140</v>
      </c>
      <c r="DQ477" s="1754">
        <f t="shared" si="160"/>
        <v>0</v>
      </c>
      <c r="DR477" s="1754"/>
      <c r="DS477" s="1754"/>
      <c r="DT477" s="1754"/>
      <c r="DU477" s="1754">
        <f t="shared" si="177"/>
        <v>0</v>
      </c>
      <c r="DV477" s="1754"/>
      <c r="DW477" s="1754"/>
      <c r="DX477" s="1754">
        <f t="shared" si="114"/>
        <v>0</v>
      </c>
      <c r="DY477" s="1754"/>
      <c r="DZ477" s="1754"/>
      <c r="EA477" s="1754">
        <f t="shared" si="115"/>
        <v>0</v>
      </c>
      <c r="EB477" s="1754"/>
      <c r="EC477" s="1754"/>
      <c r="ED477" s="1754"/>
      <c r="EE477" s="384"/>
      <c r="EF477" s="1750">
        <f t="shared" si="152"/>
        <v>0</v>
      </c>
      <c r="EG477" s="1751"/>
      <c r="EH477" s="1751"/>
      <c r="EI477" s="1751"/>
      <c r="EJ477" s="1752"/>
      <c r="EL477" s="1750">
        <f t="shared" si="116"/>
        <v>0</v>
      </c>
      <c r="EM477" s="1751"/>
      <c r="EN477" s="1751"/>
      <c r="EO477" s="1751"/>
      <c r="EP477" s="1752"/>
      <c r="ER477" s="1750">
        <f t="shared" si="153"/>
        <v>0</v>
      </c>
      <c r="ES477" s="1751"/>
      <c r="ET477" s="1751"/>
      <c r="EU477" s="1751"/>
      <c r="EV477" s="1752"/>
      <c r="EX477" s="1750">
        <f>IF(BE477&gt;0,Einstrahlung!$K$24*Kalkulation!$P$62/100*$AY$29*POWER((100-$P$64)/100,BD477-1),0)</f>
        <v>0</v>
      </c>
      <c r="EY477" s="1751"/>
      <c r="EZ477" s="1751"/>
      <c r="FA477" s="1751"/>
      <c r="FB477" s="1752"/>
      <c r="FD477" s="1750">
        <f t="shared" si="161"/>
        <v>0</v>
      </c>
      <c r="FE477" s="1751"/>
      <c r="FF477" s="1751"/>
      <c r="FG477" s="1751"/>
      <c r="FH477" s="1752"/>
      <c r="FI477" s="385"/>
      <c r="FJ477" s="380">
        <f t="shared" si="173"/>
        <v>0</v>
      </c>
      <c r="FK477" s="385"/>
      <c r="FL477" s="380">
        <f t="shared" si="174"/>
        <v>0</v>
      </c>
      <c r="FM477" s="385"/>
      <c r="FN477" s="380">
        <f t="shared" si="162"/>
        <v>0</v>
      </c>
      <c r="FO477" s="962">
        <f t="shared" si="167"/>
        <v>269</v>
      </c>
      <c r="FP477" s="956">
        <f t="shared" si="154"/>
        <v>0.4</v>
      </c>
      <c r="FQ477" s="380">
        <f t="shared" si="178"/>
        <v>0</v>
      </c>
      <c r="FR477" s="626">
        <f t="shared" si="175"/>
        <v>1</v>
      </c>
      <c r="FT477" s="1819">
        <f t="shared" si="168"/>
        <v>0</v>
      </c>
      <c r="FU477" s="1820"/>
      <c r="FV477" s="1820"/>
      <c r="FW477" s="1820"/>
      <c r="FX477" s="1821"/>
      <c r="FY477" s="1819">
        <f t="shared" si="163"/>
        <v>0</v>
      </c>
      <c r="FZ477" s="1820"/>
      <c r="GA477" s="1820"/>
      <c r="GB477" s="1821"/>
      <c r="GC477" s="1825">
        <f t="shared" si="117"/>
        <v>0</v>
      </c>
      <c r="GD477" s="1826"/>
      <c r="GE477" s="1826"/>
      <c r="GF477" s="1827"/>
      <c r="GH477" s="1750">
        <f t="shared" si="164"/>
        <v>0</v>
      </c>
      <c r="GI477" s="1751"/>
      <c r="GJ477" s="1751"/>
      <c r="GK477" s="1752"/>
      <c r="GL477" s="1750">
        <f t="shared" si="165"/>
        <v>0</v>
      </c>
      <c r="GM477" s="1751"/>
      <c r="GN477" s="1751"/>
      <c r="GO477" s="1752"/>
      <c r="GP477" s="385"/>
      <c r="GQ477" s="1750">
        <f t="shared" si="166"/>
        <v>0</v>
      </c>
      <c r="GR477" s="1751"/>
      <c r="GS477" s="1751"/>
      <c r="GT477" s="1752"/>
      <c r="GU477" s="192">
        <f t="shared" si="176"/>
        <v>1</v>
      </c>
      <c r="GV477" s="192">
        <f>SUM($GU$337:GU477)</f>
        <v>133</v>
      </c>
      <c r="GW477" s="318"/>
      <c r="HG477" s="380">
        <f t="shared" si="169"/>
        <v>0</v>
      </c>
      <c r="HX477" s="380"/>
    </row>
    <row r="478" spans="4:232">
      <c r="Q478" s="1675">
        <f>IF(AA102&gt;0,1,0)</f>
        <v>0</v>
      </c>
      <c r="R478" s="1675"/>
      <c r="S478" s="192" t="str">
        <f>IF(AA102&gt;0,'Endfälliges Darlehen'!D15,"")</f>
        <v/>
      </c>
      <c r="X478" s="1780">
        <f>I545</f>
        <v>0</v>
      </c>
      <c r="Y478" s="1781"/>
      <c r="Z478" s="1781"/>
      <c r="AA478" s="1615" t="str">
        <f>IF(AA102&gt;0,"E","")</f>
        <v/>
      </c>
      <c r="AB478" s="1615"/>
      <c r="AC478" s="1615"/>
      <c r="AD478" s="1615"/>
      <c r="BD478" s="387">
        <f t="shared" si="170"/>
        <v>11</v>
      </c>
      <c r="BE478" s="382">
        <f>IF(BD478&gt;0,141,0)</f>
        <v>141</v>
      </c>
      <c r="BG478" s="383">
        <f>IF($BE478&gt;$R$66-3+($BR$335*12),141,0)</f>
        <v>141</v>
      </c>
      <c r="BH478" s="1754">
        <f t="shared" si="171"/>
        <v>0</v>
      </c>
      <c r="BI478" s="1754"/>
      <c r="BJ478" s="1754"/>
      <c r="BK478" s="1754"/>
      <c r="BL478" s="1754">
        <f t="shared" si="155"/>
        <v>0</v>
      </c>
      <c r="BM478" s="1754"/>
      <c r="BN478" s="1754"/>
      <c r="BO478" s="1754">
        <f t="shared" si="146"/>
        <v>0</v>
      </c>
      <c r="BP478" s="1754"/>
      <c r="BQ478" s="1754"/>
      <c r="BR478" s="1754">
        <f t="shared" si="172"/>
        <v>0</v>
      </c>
      <c r="BS478" s="1754"/>
      <c r="BT478" s="1754"/>
      <c r="BU478" s="1754"/>
      <c r="BW478" s="383">
        <f>IF($BE478&gt;$R$66-3+($CH$335*12),141,0)</f>
        <v>141</v>
      </c>
      <c r="BX478" s="1754">
        <f t="shared" si="137"/>
        <v>0</v>
      </c>
      <c r="BY478" s="1754"/>
      <c r="BZ478" s="1754"/>
      <c r="CA478" s="1754"/>
      <c r="CB478" s="1754">
        <f t="shared" si="156"/>
        <v>0</v>
      </c>
      <c r="CC478" s="1754"/>
      <c r="CD478" s="1754"/>
      <c r="CE478" s="1754">
        <f t="shared" si="147"/>
        <v>0</v>
      </c>
      <c r="CF478" s="1754"/>
      <c r="CG478" s="1754"/>
      <c r="CH478" s="1754">
        <f t="shared" si="148"/>
        <v>0</v>
      </c>
      <c r="CI478" s="1754"/>
      <c r="CJ478" s="1754"/>
      <c r="CK478" s="1754"/>
      <c r="CM478" s="383">
        <f>IF($BE478&gt;$R$66-3+($CX$335*12),141,0)</f>
        <v>141</v>
      </c>
      <c r="CN478" s="1754">
        <f t="shared" si="138"/>
        <v>0</v>
      </c>
      <c r="CO478" s="1754"/>
      <c r="CP478" s="1754"/>
      <c r="CQ478" s="1754"/>
      <c r="CR478" s="1754">
        <f t="shared" si="157"/>
        <v>0</v>
      </c>
      <c r="CS478" s="1754"/>
      <c r="CT478" s="1754"/>
      <c r="CU478" s="1754">
        <f t="shared" si="149"/>
        <v>0</v>
      </c>
      <c r="CV478" s="1754"/>
      <c r="CW478" s="1754"/>
      <c r="CX478" s="1754">
        <f t="shared" si="150"/>
        <v>0</v>
      </c>
      <c r="CY478" s="1754"/>
      <c r="CZ478" s="1754"/>
      <c r="DA478" s="1754"/>
      <c r="DC478" s="383">
        <f>IF($BE478&gt;$R$66-3,141,0)</f>
        <v>141</v>
      </c>
      <c r="DD478" s="1754">
        <f t="shared" si="139"/>
        <v>0</v>
      </c>
      <c r="DE478" s="1754"/>
      <c r="DF478" s="1754"/>
      <c r="DG478" s="1754"/>
      <c r="DH478" s="1754">
        <f t="shared" si="158"/>
        <v>0</v>
      </c>
      <c r="DI478" s="1754"/>
      <c r="DJ478" s="1754"/>
      <c r="DK478" s="1754">
        <f t="shared" si="151"/>
        <v>0</v>
      </c>
      <c r="DL478" s="1754"/>
      <c r="DM478" s="1754"/>
      <c r="DN478" s="1754"/>
      <c r="DP478" s="383">
        <f t="shared" si="159"/>
        <v>141</v>
      </c>
      <c r="DQ478" s="1754">
        <f t="shared" si="160"/>
        <v>0</v>
      </c>
      <c r="DR478" s="1754"/>
      <c r="DS478" s="1754"/>
      <c r="DT478" s="1754"/>
      <c r="DU478" s="1754">
        <f t="shared" si="177"/>
        <v>0</v>
      </c>
      <c r="DV478" s="1754"/>
      <c r="DW478" s="1754"/>
      <c r="DX478" s="1754">
        <f t="shared" ref="DX478:DX541" si="179">(DQ478+DU478)*($DR$335/100)/12</f>
        <v>0</v>
      </c>
      <c r="DY478" s="1754"/>
      <c r="DZ478" s="1754"/>
      <c r="EA478" s="1754">
        <f t="shared" ref="EA478:EA541" si="180">DQ478+DU478+DX478</f>
        <v>0</v>
      </c>
      <c r="EB478" s="1754"/>
      <c r="EC478" s="1754"/>
      <c r="ED478" s="1754"/>
      <c r="EE478" s="384"/>
      <c r="EF478" s="1750">
        <f t="shared" si="152"/>
        <v>0</v>
      </c>
      <c r="EG478" s="1751"/>
      <c r="EH478" s="1751"/>
      <c r="EI478" s="1751"/>
      <c r="EJ478" s="1752"/>
      <c r="EL478" s="1750">
        <f t="shared" si="116"/>
        <v>0</v>
      </c>
      <c r="EM478" s="1751"/>
      <c r="EN478" s="1751"/>
      <c r="EO478" s="1751"/>
      <c r="EP478" s="1752"/>
      <c r="ER478" s="1750">
        <f t="shared" si="153"/>
        <v>0</v>
      </c>
      <c r="ES478" s="1751"/>
      <c r="ET478" s="1751"/>
      <c r="EU478" s="1751"/>
      <c r="EV478" s="1752"/>
      <c r="EX478" s="1750">
        <f>IF(BE478&gt;0,Einstrahlung!$K$26*Kalkulation!$P$62/100*$AY$29*POWER((100-$P$64)/100,BD478-1),0)</f>
        <v>0</v>
      </c>
      <c r="EY478" s="1751"/>
      <c r="EZ478" s="1751"/>
      <c r="FA478" s="1751"/>
      <c r="FB478" s="1752"/>
      <c r="FD478" s="1750">
        <f t="shared" si="161"/>
        <v>0</v>
      </c>
      <c r="FE478" s="1751"/>
      <c r="FF478" s="1751"/>
      <c r="FG478" s="1751"/>
      <c r="FH478" s="1752"/>
      <c r="FI478" s="385"/>
      <c r="FJ478" s="380">
        <f t="shared" si="173"/>
        <v>0</v>
      </c>
      <c r="FK478" s="385"/>
      <c r="FL478" s="380">
        <f t="shared" si="174"/>
        <v>0</v>
      </c>
      <c r="FM478" s="385"/>
      <c r="FN478" s="380">
        <f t="shared" si="162"/>
        <v>0</v>
      </c>
      <c r="FO478" s="962">
        <f t="shared" si="167"/>
        <v>270</v>
      </c>
      <c r="FP478" s="956">
        <f t="shared" si="154"/>
        <v>0.4</v>
      </c>
      <c r="FQ478" s="380">
        <f t="shared" si="178"/>
        <v>0</v>
      </c>
      <c r="FR478" s="626">
        <f t="shared" si="175"/>
        <v>1</v>
      </c>
      <c r="FT478" s="1819">
        <f t="shared" si="168"/>
        <v>0</v>
      </c>
      <c r="FU478" s="1820"/>
      <c r="FV478" s="1820"/>
      <c r="FW478" s="1820"/>
      <c r="FX478" s="1821"/>
      <c r="FY478" s="1819">
        <f t="shared" si="163"/>
        <v>0</v>
      </c>
      <c r="FZ478" s="1820"/>
      <c r="GA478" s="1820"/>
      <c r="GB478" s="1821"/>
      <c r="GC478" s="1825">
        <f t="shared" si="117"/>
        <v>0</v>
      </c>
      <c r="GD478" s="1826"/>
      <c r="GE478" s="1826"/>
      <c r="GF478" s="1827"/>
      <c r="GH478" s="1750">
        <f t="shared" si="164"/>
        <v>0</v>
      </c>
      <c r="GI478" s="1751"/>
      <c r="GJ478" s="1751"/>
      <c r="GK478" s="1752"/>
      <c r="GL478" s="1750">
        <f t="shared" si="165"/>
        <v>0</v>
      </c>
      <c r="GM478" s="1751"/>
      <c r="GN478" s="1751"/>
      <c r="GO478" s="1752"/>
      <c r="GP478" s="385"/>
      <c r="GQ478" s="1750">
        <f t="shared" si="166"/>
        <v>0</v>
      </c>
      <c r="GR478" s="1751"/>
      <c r="GS478" s="1751"/>
      <c r="GT478" s="1752"/>
      <c r="GU478" s="192">
        <f t="shared" si="176"/>
        <v>1</v>
      </c>
      <c r="GV478" s="192">
        <f>SUM($GU$337:GU478)</f>
        <v>134</v>
      </c>
      <c r="GW478" s="318"/>
      <c r="HG478" s="380">
        <f t="shared" si="169"/>
        <v>0</v>
      </c>
      <c r="HX478" s="380"/>
    </row>
    <row r="479" spans="4:232">
      <c r="D479" s="396" t="s">
        <v>128</v>
      </c>
      <c r="E479" s="397"/>
      <c r="F479" s="397"/>
      <c r="G479" s="397"/>
      <c r="H479" s="397"/>
      <c r="I479" s="397"/>
      <c r="J479" s="397"/>
      <c r="K479" s="397"/>
      <c r="L479" s="397"/>
      <c r="M479" s="397"/>
      <c r="N479" s="397"/>
      <c r="O479" s="399"/>
      <c r="P479" s="247"/>
      <c r="Q479" s="1675">
        <f>SUM(Q475:R478)</f>
        <v>0</v>
      </c>
      <c r="R479" s="1675"/>
      <c r="X479" s="1784">
        <f>ROUND(SUM(X475:Z478),0)</f>
        <v>0</v>
      </c>
      <c r="Y479" s="1785"/>
      <c r="Z479" s="1785"/>
      <c r="BD479" s="387">
        <f t="shared" si="170"/>
        <v>11</v>
      </c>
      <c r="BE479" s="382">
        <f>IF(BD479&gt;0,142,0)</f>
        <v>142</v>
      </c>
      <c r="BG479" s="383">
        <f>IF($BE479&gt;$R$66-3+($BR$335*12),142,0)</f>
        <v>142</v>
      </c>
      <c r="BH479" s="1754">
        <f t="shared" si="171"/>
        <v>0</v>
      </c>
      <c r="BI479" s="1754"/>
      <c r="BJ479" s="1754"/>
      <c r="BK479" s="1754"/>
      <c r="BL479" s="1754">
        <f t="shared" si="155"/>
        <v>0</v>
      </c>
      <c r="BM479" s="1754"/>
      <c r="BN479" s="1754"/>
      <c r="BO479" s="1754">
        <f t="shared" si="146"/>
        <v>0</v>
      </c>
      <c r="BP479" s="1754"/>
      <c r="BQ479" s="1754"/>
      <c r="BR479" s="1754">
        <f t="shared" si="172"/>
        <v>0</v>
      </c>
      <c r="BS479" s="1754"/>
      <c r="BT479" s="1754"/>
      <c r="BU479" s="1754"/>
      <c r="BW479" s="383">
        <f>IF($BE479&gt;$R$66-3+($CH$335*12),142,0)</f>
        <v>142</v>
      </c>
      <c r="BX479" s="1754">
        <f t="shared" si="137"/>
        <v>0</v>
      </c>
      <c r="BY479" s="1754"/>
      <c r="BZ479" s="1754"/>
      <c r="CA479" s="1754"/>
      <c r="CB479" s="1754">
        <f t="shared" si="156"/>
        <v>0</v>
      </c>
      <c r="CC479" s="1754"/>
      <c r="CD479" s="1754"/>
      <c r="CE479" s="1754">
        <f t="shared" si="147"/>
        <v>0</v>
      </c>
      <c r="CF479" s="1754"/>
      <c r="CG479" s="1754"/>
      <c r="CH479" s="1754">
        <f t="shared" si="148"/>
        <v>0</v>
      </c>
      <c r="CI479" s="1754"/>
      <c r="CJ479" s="1754"/>
      <c r="CK479" s="1754"/>
      <c r="CM479" s="383">
        <f>IF($BE479&gt;$R$66-3+($CX$335*12),142,0)</f>
        <v>142</v>
      </c>
      <c r="CN479" s="1754">
        <f t="shared" si="138"/>
        <v>0</v>
      </c>
      <c r="CO479" s="1754"/>
      <c r="CP479" s="1754"/>
      <c r="CQ479" s="1754"/>
      <c r="CR479" s="1754">
        <f t="shared" si="157"/>
        <v>0</v>
      </c>
      <c r="CS479" s="1754"/>
      <c r="CT479" s="1754"/>
      <c r="CU479" s="1754">
        <f t="shared" si="149"/>
        <v>0</v>
      </c>
      <c r="CV479" s="1754"/>
      <c r="CW479" s="1754"/>
      <c r="CX479" s="1754">
        <f t="shared" si="150"/>
        <v>0</v>
      </c>
      <c r="CY479" s="1754"/>
      <c r="CZ479" s="1754"/>
      <c r="DA479" s="1754"/>
      <c r="DC479" s="383">
        <f>IF($BE479&gt;$R$66-3,142,0)</f>
        <v>142</v>
      </c>
      <c r="DD479" s="1754">
        <f t="shared" si="139"/>
        <v>0</v>
      </c>
      <c r="DE479" s="1754"/>
      <c r="DF479" s="1754"/>
      <c r="DG479" s="1754"/>
      <c r="DH479" s="1754">
        <f t="shared" si="158"/>
        <v>0</v>
      </c>
      <c r="DI479" s="1754"/>
      <c r="DJ479" s="1754"/>
      <c r="DK479" s="1754">
        <f t="shared" si="151"/>
        <v>0</v>
      </c>
      <c r="DL479" s="1754"/>
      <c r="DM479" s="1754"/>
      <c r="DN479" s="1754"/>
      <c r="DP479" s="383">
        <f t="shared" si="159"/>
        <v>142</v>
      </c>
      <c r="DQ479" s="1754">
        <f t="shared" si="160"/>
        <v>0</v>
      </c>
      <c r="DR479" s="1754"/>
      <c r="DS479" s="1754"/>
      <c r="DT479" s="1754"/>
      <c r="DU479" s="1754">
        <f t="shared" si="177"/>
        <v>0</v>
      </c>
      <c r="DV479" s="1754"/>
      <c r="DW479" s="1754"/>
      <c r="DX479" s="1754">
        <f t="shared" si="179"/>
        <v>0</v>
      </c>
      <c r="DY479" s="1754"/>
      <c r="DZ479" s="1754"/>
      <c r="EA479" s="1754">
        <f t="shared" si="180"/>
        <v>0</v>
      </c>
      <c r="EB479" s="1754"/>
      <c r="EC479" s="1754"/>
      <c r="ED479" s="1754"/>
      <c r="EE479" s="384"/>
      <c r="EF479" s="1750">
        <f t="shared" si="152"/>
        <v>0</v>
      </c>
      <c r="EG479" s="1751"/>
      <c r="EH479" s="1751"/>
      <c r="EI479" s="1751"/>
      <c r="EJ479" s="1752"/>
      <c r="EL479" s="1750">
        <f t="shared" ref="EL479:EL542" si="181">EL467</f>
        <v>0</v>
      </c>
      <c r="EM479" s="1751"/>
      <c r="EN479" s="1751"/>
      <c r="EO479" s="1751"/>
      <c r="EP479" s="1752"/>
      <c r="ER479" s="1750">
        <f t="shared" si="153"/>
        <v>0</v>
      </c>
      <c r="ES479" s="1751"/>
      <c r="ET479" s="1751"/>
      <c r="EU479" s="1751"/>
      <c r="EV479" s="1752"/>
      <c r="EX479" s="1750">
        <f>IF(BE479&gt;0,Einstrahlung!$K$28*Kalkulation!$P$62/100*$AY$29*POWER((100-$P$64)/100,BD479-1),0)</f>
        <v>0</v>
      </c>
      <c r="EY479" s="1751"/>
      <c r="EZ479" s="1751"/>
      <c r="FA479" s="1751"/>
      <c r="FB479" s="1752"/>
      <c r="FD479" s="1750">
        <f t="shared" si="161"/>
        <v>0</v>
      </c>
      <c r="FE479" s="1751"/>
      <c r="FF479" s="1751"/>
      <c r="FG479" s="1751"/>
      <c r="FH479" s="1752"/>
      <c r="FI479" s="385"/>
      <c r="FJ479" s="380">
        <f t="shared" si="173"/>
        <v>0</v>
      </c>
      <c r="FK479" s="385"/>
      <c r="FL479" s="380">
        <f t="shared" si="174"/>
        <v>0</v>
      </c>
      <c r="FM479" s="385"/>
      <c r="FN479" s="380">
        <f t="shared" si="162"/>
        <v>0</v>
      </c>
      <c r="FO479" s="962">
        <f t="shared" si="167"/>
        <v>271</v>
      </c>
      <c r="FP479" s="956">
        <f t="shared" si="154"/>
        <v>0.4</v>
      </c>
      <c r="FQ479" s="380">
        <f t="shared" si="178"/>
        <v>0</v>
      </c>
      <c r="FR479" s="626">
        <f t="shared" si="175"/>
        <v>1</v>
      </c>
      <c r="FT479" s="1819">
        <f t="shared" si="168"/>
        <v>0</v>
      </c>
      <c r="FU479" s="1820"/>
      <c r="FV479" s="1820"/>
      <c r="FW479" s="1820"/>
      <c r="FX479" s="1821"/>
      <c r="FY479" s="1819">
        <f t="shared" si="163"/>
        <v>0</v>
      </c>
      <c r="FZ479" s="1820"/>
      <c r="GA479" s="1820"/>
      <c r="GB479" s="1821"/>
      <c r="GC479" s="1825">
        <f t="shared" ref="GC479:GC542" si="182">FT479+FY479</f>
        <v>0</v>
      </c>
      <c r="GD479" s="1826"/>
      <c r="GE479" s="1826"/>
      <c r="GF479" s="1827"/>
      <c r="GH479" s="1750">
        <f t="shared" si="164"/>
        <v>0</v>
      </c>
      <c r="GI479" s="1751"/>
      <c r="GJ479" s="1751"/>
      <c r="GK479" s="1752"/>
      <c r="GL479" s="1750">
        <f t="shared" si="165"/>
        <v>0</v>
      </c>
      <c r="GM479" s="1751"/>
      <c r="GN479" s="1751"/>
      <c r="GO479" s="1752"/>
      <c r="GP479" s="385"/>
      <c r="GQ479" s="1750">
        <f t="shared" si="166"/>
        <v>0</v>
      </c>
      <c r="GR479" s="1751"/>
      <c r="GS479" s="1751"/>
      <c r="GT479" s="1752"/>
      <c r="GU479" s="192">
        <f t="shared" si="176"/>
        <v>1</v>
      </c>
      <c r="GV479" s="192">
        <f>SUM($GU$337:GU479)</f>
        <v>135</v>
      </c>
      <c r="GW479" s="318"/>
      <c r="HG479" s="380">
        <f t="shared" si="169"/>
        <v>0</v>
      </c>
      <c r="HX479" s="380"/>
    </row>
    <row r="480" spans="4:232">
      <c r="D480" s="313"/>
      <c r="E480" s="247"/>
      <c r="F480" s="247" t="str">
        <f>IF((AA102+O92+O94+O96)=0,"kein          ",IF(AY92&gt;0,F92,""))</f>
        <v xml:space="preserve">kein          </v>
      </c>
      <c r="G480" s="247" t="str">
        <f>IF((AA102+O92+O94+O96)=0,"Darlehen        ",IF(AY94&gt;0,F94,""))</f>
        <v xml:space="preserve">Darlehen        </v>
      </c>
      <c r="H480" s="247" t="str">
        <f>IF((AA102+O92+O94+O96)=0,"eingesetzt          ",IF(AY96&gt;0,F96,""))</f>
        <v xml:space="preserve">eingesetzt          </v>
      </c>
      <c r="I480" s="247" t="str">
        <f>IF(AA102&gt;0,'Endfälliges Darlehen'!D15,"")</f>
        <v/>
      </c>
      <c r="J480" s="247" t="str">
        <f>IF(AA102&gt;0,'Endfälliges Darlehen'!D21,"")</f>
        <v/>
      </c>
      <c r="K480" s="247"/>
      <c r="L480" s="247"/>
      <c r="M480" s="247"/>
      <c r="N480" s="247"/>
      <c r="O480" s="314"/>
      <c r="P480" s="247"/>
      <c r="Q480" s="192" t="s">
        <v>129</v>
      </c>
      <c r="BD480" s="387">
        <f t="shared" si="170"/>
        <v>11</v>
      </c>
      <c r="BE480" s="382">
        <f>IF(BD480&gt;0,143,0)</f>
        <v>143</v>
      </c>
      <c r="BG480" s="383">
        <f>IF($BE480&gt;$R$66-3+($BR$335*12),143,0)</f>
        <v>143</v>
      </c>
      <c r="BH480" s="1754">
        <f t="shared" si="171"/>
        <v>0</v>
      </c>
      <c r="BI480" s="1754"/>
      <c r="BJ480" s="1754"/>
      <c r="BK480" s="1754"/>
      <c r="BL480" s="1754">
        <f t="shared" si="155"/>
        <v>0</v>
      </c>
      <c r="BM480" s="1754"/>
      <c r="BN480" s="1754"/>
      <c r="BO480" s="1754">
        <f t="shared" si="146"/>
        <v>0</v>
      </c>
      <c r="BP480" s="1754"/>
      <c r="BQ480" s="1754"/>
      <c r="BR480" s="1754">
        <f t="shared" si="172"/>
        <v>0</v>
      </c>
      <c r="BS480" s="1754"/>
      <c r="BT480" s="1754"/>
      <c r="BU480" s="1754"/>
      <c r="BW480" s="383">
        <f>IF($BE480&gt;$R$66-3+($CH$335*12),143,0)</f>
        <v>143</v>
      </c>
      <c r="BX480" s="1754">
        <f t="shared" si="137"/>
        <v>0</v>
      </c>
      <c r="BY480" s="1754"/>
      <c r="BZ480" s="1754"/>
      <c r="CA480" s="1754"/>
      <c r="CB480" s="1754">
        <f t="shared" si="156"/>
        <v>0</v>
      </c>
      <c r="CC480" s="1754"/>
      <c r="CD480" s="1754"/>
      <c r="CE480" s="1754">
        <f t="shared" si="147"/>
        <v>0</v>
      </c>
      <c r="CF480" s="1754"/>
      <c r="CG480" s="1754"/>
      <c r="CH480" s="1754">
        <f t="shared" si="148"/>
        <v>0</v>
      </c>
      <c r="CI480" s="1754"/>
      <c r="CJ480" s="1754"/>
      <c r="CK480" s="1754"/>
      <c r="CM480" s="383">
        <f>IF($BE480&gt;$R$66-3+($CX$335*12),143,0)</f>
        <v>143</v>
      </c>
      <c r="CN480" s="1754">
        <f t="shared" si="138"/>
        <v>0</v>
      </c>
      <c r="CO480" s="1754"/>
      <c r="CP480" s="1754"/>
      <c r="CQ480" s="1754"/>
      <c r="CR480" s="1754">
        <f t="shared" si="157"/>
        <v>0</v>
      </c>
      <c r="CS480" s="1754"/>
      <c r="CT480" s="1754"/>
      <c r="CU480" s="1754">
        <f t="shared" si="149"/>
        <v>0</v>
      </c>
      <c r="CV480" s="1754"/>
      <c r="CW480" s="1754"/>
      <c r="CX480" s="1754">
        <f t="shared" si="150"/>
        <v>0</v>
      </c>
      <c r="CY480" s="1754"/>
      <c r="CZ480" s="1754"/>
      <c r="DA480" s="1754"/>
      <c r="DC480" s="383">
        <f>IF($BE480&gt;$R$66-3,143,0)</f>
        <v>143</v>
      </c>
      <c r="DD480" s="1754">
        <f t="shared" si="139"/>
        <v>0</v>
      </c>
      <c r="DE480" s="1754"/>
      <c r="DF480" s="1754"/>
      <c r="DG480" s="1754"/>
      <c r="DH480" s="1754">
        <f t="shared" si="158"/>
        <v>0</v>
      </c>
      <c r="DI480" s="1754"/>
      <c r="DJ480" s="1754"/>
      <c r="DK480" s="1754">
        <f t="shared" si="151"/>
        <v>0</v>
      </c>
      <c r="DL480" s="1754"/>
      <c r="DM480" s="1754"/>
      <c r="DN480" s="1754"/>
      <c r="DP480" s="383">
        <f t="shared" si="159"/>
        <v>143</v>
      </c>
      <c r="DQ480" s="1754">
        <f t="shared" si="160"/>
        <v>0</v>
      </c>
      <c r="DR480" s="1754"/>
      <c r="DS480" s="1754"/>
      <c r="DT480" s="1754"/>
      <c r="DU480" s="1754">
        <f t="shared" si="177"/>
        <v>0</v>
      </c>
      <c r="DV480" s="1754"/>
      <c r="DW480" s="1754"/>
      <c r="DX480" s="1754">
        <f t="shared" si="179"/>
        <v>0</v>
      </c>
      <c r="DY480" s="1754"/>
      <c r="DZ480" s="1754"/>
      <c r="EA480" s="1754">
        <f t="shared" si="180"/>
        <v>0</v>
      </c>
      <c r="EB480" s="1754"/>
      <c r="EC480" s="1754"/>
      <c r="ED480" s="1754"/>
      <c r="EE480" s="384"/>
      <c r="EF480" s="1750">
        <f t="shared" si="152"/>
        <v>0</v>
      </c>
      <c r="EG480" s="1751"/>
      <c r="EH480" s="1751"/>
      <c r="EI480" s="1751"/>
      <c r="EJ480" s="1752"/>
      <c r="EL480" s="1750">
        <f t="shared" si="181"/>
        <v>0</v>
      </c>
      <c r="EM480" s="1751"/>
      <c r="EN480" s="1751"/>
      <c r="EO480" s="1751"/>
      <c r="EP480" s="1752"/>
      <c r="ER480" s="1750">
        <f t="shared" si="153"/>
        <v>0</v>
      </c>
      <c r="ES480" s="1751"/>
      <c r="ET480" s="1751"/>
      <c r="EU480" s="1751"/>
      <c r="EV480" s="1752"/>
      <c r="EX480" s="1750">
        <f>IF(BE480&gt;0,Einstrahlung!$K$30*Kalkulation!$P$62/100*$AY$29*POWER((100-$P$64)/100,BD480-1),0)</f>
        <v>0</v>
      </c>
      <c r="EY480" s="1751"/>
      <c r="EZ480" s="1751"/>
      <c r="FA480" s="1751"/>
      <c r="FB480" s="1752"/>
      <c r="FD480" s="1750">
        <f t="shared" si="161"/>
        <v>0</v>
      </c>
      <c r="FE480" s="1751"/>
      <c r="FF480" s="1751"/>
      <c r="FG480" s="1751"/>
      <c r="FH480" s="1752"/>
      <c r="FI480" s="385"/>
      <c r="FJ480" s="380">
        <f t="shared" si="173"/>
        <v>0</v>
      </c>
      <c r="FK480" s="385"/>
      <c r="FL480" s="380">
        <f t="shared" si="174"/>
        <v>0</v>
      </c>
      <c r="FM480" s="385"/>
      <c r="FN480" s="380">
        <f t="shared" si="162"/>
        <v>0</v>
      </c>
      <c r="FO480" s="962">
        <f t="shared" si="167"/>
        <v>272</v>
      </c>
      <c r="FP480" s="956">
        <f t="shared" si="154"/>
        <v>0.4</v>
      </c>
      <c r="FQ480" s="380">
        <f t="shared" si="178"/>
        <v>0</v>
      </c>
      <c r="FR480" s="626">
        <f t="shared" si="175"/>
        <v>1</v>
      </c>
      <c r="FT480" s="1819">
        <f t="shared" si="168"/>
        <v>0</v>
      </c>
      <c r="FU480" s="1820"/>
      <c r="FV480" s="1820"/>
      <c r="FW480" s="1820"/>
      <c r="FX480" s="1821"/>
      <c r="FY480" s="1819">
        <f t="shared" si="163"/>
        <v>0</v>
      </c>
      <c r="FZ480" s="1820"/>
      <c r="GA480" s="1820"/>
      <c r="GB480" s="1821"/>
      <c r="GC480" s="1825">
        <f t="shared" si="182"/>
        <v>0</v>
      </c>
      <c r="GD480" s="1826"/>
      <c r="GE480" s="1826"/>
      <c r="GF480" s="1827"/>
      <c r="GH480" s="1750">
        <f t="shared" si="164"/>
        <v>0</v>
      </c>
      <c r="GI480" s="1751"/>
      <c r="GJ480" s="1751"/>
      <c r="GK480" s="1752"/>
      <c r="GL480" s="1750">
        <f t="shared" si="165"/>
        <v>0</v>
      </c>
      <c r="GM480" s="1751"/>
      <c r="GN480" s="1751"/>
      <c r="GO480" s="1752"/>
      <c r="GP480" s="385"/>
      <c r="GQ480" s="1750">
        <f t="shared" si="166"/>
        <v>0</v>
      </c>
      <c r="GR480" s="1751"/>
      <c r="GS480" s="1751"/>
      <c r="GT480" s="1752"/>
      <c r="GU480" s="192">
        <f t="shared" si="176"/>
        <v>1</v>
      </c>
      <c r="GV480" s="192">
        <f>SUM($GU$337:GU480)</f>
        <v>136</v>
      </c>
      <c r="GW480" s="318"/>
      <c r="HG480" s="380">
        <f t="shared" si="169"/>
        <v>0</v>
      </c>
      <c r="HX480" s="380"/>
    </row>
    <row r="481" spans="4:232" ht="13.5" thickBot="1">
      <c r="D481" s="427"/>
      <c r="E481" s="763"/>
      <c r="F481" s="428">
        <f>BR332</f>
        <v>0</v>
      </c>
      <c r="G481" s="428">
        <f>CH332</f>
        <v>0</v>
      </c>
      <c r="H481" s="428">
        <f>CX332</f>
        <v>0</v>
      </c>
      <c r="I481" s="247"/>
      <c r="J481" s="247"/>
      <c r="K481" s="429">
        <f>IF(Q475=1,SUM(K482:K561)+1,0)</f>
        <v>0</v>
      </c>
      <c r="L481" s="429">
        <f>IF(Q476=1,SUM(L482:L561)+1,0)</f>
        <v>0</v>
      </c>
      <c r="M481" s="429"/>
      <c r="N481" s="429">
        <f>IF(Q477=1,SUM(N482:N561)+1,0)</f>
        <v>0</v>
      </c>
      <c r="O481" s="430">
        <f>IF(Q478=1,SUM(O482:O561)+1,0)</f>
        <v>0</v>
      </c>
      <c r="P481" s="431"/>
      <c r="Q481" s="432" t="s">
        <v>130</v>
      </c>
      <c r="R481" s="432"/>
      <c r="S481" s="432"/>
      <c r="T481" s="432"/>
      <c r="U481" s="432"/>
      <c r="V481" s="432"/>
      <c r="BD481" s="389">
        <f t="shared" si="170"/>
        <v>11</v>
      </c>
      <c r="BE481" s="390">
        <f>IF(BD481&gt;0,144,0)</f>
        <v>144</v>
      </c>
      <c r="BG481" s="391">
        <f>IF($BE481&gt;$R$66-3+($BR$335*12),144,0)</f>
        <v>144</v>
      </c>
      <c r="BH481" s="1753">
        <f t="shared" si="171"/>
        <v>0</v>
      </c>
      <c r="BI481" s="1753"/>
      <c r="BJ481" s="1753"/>
      <c r="BK481" s="1753"/>
      <c r="BL481" s="1753">
        <f t="shared" si="155"/>
        <v>0</v>
      </c>
      <c r="BM481" s="1753"/>
      <c r="BN481" s="1753"/>
      <c r="BO481" s="1753">
        <f t="shared" si="146"/>
        <v>0</v>
      </c>
      <c r="BP481" s="1753"/>
      <c r="BQ481" s="1753"/>
      <c r="BR481" s="1753">
        <f t="shared" si="172"/>
        <v>0</v>
      </c>
      <c r="BS481" s="1753"/>
      <c r="BT481" s="1753"/>
      <c r="BU481" s="1753"/>
      <c r="BW481" s="391">
        <f>IF($BE481&gt;$R$66-3+($CH$335*12),144,0)</f>
        <v>144</v>
      </c>
      <c r="BX481" s="1753">
        <f t="shared" si="137"/>
        <v>0</v>
      </c>
      <c r="BY481" s="1753"/>
      <c r="BZ481" s="1753"/>
      <c r="CA481" s="1753"/>
      <c r="CB481" s="1753">
        <f t="shared" si="156"/>
        <v>0</v>
      </c>
      <c r="CC481" s="1753"/>
      <c r="CD481" s="1753"/>
      <c r="CE481" s="1753">
        <f t="shared" si="147"/>
        <v>0</v>
      </c>
      <c r="CF481" s="1753"/>
      <c r="CG481" s="1753"/>
      <c r="CH481" s="1753">
        <f t="shared" si="148"/>
        <v>0</v>
      </c>
      <c r="CI481" s="1753"/>
      <c r="CJ481" s="1753"/>
      <c r="CK481" s="1753"/>
      <c r="CM481" s="391">
        <f>IF($BE481&gt;$R$66-3+($CX$335*12),144,0)</f>
        <v>144</v>
      </c>
      <c r="CN481" s="1753">
        <f t="shared" si="138"/>
        <v>0</v>
      </c>
      <c r="CO481" s="1753"/>
      <c r="CP481" s="1753"/>
      <c r="CQ481" s="1753"/>
      <c r="CR481" s="1753">
        <f t="shared" si="157"/>
        <v>0</v>
      </c>
      <c r="CS481" s="1753"/>
      <c r="CT481" s="1753"/>
      <c r="CU481" s="1753">
        <f t="shared" si="149"/>
        <v>0</v>
      </c>
      <c r="CV481" s="1753"/>
      <c r="CW481" s="1753"/>
      <c r="CX481" s="1753">
        <f t="shared" si="150"/>
        <v>0</v>
      </c>
      <c r="CY481" s="1753"/>
      <c r="CZ481" s="1753"/>
      <c r="DA481" s="1753"/>
      <c r="DC481" s="391">
        <f>IF($BE481&gt;$R$66-3,144,0)</f>
        <v>144</v>
      </c>
      <c r="DD481" s="1753">
        <f t="shared" si="139"/>
        <v>0</v>
      </c>
      <c r="DE481" s="1753"/>
      <c r="DF481" s="1753"/>
      <c r="DG481" s="1753"/>
      <c r="DH481" s="1753">
        <f t="shared" si="158"/>
        <v>0</v>
      </c>
      <c r="DI481" s="1753"/>
      <c r="DJ481" s="1753"/>
      <c r="DK481" s="1753">
        <f t="shared" si="151"/>
        <v>0</v>
      </c>
      <c r="DL481" s="1753"/>
      <c r="DM481" s="1753"/>
      <c r="DN481" s="1753"/>
      <c r="DP481" s="391">
        <f t="shared" si="159"/>
        <v>144</v>
      </c>
      <c r="DQ481" s="1753">
        <f t="shared" si="160"/>
        <v>0</v>
      </c>
      <c r="DR481" s="1753"/>
      <c r="DS481" s="1753"/>
      <c r="DT481" s="1753"/>
      <c r="DU481" s="1753">
        <f t="shared" si="177"/>
        <v>0</v>
      </c>
      <c r="DV481" s="1753"/>
      <c r="DW481" s="1753"/>
      <c r="DX481" s="1753">
        <f t="shared" si="179"/>
        <v>0</v>
      </c>
      <c r="DY481" s="1753"/>
      <c r="DZ481" s="1753"/>
      <c r="EA481" s="1753">
        <f t="shared" si="180"/>
        <v>0</v>
      </c>
      <c r="EB481" s="1753"/>
      <c r="EC481" s="1753"/>
      <c r="ED481" s="1753"/>
      <c r="EE481" s="384"/>
      <c r="EF481" s="1744">
        <f t="shared" si="152"/>
        <v>0</v>
      </c>
      <c r="EG481" s="1745"/>
      <c r="EH481" s="1745"/>
      <c r="EI481" s="1745"/>
      <c r="EJ481" s="1746"/>
      <c r="EL481" s="1744">
        <f t="shared" si="181"/>
        <v>0</v>
      </c>
      <c r="EM481" s="1745"/>
      <c r="EN481" s="1745"/>
      <c r="EO481" s="1745"/>
      <c r="EP481" s="1746"/>
      <c r="ER481" s="1744">
        <f t="shared" si="153"/>
        <v>0</v>
      </c>
      <c r="ES481" s="1745"/>
      <c r="ET481" s="1745"/>
      <c r="EU481" s="1745"/>
      <c r="EV481" s="1746"/>
      <c r="EX481" s="1744">
        <f>IF(BE481&gt;0,Einstrahlung!$K$32*Kalkulation!$P$62/100*$AY$29*POWER((100-$P$64)/100,BD481-1),0)</f>
        <v>0</v>
      </c>
      <c r="EY481" s="1745"/>
      <c r="EZ481" s="1745"/>
      <c r="FA481" s="1745"/>
      <c r="FB481" s="1746"/>
      <c r="FD481" s="1744">
        <f t="shared" si="161"/>
        <v>0</v>
      </c>
      <c r="FE481" s="1745"/>
      <c r="FF481" s="1745"/>
      <c r="FG481" s="1745"/>
      <c r="FH481" s="1746"/>
      <c r="FI481" s="385"/>
      <c r="FJ481" s="453">
        <f t="shared" si="173"/>
        <v>0</v>
      </c>
      <c r="FK481" s="385"/>
      <c r="FL481" s="453">
        <f t="shared" si="174"/>
        <v>0</v>
      </c>
      <c r="FM481" s="385"/>
      <c r="FN481" s="453">
        <f t="shared" si="162"/>
        <v>0</v>
      </c>
      <c r="FO481" s="962">
        <f t="shared" si="167"/>
        <v>273</v>
      </c>
      <c r="FP481" s="956">
        <f t="shared" si="154"/>
        <v>0.4</v>
      </c>
      <c r="FQ481" s="453">
        <f t="shared" si="178"/>
        <v>0</v>
      </c>
      <c r="FR481" s="957">
        <f>POWER(1+$FQ$333,FS481)</f>
        <v>1</v>
      </c>
      <c r="FS481" s="617">
        <f>FS469+1</f>
        <v>11</v>
      </c>
      <c r="FT481" s="1822">
        <f t="shared" si="168"/>
        <v>0</v>
      </c>
      <c r="FU481" s="1823"/>
      <c r="FV481" s="1823"/>
      <c r="FW481" s="1823"/>
      <c r="FX481" s="1824"/>
      <c r="FY481" s="1822">
        <f t="shared" si="163"/>
        <v>0</v>
      </c>
      <c r="FZ481" s="1823"/>
      <c r="GA481" s="1823"/>
      <c r="GB481" s="1824"/>
      <c r="GC481" s="1831">
        <f t="shared" si="182"/>
        <v>0</v>
      </c>
      <c r="GD481" s="1832"/>
      <c r="GE481" s="1832"/>
      <c r="GF481" s="1833"/>
      <c r="GH481" s="1744">
        <f t="shared" si="164"/>
        <v>0</v>
      </c>
      <c r="GI481" s="1745"/>
      <c r="GJ481" s="1745"/>
      <c r="GK481" s="1746"/>
      <c r="GL481" s="1744">
        <f t="shared" si="165"/>
        <v>0</v>
      </c>
      <c r="GM481" s="1745"/>
      <c r="GN481" s="1745"/>
      <c r="GO481" s="1746"/>
      <c r="GP481" s="385"/>
      <c r="GQ481" s="1744">
        <f t="shared" si="166"/>
        <v>0</v>
      </c>
      <c r="GR481" s="1745"/>
      <c r="GS481" s="1745"/>
      <c r="GT481" s="1746"/>
      <c r="GU481" s="192">
        <f t="shared" si="176"/>
        <v>1</v>
      </c>
      <c r="GV481" s="192">
        <f>SUM($GU$337:GU481)</f>
        <v>137</v>
      </c>
      <c r="GW481" s="318"/>
      <c r="HH481" s="380">
        <f t="shared" ref="HH481:HH492" si="183">IF(GV481=144,SUM(GQ470:GT481),0)</f>
        <v>0</v>
      </c>
      <c r="HX481" s="380"/>
    </row>
    <row r="482" spans="4:232">
      <c r="D482" s="313"/>
      <c r="E482" s="247"/>
      <c r="F482" s="247"/>
      <c r="G482" s="247"/>
      <c r="H482" s="247"/>
      <c r="I482" s="428">
        <f>DK332</f>
        <v>0</v>
      </c>
      <c r="J482" s="247"/>
      <c r="K482" s="429"/>
      <c r="L482" s="429"/>
      <c r="M482" s="429"/>
      <c r="N482" s="429"/>
      <c r="O482" s="430"/>
      <c r="P482" s="431"/>
      <c r="Q482" s="433" t="str">
        <f>IF(Q479&gt;0,IF(X479&gt;0,R489,R483),R483)</f>
        <v xml:space="preserve">Im dargestellten Liquiditätsverlauf ist ein Guthabenzins von 1% berücksichtigt. </v>
      </c>
      <c r="BD482" s="381">
        <f t="shared" ref="BD482:BD493" si="184">IF(BH482&lt;0,0,IF($V$21&gt;0,12,0))</f>
        <v>12</v>
      </c>
      <c r="BE482" s="382">
        <f>IF(BD482&gt;0,145,0)</f>
        <v>145</v>
      </c>
      <c r="BG482" s="395">
        <f>IF($BE482&gt;$R$66-3+($BR$335*12),145,0)</f>
        <v>145</v>
      </c>
      <c r="BH482" s="1754">
        <f t="shared" ref="BH482:BH493" si="185">IF(BR481&lt;=0,0,BR481)</f>
        <v>0</v>
      </c>
      <c r="BI482" s="1754"/>
      <c r="BJ482" s="1754"/>
      <c r="BK482" s="1754"/>
      <c r="BL482" s="1754">
        <f t="shared" si="155"/>
        <v>0</v>
      </c>
      <c r="BM482" s="1754"/>
      <c r="BN482" s="1754"/>
      <c r="BO482" s="1754">
        <f t="shared" si="146"/>
        <v>0</v>
      </c>
      <c r="BP482" s="1754"/>
      <c r="BQ482" s="1754"/>
      <c r="BR482" s="1754">
        <f t="shared" ref="BR482:BR493" si="186">BH482-BL482</f>
        <v>0</v>
      </c>
      <c r="BS482" s="1754"/>
      <c r="BT482" s="1754"/>
      <c r="BU482" s="1754"/>
      <c r="BW482" s="395">
        <f>IF($BE482&gt;$R$66-3+($CH$335*12),145,0)</f>
        <v>145</v>
      </c>
      <c r="BX482" s="1754">
        <f t="shared" si="137"/>
        <v>0</v>
      </c>
      <c r="BY482" s="1754"/>
      <c r="BZ482" s="1754"/>
      <c r="CA482" s="1754"/>
      <c r="CB482" s="1754">
        <f t="shared" si="156"/>
        <v>0</v>
      </c>
      <c r="CC482" s="1754"/>
      <c r="CD482" s="1754"/>
      <c r="CE482" s="1754">
        <f t="shared" si="147"/>
        <v>0</v>
      </c>
      <c r="CF482" s="1754"/>
      <c r="CG482" s="1754"/>
      <c r="CH482" s="1754">
        <f t="shared" si="148"/>
        <v>0</v>
      </c>
      <c r="CI482" s="1754"/>
      <c r="CJ482" s="1754"/>
      <c r="CK482" s="1754"/>
      <c r="CM482" s="395">
        <f>IF($BE482&gt;$R$66-3+($CX$335*12),145,0)</f>
        <v>145</v>
      </c>
      <c r="CN482" s="1754">
        <f t="shared" si="138"/>
        <v>0</v>
      </c>
      <c r="CO482" s="1754"/>
      <c r="CP482" s="1754"/>
      <c r="CQ482" s="1754"/>
      <c r="CR482" s="1754">
        <f t="shared" si="157"/>
        <v>0</v>
      </c>
      <c r="CS482" s="1754"/>
      <c r="CT482" s="1754"/>
      <c r="CU482" s="1754">
        <f t="shared" si="149"/>
        <v>0</v>
      </c>
      <c r="CV482" s="1754"/>
      <c r="CW482" s="1754"/>
      <c r="CX482" s="1754">
        <f t="shared" si="150"/>
        <v>0</v>
      </c>
      <c r="CY482" s="1754"/>
      <c r="CZ482" s="1754"/>
      <c r="DA482" s="1754"/>
      <c r="DC482" s="395">
        <f>IF($BE482&gt;$R$66-3,145,0)</f>
        <v>145</v>
      </c>
      <c r="DD482" s="1754">
        <f t="shared" si="139"/>
        <v>0</v>
      </c>
      <c r="DE482" s="1754"/>
      <c r="DF482" s="1754"/>
      <c r="DG482" s="1754"/>
      <c r="DH482" s="1754">
        <f t="shared" si="158"/>
        <v>0</v>
      </c>
      <c r="DI482" s="1754"/>
      <c r="DJ482" s="1754"/>
      <c r="DK482" s="1754">
        <f t="shared" si="151"/>
        <v>0</v>
      </c>
      <c r="DL482" s="1754"/>
      <c r="DM482" s="1754"/>
      <c r="DN482" s="1754"/>
      <c r="DP482" s="395">
        <f t="shared" si="159"/>
        <v>145</v>
      </c>
      <c r="DQ482" s="1754">
        <f t="shared" si="160"/>
        <v>0</v>
      </c>
      <c r="DR482" s="1754"/>
      <c r="DS482" s="1754"/>
      <c r="DT482" s="1754"/>
      <c r="DU482" s="1754">
        <f t="shared" si="177"/>
        <v>0</v>
      </c>
      <c r="DV482" s="1754"/>
      <c r="DW482" s="1754"/>
      <c r="DX482" s="1754">
        <f t="shared" si="179"/>
        <v>0</v>
      </c>
      <c r="DY482" s="1754"/>
      <c r="DZ482" s="1754"/>
      <c r="EA482" s="1754">
        <f t="shared" si="180"/>
        <v>0</v>
      </c>
      <c r="EB482" s="1754"/>
      <c r="EC482" s="1754"/>
      <c r="ED482" s="1754"/>
      <c r="EE482" s="384"/>
      <c r="EF482" s="1750">
        <f t="shared" si="152"/>
        <v>0</v>
      </c>
      <c r="EG482" s="1751"/>
      <c r="EH482" s="1751"/>
      <c r="EI482" s="1751"/>
      <c r="EJ482" s="1752"/>
      <c r="EL482" s="1750">
        <f t="shared" si="181"/>
        <v>0</v>
      </c>
      <c r="EM482" s="1751"/>
      <c r="EN482" s="1751"/>
      <c r="EO482" s="1751"/>
      <c r="EP482" s="1752"/>
      <c r="ER482" s="1750">
        <f t="shared" si="153"/>
        <v>0</v>
      </c>
      <c r="ES482" s="1751"/>
      <c r="ET482" s="1751"/>
      <c r="EU482" s="1751"/>
      <c r="EV482" s="1752"/>
      <c r="EX482" s="1750">
        <f>IF(BE482&gt;0,Einstrahlung!$K$10*Kalkulation!$P$62/100*$AY$29*POWER((100-$P$64)/100,BD482-1),0)</f>
        <v>0</v>
      </c>
      <c r="EY482" s="1751"/>
      <c r="EZ482" s="1751"/>
      <c r="FA482" s="1751"/>
      <c r="FB482" s="1752"/>
      <c r="FD482" s="1750">
        <f t="shared" si="161"/>
        <v>0</v>
      </c>
      <c r="FE482" s="1751"/>
      <c r="FF482" s="1751"/>
      <c r="FG482" s="1751"/>
      <c r="FH482" s="1752"/>
      <c r="FI482" s="385"/>
      <c r="FJ482" s="380">
        <f t="shared" si="173"/>
        <v>0</v>
      </c>
      <c r="FK482" s="385"/>
      <c r="FL482" s="380">
        <f>IF(BE482&gt;0,IF($FL$336&gt;SUM($EX$482:$FB$493),SUM($EX$482:$FB$493)/12,$FL$336/12),0)</f>
        <v>0</v>
      </c>
      <c r="FM482" s="385"/>
      <c r="FN482" s="380">
        <f t="shared" si="162"/>
        <v>0</v>
      </c>
      <c r="FO482" s="962">
        <f t="shared" si="167"/>
        <v>274</v>
      </c>
      <c r="FP482" s="956">
        <f t="shared" si="154"/>
        <v>0.4</v>
      </c>
      <c r="FQ482" s="380">
        <f t="shared" si="178"/>
        <v>0</v>
      </c>
      <c r="FR482" s="626">
        <f>IF(AND(GV482&gt;132,GV482&lt;=144),$FR$481,IF(AND(GV482&gt;144,GV482&lt;=156),$FR$493,0))</f>
        <v>1</v>
      </c>
      <c r="FT482" s="1819">
        <f t="shared" si="168"/>
        <v>0</v>
      </c>
      <c r="FU482" s="1820"/>
      <c r="FV482" s="1820"/>
      <c r="FW482" s="1820"/>
      <c r="FX482" s="1821"/>
      <c r="FY482" s="1819">
        <f t="shared" si="163"/>
        <v>0</v>
      </c>
      <c r="FZ482" s="1820"/>
      <c r="GA482" s="1820"/>
      <c r="GB482" s="1821"/>
      <c r="GC482" s="1825">
        <f t="shared" si="182"/>
        <v>0</v>
      </c>
      <c r="GD482" s="1826"/>
      <c r="GE482" s="1826"/>
      <c r="GF482" s="1827"/>
      <c r="GH482" s="1750">
        <f t="shared" si="164"/>
        <v>0</v>
      </c>
      <c r="GI482" s="1751"/>
      <c r="GJ482" s="1751"/>
      <c r="GK482" s="1751"/>
      <c r="GL482" s="1750">
        <f t="shared" si="165"/>
        <v>0</v>
      </c>
      <c r="GM482" s="1751"/>
      <c r="GN482" s="1751"/>
      <c r="GO482" s="1752"/>
      <c r="GP482" s="385"/>
      <c r="GQ482" s="1865">
        <f t="shared" si="166"/>
        <v>0</v>
      </c>
      <c r="GR482" s="1866"/>
      <c r="GS482" s="1866"/>
      <c r="GT482" s="1867"/>
      <c r="GU482" s="192">
        <f t="shared" si="176"/>
        <v>1</v>
      </c>
      <c r="GV482" s="192">
        <f>SUM($GU$337:GU482)</f>
        <v>138</v>
      </c>
      <c r="GW482" s="318"/>
      <c r="HH482" s="380">
        <f t="shared" si="183"/>
        <v>0</v>
      </c>
      <c r="HX482" s="380"/>
    </row>
    <row r="483" spans="4:232">
      <c r="D483" s="313"/>
      <c r="E483" s="247"/>
      <c r="F483" s="247"/>
      <c r="G483" s="247"/>
      <c r="H483" s="247"/>
      <c r="I483" s="247"/>
      <c r="J483" s="428">
        <f>EA332</f>
        <v>0</v>
      </c>
      <c r="K483" s="429"/>
      <c r="L483" s="429"/>
      <c r="M483" s="429"/>
      <c r="N483" s="429"/>
      <c r="O483" s="430"/>
      <c r="P483" s="431"/>
      <c r="R483" s="434" t="str">
        <f>IF(AD238&gt;0,S485,S484)</f>
        <v xml:space="preserve">Im dargestellten Liquiditätsverlauf ist ein Guthabenzins von 1% berücksichtigt. </v>
      </c>
      <c r="BD483" s="387">
        <f t="shared" si="184"/>
        <v>12</v>
      </c>
      <c r="BE483" s="382">
        <f>IF(BD483&gt;0,146,0)</f>
        <v>146</v>
      </c>
      <c r="BG483" s="383">
        <f>IF($BE483&gt;$R$66-3+($BR$335*12),146,0)</f>
        <v>146</v>
      </c>
      <c r="BH483" s="1754">
        <f t="shared" si="185"/>
        <v>0</v>
      </c>
      <c r="BI483" s="1754"/>
      <c r="BJ483" s="1754"/>
      <c r="BK483" s="1754"/>
      <c r="BL483" s="1754">
        <f t="shared" si="155"/>
        <v>0</v>
      </c>
      <c r="BM483" s="1754"/>
      <c r="BN483" s="1754"/>
      <c r="BO483" s="1754">
        <f t="shared" si="146"/>
        <v>0</v>
      </c>
      <c r="BP483" s="1754"/>
      <c r="BQ483" s="1754"/>
      <c r="BR483" s="1754">
        <f t="shared" si="186"/>
        <v>0</v>
      </c>
      <c r="BS483" s="1754"/>
      <c r="BT483" s="1754"/>
      <c r="BU483" s="1754"/>
      <c r="BW483" s="383">
        <f>IF($BE483&gt;$R$66-3+($CH$335*12),146,0)</f>
        <v>146</v>
      </c>
      <c r="BX483" s="1754">
        <f t="shared" si="137"/>
        <v>0</v>
      </c>
      <c r="BY483" s="1754"/>
      <c r="BZ483" s="1754"/>
      <c r="CA483" s="1754"/>
      <c r="CB483" s="1754">
        <f t="shared" si="156"/>
        <v>0</v>
      </c>
      <c r="CC483" s="1754"/>
      <c r="CD483" s="1754"/>
      <c r="CE483" s="1754">
        <f t="shared" si="147"/>
        <v>0</v>
      </c>
      <c r="CF483" s="1754"/>
      <c r="CG483" s="1754"/>
      <c r="CH483" s="1754">
        <f t="shared" si="148"/>
        <v>0</v>
      </c>
      <c r="CI483" s="1754"/>
      <c r="CJ483" s="1754"/>
      <c r="CK483" s="1754"/>
      <c r="CM483" s="383">
        <f>IF($BE483&gt;$R$66-3+($CX$335*12),146,0)</f>
        <v>146</v>
      </c>
      <c r="CN483" s="1754">
        <f t="shared" si="138"/>
        <v>0</v>
      </c>
      <c r="CO483" s="1754"/>
      <c r="CP483" s="1754"/>
      <c r="CQ483" s="1754"/>
      <c r="CR483" s="1754">
        <f t="shared" si="157"/>
        <v>0</v>
      </c>
      <c r="CS483" s="1754"/>
      <c r="CT483" s="1754"/>
      <c r="CU483" s="1754">
        <f t="shared" si="149"/>
        <v>0</v>
      </c>
      <c r="CV483" s="1754"/>
      <c r="CW483" s="1754"/>
      <c r="CX483" s="1754">
        <f t="shared" si="150"/>
        <v>0</v>
      </c>
      <c r="CY483" s="1754"/>
      <c r="CZ483" s="1754"/>
      <c r="DA483" s="1754"/>
      <c r="DC483" s="383">
        <f>IF($BE483&gt;$R$66-3,146,0)</f>
        <v>146</v>
      </c>
      <c r="DD483" s="1754">
        <f t="shared" si="139"/>
        <v>0</v>
      </c>
      <c r="DE483" s="1754"/>
      <c r="DF483" s="1754"/>
      <c r="DG483" s="1754"/>
      <c r="DH483" s="1754">
        <f t="shared" si="158"/>
        <v>0</v>
      </c>
      <c r="DI483" s="1754"/>
      <c r="DJ483" s="1754"/>
      <c r="DK483" s="1754">
        <f t="shared" si="151"/>
        <v>0</v>
      </c>
      <c r="DL483" s="1754"/>
      <c r="DM483" s="1754"/>
      <c r="DN483" s="1754"/>
      <c r="DP483" s="383">
        <f t="shared" si="159"/>
        <v>146</v>
      </c>
      <c r="DQ483" s="1754">
        <f t="shared" si="160"/>
        <v>0</v>
      </c>
      <c r="DR483" s="1754"/>
      <c r="DS483" s="1754"/>
      <c r="DT483" s="1754"/>
      <c r="DU483" s="1754">
        <f t="shared" si="177"/>
        <v>0</v>
      </c>
      <c r="DV483" s="1754"/>
      <c r="DW483" s="1754"/>
      <c r="DX483" s="1754">
        <f t="shared" si="179"/>
        <v>0</v>
      </c>
      <c r="DY483" s="1754"/>
      <c r="DZ483" s="1754"/>
      <c r="EA483" s="1754">
        <f t="shared" si="180"/>
        <v>0</v>
      </c>
      <c r="EB483" s="1754"/>
      <c r="EC483" s="1754"/>
      <c r="ED483" s="1754"/>
      <c r="EE483" s="384"/>
      <c r="EF483" s="1750">
        <f t="shared" si="152"/>
        <v>0</v>
      </c>
      <c r="EG483" s="1751"/>
      <c r="EH483" s="1751"/>
      <c r="EI483" s="1751"/>
      <c r="EJ483" s="1752"/>
      <c r="EL483" s="1750">
        <f t="shared" si="181"/>
        <v>0</v>
      </c>
      <c r="EM483" s="1751"/>
      <c r="EN483" s="1751"/>
      <c r="EO483" s="1751"/>
      <c r="EP483" s="1752"/>
      <c r="ER483" s="1750">
        <f t="shared" si="153"/>
        <v>0</v>
      </c>
      <c r="ES483" s="1751"/>
      <c r="ET483" s="1751"/>
      <c r="EU483" s="1751"/>
      <c r="EV483" s="1752"/>
      <c r="EX483" s="1750">
        <f>IF(BE483&gt;0,Einstrahlung!$K$12*Kalkulation!$P$62/100*$AY$29*POWER((100-$P$64)/100,BD483-1),0)</f>
        <v>0</v>
      </c>
      <c r="EY483" s="1751"/>
      <c r="EZ483" s="1751"/>
      <c r="FA483" s="1751"/>
      <c r="FB483" s="1752"/>
      <c r="FD483" s="1750">
        <f t="shared" si="161"/>
        <v>0</v>
      </c>
      <c r="FE483" s="1751"/>
      <c r="FF483" s="1751"/>
      <c r="FG483" s="1751"/>
      <c r="FH483" s="1752"/>
      <c r="FI483" s="385"/>
      <c r="FJ483" s="380">
        <f t="shared" si="173"/>
        <v>0</v>
      </c>
      <c r="FK483" s="385"/>
      <c r="FL483" s="380">
        <f t="shared" ref="FL483:FL493" si="187">IF(BE483&gt;0,IF($FL$336&gt;SUM($EX$482:$FB$493),SUM($EX$482:$FB$493)/12,$FL$336/12),0)</f>
        <v>0</v>
      </c>
      <c r="FM483" s="385"/>
      <c r="FN483" s="380">
        <f t="shared" si="162"/>
        <v>0</v>
      </c>
      <c r="FO483" s="962">
        <f t="shared" si="167"/>
        <v>275</v>
      </c>
      <c r="FP483" s="956">
        <f t="shared" si="154"/>
        <v>0.4</v>
      </c>
      <c r="FQ483" s="380">
        <f t="shared" si="178"/>
        <v>0</v>
      </c>
      <c r="FR483" s="626">
        <f t="shared" ref="FR483:FR492" si="188">IF(AND(GV483&gt;132,GV483&lt;=144),$FR$481,IF(AND(GV483&gt;144,GV483&lt;=156),$FR$493,0))</f>
        <v>1</v>
      </c>
      <c r="FT483" s="1819">
        <f t="shared" si="168"/>
        <v>0</v>
      </c>
      <c r="FU483" s="1820"/>
      <c r="FV483" s="1820"/>
      <c r="FW483" s="1820"/>
      <c r="FX483" s="1821"/>
      <c r="FY483" s="1819">
        <f t="shared" si="163"/>
        <v>0</v>
      </c>
      <c r="FZ483" s="1820"/>
      <c r="GA483" s="1820"/>
      <c r="GB483" s="1821"/>
      <c r="GC483" s="1825">
        <f t="shared" si="182"/>
        <v>0</v>
      </c>
      <c r="GD483" s="1826"/>
      <c r="GE483" s="1826"/>
      <c r="GF483" s="1827"/>
      <c r="GH483" s="1750">
        <f t="shared" si="164"/>
        <v>0</v>
      </c>
      <c r="GI483" s="1751"/>
      <c r="GJ483" s="1751"/>
      <c r="GK483" s="1752"/>
      <c r="GL483" s="1750">
        <f t="shared" si="165"/>
        <v>0</v>
      </c>
      <c r="GM483" s="1751"/>
      <c r="GN483" s="1751"/>
      <c r="GO483" s="1752"/>
      <c r="GP483" s="385"/>
      <c r="GQ483" s="1750">
        <f t="shared" si="166"/>
        <v>0</v>
      </c>
      <c r="GR483" s="1751"/>
      <c r="GS483" s="1751"/>
      <c r="GT483" s="1752"/>
      <c r="GU483" s="192">
        <f t="shared" si="176"/>
        <v>1</v>
      </c>
      <c r="GV483" s="192">
        <f>SUM($GU$337:GU483)</f>
        <v>139</v>
      </c>
      <c r="GW483" s="318"/>
      <c r="HH483" s="380">
        <f t="shared" si="183"/>
        <v>0</v>
      </c>
      <c r="HX483" s="380"/>
    </row>
    <row r="484" spans="4:232">
      <c r="D484" s="411" t="s">
        <v>67</v>
      </c>
      <c r="E484" s="764"/>
      <c r="F484" s="428">
        <f>BR349</f>
        <v>0</v>
      </c>
      <c r="G484" s="428">
        <f>CH349</f>
        <v>0</v>
      </c>
      <c r="H484" s="428">
        <f>CX349</f>
        <v>0</v>
      </c>
      <c r="I484" s="247"/>
      <c r="J484" s="247"/>
      <c r="K484" s="429"/>
      <c r="L484" s="429"/>
      <c r="M484" s="429"/>
      <c r="N484" s="429"/>
      <c r="O484" s="430"/>
      <c r="P484" s="431"/>
      <c r="S484" s="435" t="str">
        <f>"Im dargestellten Liquiditätsverlauf ist kein Guthabenzins berücksichtigt. "&amp;S486&amp;""</f>
        <v xml:space="preserve">Im dargestellten Liquiditätsverlauf ist kein Guthabenzins berücksichtigt. </v>
      </c>
      <c r="BD484" s="387">
        <f t="shared" si="184"/>
        <v>12</v>
      </c>
      <c r="BE484" s="382">
        <f>IF(BD484&gt;0,147,0)</f>
        <v>147</v>
      </c>
      <c r="BG484" s="383">
        <f>IF($BE484&gt;$R$66-3+($BR$335*12),147,0)</f>
        <v>147</v>
      </c>
      <c r="BH484" s="1754">
        <f t="shared" si="185"/>
        <v>0</v>
      </c>
      <c r="BI484" s="1754"/>
      <c r="BJ484" s="1754"/>
      <c r="BK484" s="1754"/>
      <c r="BL484" s="1754">
        <f t="shared" si="155"/>
        <v>0</v>
      </c>
      <c r="BM484" s="1754"/>
      <c r="BN484" s="1754"/>
      <c r="BO484" s="1754">
        <f t="shared" si="146"/>
        <v>0</v>
      </c>
      <c r="BP484" s="1754"/>
      <c r="BQ484" s="1754"/>
      <c r="BR484" s="1754">
        <f t="shared" si="186"/>
        <v>0</v>
      </c>
      <c r="BS484" s="1754"/>
      <c r="BT484" s="1754"/>
      <c r="BU484" s="1754"/>
      <c r="BW484" s="383">
        <f>IF($BE484&gt;$R$66-3+($CH$335*12),147,0)</f>
        <v>147</v>
      </c>
      <c r="BX484" s="1754">
        <f t="shared" si="137"/>
        <v>0</v>
      </c>
      <c r="BY484" s="1754"/>
      <c r="BZ484" s="1754"/>
      <c r="CA484" s="1754"/>
      <c r="CB484" s="1754">
        <f t="shared" si="156"/>
        <v>0</v>
      </c>
      <c r="CC484" s="1754"/>
      <c r="CD484" s="1754"/>
      <c r="CE484" s="1754">
        <f t="shared" si="147"/>
        <v>0</v>
      </c>
      <c r="CF484" s="1754"/>
      <c r="CG484" s="1754"/>
      <c r="CH484" s="1754">
        <f t="shared" si="148"/>
        <v>0</v>
      </c>
      <c r="CI484" s="1754"/>
      <c r="CJ484" s="1754"/>
      <c r="CK484" s="1754"/>
      <c r="CM484" s="383">
        <f>IF($BE484&gt;$R$66-3+($CX$335*12),147,0)</f>
        <v>147</v>
      </c>
      <c r="CN484" s="1754">
        <f t="shared" si="138"/>
        <v>0</v>
      </c>
      <c r="CO484" s="1754"/>
      <c r="CP484" s="1754"/>
      <c r="CQ484" s="1754"/>
      <c r="CR484" s="1754">
        <f t="shared" si="157"/>
        <v>0</v>
      </c>
      <c r="CS484" s="1754"/>
      <c r="CT484" s="1754"/>
      <c r="CU484" s="1754">
        <f t="shared" si="149"/>
        <v>0</v>
      </c>
      <c r="CV484" s="1754"/>
      <c r="CW484" s="1754"/>
      <c r="CX484" s="1754">
        <f t="shared" si="150"/>
        <v>0</v>
      </c>
      <c r="CY484" s="1754"/>
      <c r="CZ484" s="1754"/>
      <c r="DA484" s="1754"/>
      <c r="DC484" s="383">
        <f>IF($BE484&gt;$R$66-3,147,0)</f>
        <v>147</v>
      </c>
      <c r="DD484" s="1754">
        <f t="shared" si="139"/>
        <v>0</v>
      </c>
      <c r="DE484" s="1754"/>
      <c r="DF484" s="1754"/>
      <c r="DG484" s="1754"/>
      <c r="DH484" s="1754">
        <f t="shared" si="158"/>
        <v>0</v>
      </c>
      <c r="DI484" s="1754"/>
      <c r="DJ484" s="1754"/>
      <c r="DK484" s="1754">
        <f t="shared" si="151"/>
        <v>0</v>
      </c>
      <c r="DL484" s="1754"/>
      <c r="DM484" s="1754"/>
      <c r="DN484" s="1754"/>
      <c r="DP484" s="383">
        <f t="shared" si="159"/>
        <v>147</v>
      </c>
      <c r="DQ484" s="1754">
        <f t="shared" si="160"/>
        <v>0</v>
      </c>
      <c r="DR484" s="1754"/>
      <c r="DS484" s="1754"/>
      <c r="DT484" s="1754"/>
      <c r="DU484" s="1754">
        <f t="shared" si="177"/>
        <v>0</v>
      </c>
      <c r="DV484" s="1754"/>
      <c r="DW484" s="1754"/>
      <c r="DX484" s="1754">
        <f t="shared" si="179"/>
        <v>0</v>
      </c>
      <c r="DY484" s="1754"/>
      <c r="DZ484" s="1754"/>
      <c r="EA484" s="1754">
        <f t="shared" si="180"/>
        <v>0</v>
      </c>
      <c r="EB484" s="1754"/>
      <c r="EC484" s="1754"/>
      <c r="ED484" s="1754"/>
      <c r="EE484" s="384"/>
      <c r="EF484" s="1750">
        <f t="shared" si="152"/>
        <v>0</v>
      </c>
      <c r="EG484" s="1751"/>
      <c r="EH484" s="1751"/>
      <c r="EI484" s="1751"/>
      <c r="EJ484" s="1752"/>
      <c r="EL484" s="1750">
        <f t="shared" si="181"/>
        <v>0</v>
      </c>
      <c r="EM484" s="1751"/>
      <c r="EN484" s="1751"/>
      <c r="EO484" s="1751"/>
      <c r="EP484" s="1752"/>
      <c r="ER484" s="1750">
        <f t="shared" si="153"/>
        <v>0</v>
      </c>
      <c r="ES484" s="1751"/>
      <c r="ET484" s="1751"/>
      <c r="EU484" s="1751"/>
      <c r="EV484" s="1752"/>
      <c r="EX484" s="1750">
        <f>IF(BE484&gt;0,Einstrahlung!$K$14*Kalkulation!$P$62/100*$AY$29*POWER((100-$P$64)/100,BD484-1),0)</f>
        <v>0</v>
      </c>
      <c r="EY484" s="1751"/>
      <c r="EZ484" s="1751"/>
      <c r="FA484" s="1751"/>
      <c r="FB484" s="1752"/>
      <c r="FD484" s="1750">
        <f t="shared" si="161"/>
        <v>0</v>
      </c>
      <c r="FE484" s="1751"/>
      <c r="FF484" s="1751"/>
      <c r="FG484" s="1751"/>
      <c r="FH484" s="1752"/>
      <c r="FI484" s="385"/>
      <c r="FJ484" s="380">
        <f t="shared" si="173"/>
        <v>0</v>
      </c>
      <c r="FK484" s="385"/>
      <c r="FL484" s="380">
        <f t="shared" si="187"/>
        <v>0</v>
      </c>
      <c r="FM484" s="385"/>
      <c r="FN484" s="380">
        <f t="shared" si="162"/>
        <v>0</v>
      </c>
      <c r="FO484" s="962">
        <f t="shared" si="167"/>
        <v>276</v>
      </c>
      <c r="FP484" s="956">
        <f t="shared" si="154"/>
        <v>0.4</v>
      </c>
      <c r="FQ484" s="380">
        <f t="shared" si="178"/>
        <v>0</v>
      </c>
      <c r="FR484" s="626">
        <f t="shared" si="188"/>
        <v>1</v>
      </c>
      <c r="FT484" s="1819">
        <f t="shared" si="168"/>
        <v>0</v>
      </c>
      <c r="FU484" s="1820"/>
      <c r="FV484" s="1820"/>
      <c r="FW484" s="1820"/>
      <c r="FX484" s="1821"/>
      <c r="FY484" s="1819">
        <f t="shared" si="163"/>
        <v>0</v>
      </c>
      <c r="FZ484" s="1820"/>
      <c r="GA484" s="1820"/>
      <c r="GB484" s="1821"/>
      <c r="GC484" s="1825">
        <f t="shared" si="182"/>
        <v>0</v>
      </c>
      <c r="GD484" s="1826"/>
      <c r="GE484" s="1826"/>
      <c r="GF484" s="1827"/>
      <c r="GH484" s="1750">
        <f t="shared" si="164"/>
        <v>0</v>
      </c>
      <c r="GI484" s="1751"/>
      <c r="GJ484" s="1751"/>
      <c r="GK484" s="1752"/>
      <c r="GL484" s="1750">
        <f t="shared" si="165"/>
        <v>0</v>
      </c>
      <c r="GM484" s="1751"/>
      <c r="GN484" s="1751"/>
      <c r="GO484" s="1752"/>
      <c r="GP484" s="385"/>
      <c r="GQ484" s="1750">
        <f t="shared" si="166"/>
        <v>0</v>
      </c>
      <c r="GR484" s="1751"/>
      <c r="GS484" s="1751"/>
      <c r="GT484" s="1752"/>
      <c r="GU484" s="192">
        <f t="shared" si="176"/>
        <v>1</v>
      </c>
      <c r="GV484" s="192">
        <f>SUM($GU$337:GU484)</f>
        <v>140</v>
      </c>
      <c r="GW484" s="318"/>
      <c r="HH484" s="380">
        <f t="shared" si="183"/>
        <v>0</v>
      </c>
      <c r="HX484" s="380"/>
    </row>
    <row r="485" spans="4:232">
      <c r="D485" s="313"/>
      <c r="E485" s="247"/>
      <c r="F485" s="247"/>
      <c r="G485" s="247"/>
      <c r="H485" s="247"/>
      <c r="I485" s="428">
        <f>'Endfälliges Darlehen'!AG11</f>
        <v>0</v>
      </c>
      <c r="J485" s="247"/>
      <c r="K485" s="429"/>
      <c r="L485" s="429"/>
      <c r="M485" s="429"/>
      <c r="N485" s="429"/>
      <c r="O485" s="430"/>
      <c r="P485" s="431"/>
      <c r="S485" s="435" t="str">
        <f>"Im dargestellten Liquiditätsverlauf ist ein Guthabenzins von "&amp;AD238&amp;"% berücksichtigt. "&amp;S486&amp;""</f>
        <v xml:space="preserve">Im dargestellten Liquiditätsverlauf ist ein Guthabenzins von 1% berücksichtigt. </v>
      </c>
      <c r="BD485" s="387">
        <f t="shared" si="184"/>
        <v>12</v>
      </c>
      <c r="BE485" s="382">
        <f>IF(BD485&gt;0,148,0)</f>
        <v>148</v>
      </c>
      <c r="BG485" s="383">
        <f>IF($BE485&gt;$R$66-3+($BR$335*12),148,0)</f>
        <v>148</v>
      </c>
      <c r="BH485" s="1754">
        <f t="shared" si="185"/>
        <v>0</v>
      </c>
      <c r="BI485" s="1754"/>
      <c r="BJ485" s="1754"/>
      <c r="BK485" s="1754"/>
      <c r="BL485" s="1754">
        <f t="shared" si="155"/>
        <v>0</v>
      </c>
      <c r="BM485" s="1754"/>
      <c r="BN485" s="1754"/>
      <c r="BO485" s="1754">
        <f t="shared" si="146"/>
        <v>0</v>
      </c>
      <c r="BP485" s="1754"/>
      <c r="BQ485" s="1754"/>
      <c r="BR485" s="1754">
        <f t="shared" si="186"/>
        <v>0</v>
      </c>
      <c r="BS485" s="1754"/>
      <c r="BT485" s="1754"/>
      <c r="BU485" s="1754"/>
      <c r="BW485" s="383">
        <f>IF($BE485&gt;$R$66-3+($CH$335*12),148,0)</f>
        <v>148</v>
      </c>
      <c r="BX485" s="1754">
        <f t="shared" si="137"/>
        <v>0</v>
      </c>
      <c r="BY485" s="1754"/>
      <c r="BZ485" s="1754"/>
      <c r="CA485" s="1754"/>
      <c r="CB485" s="1754">
        <f t="shared" si="156"/>
        <v>0</v>
      </c>
      <c r="CC485" s="1754"/>
      <c r="CD485" s="1754"/>
      <c r="CE485" s="1754">
        <f t="shared" si="147"/>
        <v>0</v>
      </c>
      <c r="CF485" s="1754"/>
      <c r="CG485" s="1754"/>
      <c r="CH485" s="1754">
        <f t="shared" si="148"/>
        <v>0</v>
      </c>
      <c r="CI485" s="1754"/>
      <c r="CJ485" s="1754"/>
      <c r="CK485" s="1754"/>
      <c r="CM485" s="383">
        <f>IF($BE485&gt;$R$66-3+($CX$335*12),148,0)</f>
        <v>148</v>
      </c>
      <c r="CN485" s="1754">
        <f t="shared" si="138"/>
        <v>0</v>
      </c>
      <c r="CO485" s="1754"/>
      <c r="CP485" s="1754"/>
      <c r="CQ485" s="1754"/>
      <c r="CR485" s="1754">
        <f t="shared" si="157"/>
        <v>0</v>
      </c>
      <c r="CS485" s="1754"/>
      <c r="CT485" s="1754"/>
      <c r="CU485" s="1754">
        <f t="shared" si="149"/>
        <v>0</v>
      </c>
      <c r="CV485" s="1754"/>
      <c r="CW485" s="1754"/>
      <c r="CX485" s="1754">
        <f t="shared" si="150"/>
        <v>0</v>
      </c>
      <c r="CY485" s="1754"/>
      <c r="CZ485" s="1754"/>
      <c r="DA485" s="1754"/>
      <c r="DC485" s="383">
        <f>IF($BE485&gt;$R$66-3,148,0)</f>
        <v>148</v>
      </c>
      <c r="DD485" s="1754">
        <f t="shared" si="139"/>
        <v>0</v>
      </c>
      <c r="DE485" s="1754"/>
      <c r="DF485" s="1754"/>
      <c r="DG485" s="1754"/>
      <c r="DH485" s="1754">
        <f t="shared" si="158"/>
        <v>0</v>
      </c>
      <c r="DI485" s="1754"/>
      <c r="DJ485" s="1754"/>
      <c r="DK485" s="1754">
        <f t="shared" si="151"/>
        <v>0</v>
      </c>
      <c r="DL485" s="1754"/>
      <c r="DM485" s="1754"/>
      <c r="DN485" s="1754"/>
      <c r="DP485" s="383">
        <f t="shared" si="159"/>
        <v>148</v>
      </c>
      <c r="DQ485" s="1754">
        <f t="shared" si="160"/>
        <v>0</v>
      </c>
      <c r="DR485" s="1754"/>
      <c r="DS485" s="1754"/>
      <c r="DT485" s="1754"/>
      <c r="DU485" s="1754">
        <f t="shared" si="177"/>
        <v>0</v>
      </c>
      <c r="DV485" s="1754"/>
      <c r="DW485" s="1754"/>
      <c r="DX485" s="1754">
        <f t="shared" si="179"/>
        <v>0</v>
      </c>
      <c r="DY485" s="1754"/>
      <c r="DZ485" s="1754"/>
      <c r="EA485" s="1754">
        <f t="shared" si="180"/>
        <v>0</v>
      </c>
      <c r="EB485" s="1754"/>
      <c r="EC485" s="1754"/>
      <c r="ED485" s="1754"/>
      <c r="EE485" s="384"/>
      <c r="EF485" s="1750">
        <f t="shared" si="152"/>
        <v>0</v>
      </c>
      <c r="EG485" s="1751"/>
      <c r="EH485" s="1751"/>
      <c r="EI485" s="1751"/>
      <c r="EJ485" s="1752"/>
      <c r="EL485" s="1750">
        <f t="shared" si="181"/>
        <v>0</v>
      </c>
      <c r="EM485" s="1751"/>
      <c r="EN485" s="1751"/>
      <c r="EO485" s="1751"/>
      <c r="EP485" s="1752"/>
      <c r="ER485" s="1750">
        <f t="shared" si="153"/>
        <v>0</v>
      </c>
      <c r="ES485" s="1751"/>
      <c r="ET485" s="1751"/>
      <c r="EU485" s="1751"/>
      <c r="EV485" s="1752"/>
      <c r="EX485" s="1750">
        <f>IF(BE485&gt;0,Einstrahlung!$K$16*Kalkulation!$P$62/100*$AY$29*POWER((100-$P$64)/100,BD485-1),0)</f>
        <v>0</v>
      </c>
      <c r="EY485" s="1751"/>
      <c r="EZ485" s="1751"/>
      <c r="FA485" s="1751"/>
      <c r="FB485" s="1752"/>
      <c r="FD485" s="1750">
        <f t="shared" si="161"/>
        <v>0</v>
      </c>
      <c r="FE485" s="1751"/>
      <c r="FF485" s="1751"/>
      <c r="FG485" s="1751"/>
      <c r="FH485" s="1752"/>
      <c r="FI485" s="385"/>
      <c r="FJ485" s="380">
        <f t="shared" si="173"/>
        <v>0</v>
      </c>
      <c r="FK485" s="385"/>
      <c r="FL485" s="380">
        <f t="shared" si="187"/>
        <v>0</v>
      </c>
      <c r="FM485" s="385"/>
      <c r="FN485" s="380">
        <f t="shared" si="162"/>
        <v>0</v>
      </c>
      <c r="FO485" s="962">
        <f t="shared" si="167"/>
        <v>277</v>
      </c>
      <c r="FP485" s="956">
        <f t="shared" si="154"/>
        <v>0.4</v>
      </c>
      <c r="FQ485" s="380">
        <f t="shared" si="178"/>
        <v>0</v>
      </c>
      <c r="FR485" s="626">
        <f t="shared" si="188"/>
        <v>1</v>
      </c>
      <c r="FT485" s="1819">
        <f t="shared" si="168"/>
        <v>0</v>
      </c>
      <c r="FU485" s="1820"/>
      <c r="FV485" s="1820"/>
      <c r="FW485" s="1820"/>
      <c r="FX485" s="1821"/>
      <c r="FY485" s="1819">
        <f t="shared" si="163"/>
        <v>0</v>
      </c>
      <c r="FZ485" s="1820"/>
      <c r="GA485" s="1820"/>
      <c r="GB485" s="1821"/>
      <c r="GC485" s="1825">
        <f t="shared" si="182"/>
        <v>0</v>
      </c>
      <c r="GD485" s="1826"/>
      <c r="GE485" s="1826"/>
      <c r="GF485" s="1827"/>
      <c r="GH485" s="1750">
        <f t="shared" si="164"/>
        <v>0</v>
      </c>
      <c r="GI485" s="1751"/>
      <c r="GJ485" s="1751"/>
      <c r="GK485" s="1752"/>
      <c r="GL485" s="1750">
        <f t="shared" si="165"/>
        <v>0</v>
      </c>
      <c r="GM485" s="1751"/>
      <c r="GN485" s="1751"/>
      <c r="GO485" s="1752"/>
      <c r="GP485" s="385"/>
      <c r="GQ485" s="1750">
        <f t="shared" si="166"/>
        <v>0</v>
      </c>
      <c r="GR485" s="1751"/>
      <c r="GS485" s="1751"/>
      <c r="GT485" s="1752"/>
      <c r="GU485" s="192">
        <f t="shared" si="176"/>
        <v>1</v>
      </c>
      <c r="GV485" s="192">
        <f>SUM($GU$337:GU485)</f>
        <v>141</v>
      </c>
      <c r="GW485" s="318"/>
      <c r="HH485" s="380">
        <f t="shared" si="183"/>
        <v>0</v>
      </c>
      <c r="HX485" s="380"/>
    </row>
    <row r="486" spans="4:232">
      <c r="D486" s="313"/>
      <c r="E486" s="247"/>
      <c r="F486" s="247"/>
      <c r="G486" s="247"/>
      <c r="H486" s="247"/>
      <c r="I486" s="247"/>
      <c r="J486" s="428">
        <f>'Endfälliges Darlehen'!AV11</f>
        <v>0</v>
      </c>
      <c r="K486" s="429"/>
      <c r="L486" s="429"/>
      <c r="M486" s="429"/>
      <c r="N486" s="429"/>
      <c r="O486" s="430"/>
      <c r="P486" s="431"/>
      <c r="S486" s="435" t="str">
        <f>IF(Q478&gt;0,"Zinszahlungen, Ansparungsraten "&amp;S487&amp;" sind bereits berücksichtigt.","")</f>
        <v/>
      </c>
      <c r="BD486" s="387">
        <f t="shared" si="184"/>
        <v>12</v>
      </c>
      <c r="BE486" s="382">
        <f>IF(BD486&gt;0,149,0)</f>
        <v>149</v>
      </c>
      <c r="BG486" s="383">
        <f>IF($BE486&gt;$R$66-3+($BR$335*12),149,0)</f>
        <v>149</v>
      </c>
      <c r="BH486" s="1754">
        <f t="shared" si="185"/>
        <v>0</v>
      </c>
      <c r="BI486" s="1754"/>
      <c r="BJ486" s="1754"/>
      <c r="BK486" s="1754"/>
      <c r="BL486" s="1754">
        <f t="shared" si="155"/>
        <v>0</v>
      </c>
      <c r="BM486" s="1754"/>
      <c r="BN486" s="1754"/>
      <c r="BO486" s="1754">
        <f t="shared" si="146"/>
        <v>0</v>
      </c>
      <c r="BP486" s="1754"/>
      <c r="BQ486" s="1754"/>
      <c r="BR486" s="1754">
        <f t="shared" si="186"/>
        <v>0</v>
      </c>
      <c r="BS486" s="1754"/>
      <c r="BT486" s="1754"/>
      <c r="BU486" s="1754"/>
      <c r="BW486" s="383">
        <f>IF($BE486&gt;$R$66-3+($CH$335*12),149,0)</f>
        <v>149</v>
      </c>
      <c r="BX486" s="1754">
        <f t="shared" si="137"/>
        <v>0</v>
      </c>
      <c r="BY486" s="1754"/>
      <c r="BZ486" s="1754"/>
      <c r="CA486" s="1754"/>
      <c r="CB486" s="1754">
        <f t="shared" si="156"/>
        <v>0</v>
      </c>
      <c r="CC486" s="1754"/>
      <c r="CD486" s="1754"/>
      <c r="CE486" s="1754">
        <f t="shared" si="147"/>
        <v>0</v>
      </c>
      <c r="CF486" s="1754"/>
      <c r="CG486" s="1754"/>
      <c r="CH486" s="1754">
        <f t="shared" si="148"/>
        <v>0</v>
      </c>
      <c r="CI486" s="1754"/>
      <c r="CJ486" s="1754"/>
      <c r="CK486" s="1754"/>
      <c r="CM486" s="383">
        <f>IF($BE486&gt;$R$66-3+($CX$335*12),149,0)</f>
        <v>149</v>
      </c>
      <c r="CN486" s="1754">
        <f t="shared" si="138"/>
        <v>0</v>
      </c>
      <c r="CO486" s="1754"/>
      <c r="CP486" s="1754"/>
      <c r="CQ486" s="1754"/>
      <c r="CR486" s="1754">
        <f t="shared" si="157"/>
        <v>0</v>
      </c>
      <c r="CS486" s="1754"/>
      <c r="CT486" s="1754"/>
      <c r="CU486" s="1754">
        <f t="shared" si="149"/>
        <v>0</v>
      </c>
      <c r="CV486" s="1754"/>
      <c r="CW486" s="1754"/>
      <c r="CX486" s="1754">
        <f t="shared" si="150"/>
        <v>0</v>
      </c>
      <c r="CY486" s="1754"/>
      <c r="CZ486" s="1754"/>
      <c r="DA486" s="1754"/>
      <c r="DC486" s="383">
        <f>IF($BE486&gt;$R$66-3,149,0)</f>
        <v>149</v>
      </c>
      <c r="DD486" s="1754">
        <f t="shared" si="139"/>
        <v>0</v>
      </c>
      <c r="DE486" s="1754"/>
      <c r="DF486" s="1754"/>
      <c r="DG486" s="1754"/>
      <c r="DH486" s="1754">
        <f t="shared" si="158"/>
        <v>0</v>
      </c>
      <c r="DI486" s="1754"/>
      <c r="DJ486" s="1754"/>
      <c r="DK486" s="1754">
        <f t="shared" si="151"/>
        <v>0</v>
      </c>
      <c r="DL486" s="1754"/>
      <c r="DM486" s="1754"/>
      <c r="DN486" s="1754"/>
      <c r="DP486" s="383">
        <f t="shared" si="159"/>
        <v>149</v>
      </c>
      <c r="DQ486" s="1754">
        <f t="shared" si="160"/>
        <v>0</v>
      </c>
      <c r="DR486" s="1754"/>
      <c r="DS486" s="1754"/>
      <c r="DT486" s="1754"/>
      <c r="DU486" s="1754">
        <f t="shared" si="177"/>
        <v>0</v>
      </c>
      <c r="DV486" s="1754"/>
      <c r="DW486" s="1754"/>
      <c r="DX486" s="1754">
        <f t="shared" si="179"/>
        <v>0</v>
      </c>
      <c r="DY486" s="1754"/>
      <c r="DZ486" s="1754"/>
      <c r="EA486" s="1754">
        <f t="shared" si="180"/>
        <v>0</v>
      </c>
      <c r="EB486" s="1754"/>
      <c r="EC486" s="1754"/>
      <c r="ED486" s="1754"/>
      <c r="EE486" s="384"/>
      <c r="EF486" s="1750">
        <f t="shared" si="152"/>
        <v>0</v>
      </c>
      <c r="EG486" s="1751"/>
      <c r="EH486" s="1751"/>
      <c r="EI486" s="1751"/>
      <c r="EJ486" s="1752"/>
      <c r="EL486" s="1750">
        <f t="shared" si="181"/>
        <v>0</v>
      </c>
      <c r="EM486" s="1751"/>
      <c r="EN486" s="1751"/>
      <c r="EO486" s="1751"/>
      <c r="EP486" s="1752"/>
      <c r="ER486" s="1750">
        <f t="shared" si="153"/>
        <v>0</v>
      </c>
      <c r="ES486" s="1751"/>
      <c r="ET486" s="1751"/>
      <c r="EU486" s="1751"/>
      <c r="EV486" s="1752"/>
      <c r="EX486" s="1750">
        <f>IF(BE486&gt;0,Einstrahlung!$K$18*Kalkulation!$P$62/100*$AY$29*POWER((100-$P$64)/100,BD486-1),0)</f>
        <v>0</v>
      </c>
      <c r="EY486" s="1751"/>
      <c r="EZ486" s="1751"/>
      <c r="FA486" s="1751"/>
      <c r="FB486" s="1752"/>
      <c r="FD486" s="1750">
        <f t="shared" si="161"/>
        <v>0</v>
      </c>
      <c r="FE486" s="1751"/>
      <c r="FF486" s="1751"/>
      <c r="FG486" s="1751"/>
      <c r="FH486" s="1752"/>
      <c r="FI486" s="385"/>
      <c r="FJ486" s="380">
        <f t="shared" si="173"/>
        <v>0</v>
      </c>
      <c r="FK486" s="385"/>
      <c r="FL486" s="380">
        <f t="shared" si="187"/>
        <v>0</v>
      </c>
      <c r="FM486" s="385"/>
      <c r="FN486" s="380">
        <f t="shared" si="162"/>
        <v>0</v>
      </c>
      <c r="FO486" s="962">
        <f t="shared" si="167"/>
        <v>278</v>
      </c>
      <c r="FP486" s="956">
        <f t="shared" si="154"/>
        <v>0.4</v>
      </c>
      <c r="FQ486" s="380">
        <f t="shared" si="178"/>
        <v>0</v>
      </c>
      <c r="FR486" s="626">
        <f t="shared" si="188"/>
        <v>1</v>
      </c>
      <c r="FT486" s="1819">
        <f t="shared" si="168"/>
        <v>0</v>
      </c>
      <c r="FU486" s="1820"/>
      <c r="FV486" s="1820"/>
      <c r="FW486" s="1820"/>
      <c r="FX486" s="1821"/>
      <c r="FY486" s="1819">
        <f t="shared" si="163"/>
        <v>0</v>
      </c>
      <c r="FZ486" s="1820"/>
      <c r="GA486" s="1820"/>
      <c r="GB486" s="1821"/>
      <c r="GC486" s="1825">
        <f t="shared" si="182"/>
        <v>0</v>
      </c>
      <c r="GD486" s="1826"/>
      <c r="GE486" s="1826"/>
      <c r="GF486" s="1827"/>
      <c r="GH486" s="1750">
        <f t="shared" si="164"/>
        <v>0</v>
      </c>
      <c r="GI486" s="1751"/>
      <c r="GJ486" s="1751"/>
      <c r="GK486" s="1752"/>
      <c r="GL486" s="1750">
        <f t="shared" si="165"/>
        <v>0</v>
      </c>
      <c r="GM486" s="1751"/>
      <c r="GN486" s="1751"/>
      <c r="GO486" s="1752"/>
      <c r="GP486" s="385"/>
      <c r="GQ486" s="1750">
        <f t="shared" si="166"/>
        <v>0</v>
      </c>
      <c r="GR486" s="1751"/>
      <c r="GS486" s="1751"/>
      <c r="GT486" s="1752"/>
      <c r="GU486" s="192">
        <f t="shared" si="176"/>
        <v>1</v>
      </c>
      <c r="GV486" s="192">
        <f>SUM($GU$337:GU486)</f>
        <v>142</v>
      </c>
      <c r="GW486" s="318"/>
      <c r="HH486" s="380">
        <f t="shared" si="183"/>
        <v>0</v>
      </c>
      <c r="HX486" s="380"/>
    </row>
    <row r="487" spans="4:232">
      <c r="D487" s="409">
        <v>1</v>
      </c>
      <c r="E487" s="318"/>
      <c r="F487" s="428">
        <f>BR361</f>
        <v>0</v>
      </c>
      <c r="G487" s="428">
        <f>CH361</f>
        <v>0</v>
      </c>
      <c r="H487" s="428">
        <f>CX361</f>
        <v>0</v>
      </c>
      <c r="I487" s="247"/>
      <c r="J487" s="247"/>
      <c r="K487" s="429">
        <f>IF(AND(F487&gt;0,F490=0),$D487,0)</f>
        <v>0</v>
      </c>
      <c r="L487" s="429">
        <f>IF(AND(G487&gt;0,G490=0),$D487,0)</f>
        <v>0</v>
      </c>
      <c r="N487" s="429">
        <f>IF(AND(H487&gt;0,H490=0),$D487,0)</f>
        <v>0</v>
      </c>
      <c r="O487" s="430"/>
      <c r="P487" s="431"/>
      <c r="S487" s="192" t="str">
        <f>IF(Q478=1,"sowie ggf. die Ablösung des Endfälligen Darlehens nach "&amp;N477&amp;" Jahren","")</f>
        <v/>
      </c>
      <c r="BD487" s="387">
        <f t="shared" si="184"/>
        <v>12</v>
      </c>
      <c r="BE487" s="382">
        <f>IF(BD487&gt;0,150,0)</f>
        <v>150</v>
      </c>
      <c r="BG487" s="383">
        <f>IF($BE487&gt;$R$66-3+($BR$335*12),150,0)</f>
        <v>150</v>
      </c>
      <c r="BH487" s="1754">
        <f t="shared" si="185"/>
        <v>0</v>
      </c>
      <c r="BI487" s="1754"/>
      <c r="BJ487" s="1754"/>
      <c r="BK487" s="1754"/>
      <c r="BL487" s="1754">
        <f t="shared" si="155"/>
        <v>0</v>
      </c>
      <c r="BM487" s="1754"/>
      <c r="BN487" s="1754"/>
      <c r="BO487" s="1754">
        <f t="shared" si="146"/>
        <v>0</v>
      </c>
      <c r="BP487" s="1754"/>
      <c r="BQ487" s="1754"/>
      <c r="BR487" s="1754">
        <f t="shared" si="186"/>
        <v>0</v>
      </c>
      <c r="BS487" s="1754"/>
      <c r="BT487" s="1754"/>
      <c r="BU487" s="1754"/>
      <c r="BW487" s="383">
        <f>IF($BE487&gt;$R$66-3+($CH$335*12),150,0)</f>
        <v>150</v>
      </c>
      <c r="BX487" s="1754">
        <f t="shared" si="137"/>
        <v>0</v>
      </c>
      <c r="BY487" s="1754"/>
      <c r="BZ487" s="1754"/>
      <c r="CA487" s="1754"/>
      <c r="CB487" s="1754">
        <f t="shared" si="156"/>
        <v>0</v>
      </c>
      <c r="CC487" s="1754"/>
      <c r="CD487" s="1754"/>
      <c r="CE487" s="1754">
        <f t="shared" si="147"/>
        <v>0</v>
      </c>
      <c r="CF487" s="1754"/>
      <c r="CG487" s="1754"/>
      <c r="CH487" s="1754">
        <f t="shared" si="148"/>
        <v>0</v>
      </c>
      <c r="CI487" s="1754"/>
      <c r="CJ487" s="1754"/>
      <c r="CK487" s="1754"/>
      <c r="CM487" s="383">
        <f>IF($BE487&gt;$R$66-3+($CX$335*12),150,0)</f>
        <v>150</v>
      </c>
      <c r="CN487" s="1754">
        <f t="shared" si="138"/>
        <v>0</v>
      </c>
      <c r="CO487" s="1754"/>
      <c r="CP487" s="1754"/>
      <c r="CQ487" s="1754"/>
      <c r="CR487" s="1754">
        <f t="shared" si="157"/>
        <v>0</v>
      </c>
      <c r="CS487" s="1754"/>
      <c r="CT487" s="1754"/>
      <c r="CU487" s="1754">
        <f t="shared" si="149"/>
        <v>0</v>
      </c>
      <c r="CV487" s="1754"/>
      <c r="CW487" s="1754"/>
      <c r="CX487" s="1754">
        <f t="shared" si="150"/>
        <v>0</v>
      </c>
      <c r="CY487" s="1754"/>
      <c r="CZ487" s="1754"/>
      <c r="DA487" s="1754"/>
      <c r="DC487" s="383">
        <f>IF($BE487&gt;$R$66-3,150,0)</f>
        <v>150</v>
      </c>
      <c r="DD487" s="1754">
        <f t="shared" si="139"/>
        <v>0</v>
      </c>
      <c r="DE487" s="1754"/>
      <c r="DF487" s="1754"/>
      <c r="DG487" s="1754"/>
      <c r="DH487" s="1754">
        <f t="shared" si="158"/>
        <v>0</v>
      </c>
      <c r="DI487" s="1754"/>
      <c r="DJ487" s="1754"/>
      <c r="DK487" s="1754">
        <f t="shared" si="151"/>
        <v>0</v>
      </c>
      <c r="DL487" s="1754"/>
      <c r="DM487" s="1754"/>
      <c r="DN487" s="1754"/>
      <c r="DP487" s="383">
        <f t="shared" si="159"/>
        <v>150</v>
      </c>
      <c r="DQ487" s="1754">
        <f t="shared" si="160"/>
        <v>0</v>
      </c>
      <c r="DR487" s="1754"/>
      <c r="DS487" s="1754"/>
      <c r="DT487" s="1754"/>
      <c r="DU487" s="1754">
        <f t="shared" si="177"/>
        <v>0</v>
      </c>
      <c r="DV487" s="1754"/>
      <c r="DW487" s="1754"/>
      <c r="DX487" s="1754">
        <f t="shared" si="179"/>
        <v>0</v>
      </c>
      <c r="DY487" s="1754"/>
      <c r="DZ487" s="1754"/>
      <c r="EA487" s="1754">
        <f t="shared" si="180"/>
        <v>0</v>
      </c>
      <c r="EB487" s="1754"/>
      <c r="EC487" s="1754"/>
      <c r="ED487" s="1754"/>
      <c r="EE487" s="384"/>
      <c r="EF487" s="1750">
        <f t="shared" si="152"/>
        <v>0</v>
      </c>
      <c r="EG487" s="1751"/>
      <c r="EH487" s="1751"/>
      <c r="EI487" s="1751"/>
      <c r="EJ487" s="1752"/>
      <c r="EL487" s="1750">
        <f t="shared" si="181"/>
        <v>0</v>
      </c>
      <c r="EM487" s="1751"/>
      <c r="EN487" s="1751"/>
      <c r="EO487" s="1751"/>
      <c r="EP487" s="1752"/>
      <c r="ER487" s="1750">
        <f t="shared" si="153"/>
        <v>0</v>
      </c>
      <c r="ES487" s="1751"/>
      <c r="ET487" s="1751"/>
      <c r="EU487" s="1751"/>
      <c r="EV487" s="1752"/>
      <c r="EX487" s="1750">
        <f>IF(BE487&gt;0,Einstrahlung!$K$20*Kalkulation!$P$62/100*$AY$29*POWER((100-$P$64)/100,BD487-1),0)</f>
        <v>0</v>
      </c>
      <c r="EY487" s="1751"/>
      <c r="EZ487" s="1751"/>
      <c r="FA487" s="1751"/>
      <c r="FB487" s="1752"/>
      <c r="FD487" s="1750">
        <f t="shared" si="161"/>
        <v>0</v>
      </c>
      <c r="FE487" s="1751"/>
      <c r="FF487" s="1751"/>
      <c r="FG487" s="1751"/>
      <c r="FH487" s="1752"/>
      <c r="FI487" s="385"/>
      <c r="FJ487" s="380">
        <f t="shared" si="173"/>
        <v>0</v>
      </c>
      <c r="FK487" s="385"/>
      <c r="FL487" s="380">
        <f t="shared" si="187"/>
        <v>0</v>
      </c>
      <c r="FM487" s="385"/>
      <c r="FN487" s="380">
        <f t="shared" si="162"/>
        <v>0</v>
      </c>
      <c r="FO487" s="962">
        <f t="shared" si="167"/>
        <v>279</v>
      </c>
      <c r="FP487" s="956">
        <f t="shared" si="154"/>
        <v>0.4</v>
      </c>
      <c r="FQ487" s="380">
        <f t="shared" si="178"/>
        <v>0</v>
      </c>
      <c r="FR487" s="626">
        <f t="shared" si="188"/>
        <v>1</v>
      </c>
      <c r="FT487" s="1819">
        <f t="shared" si="168"/>
        <v>0</v>
      </c>
      <c r="FU487" s="1820"/>
      <c r="FV487" s="1820"/>
      <c r="FW487" s="1820"/>
      <c r="FX487" s="1821"/>
      <c r="FY487" s="1819">
        <f t="shared" si="163"/>
        <v>0</v>
      </c>
      <c r="FZ487" s="1820"/>
      <c r="GA487" s="1820"/>
      <c r="GB487" s="1821"/>
      <c r="GC487" s="1825">
        <f t="shared" si="182"/>
        <v>0</v>
      </c>
      <c r="GD487" s="1826"/>
      <c r="GE487" s="1826"/>
      <c r="GF487" s="1827"/>
      <c r="GH487" s="1750">
        <f t="shared" si="164"/>
        <v>0</v>
      </c>
      <c r="GI487" s="1751"/>
      <c r="GJ487" s="1751"/>
      <c r="GK487" s="1752"/>
      <c r="GL487" s="1750">
        <f t="shared" si="165"/>
        <v>0</v>
      </c>
      <c r="GM487" s="1751"/>
      <c r="GN487" s="1751"/>
      <c r="GO487" s="1752"/>
      <c r="GP487" s="385"/>
      <c r="GQ487" s="1750">
        <f t="shared" si="166"/>
        <v>0</v>
      </c>
      <c r="GR487" s="1751"/>
      <c r="GS487" s="1751"/>
      <c r="GT487" s="1752"/>
      <c r="GU487" s="192">
        <f t="shared" si="176"/>
        <v>1</v>
      </c>
      <c r="GV487" s="192">
        <f>SUM($GU$337:GU487)</f>
        <v>143</v>
      </c>
      <c r="GW487" s="318"/>
      <c r="HH487" s="380">
        <f t="shared" si="183"/>
        <v>0</v>
      </c>
      <c r="HX487" s="380"/>
    </row>
    <row r="488" spans="4:232">
      <c r="D488" s="313"/>
      <c r="E488" s="247"/>
      <c r="F488" s="247"/>
      <c r="G488" s="247"/>
      <c r="H488" s="247"/>
      <c r="I488" s="428">
        <f>'Endfälliges Darlehen'!AG13</f>
        <v>0</v>
      </c>
      <c r="J488" s="247"/>
      <c r="K488" s="429"/>
      <c r="L488" s="429"/>
      <c r="M488" s="429"/>
      <c r="N488" s="429"/>
      <c r="O488" s="430">
        <f>IF(AND(I488&gt;0,I491=0),$D487,0)</f>
        <v>0</v>
      </c>
      <c r="P488" s="431"/>
      <c r="BD488" s="387">
        <f t="shared" si="184"/>
        <v>12</v>
      </c>
      <c r="BE488" s="382">
        <f>IF(BD488&gt;0,151,0)</f>
        <v>151</v>
      </c>
      <c r="BG488" s="383">
        <f>IF($BE488&gt;$R$66-3+($BR$335*12),151,0)</f>
        <v>151</v>
      </c>
      <c r="BH488" s="1754">
        <f t="shared" si="185"/>
        <v>0</v>
      </c>
      <c r="BI488" s="1754"/>
      <c r="BJ488" s="1754"/>
      <c r="BK488" s="1754"/>
      <c r="BL488" s="1754">
        <f t="shared" si="155"/>
        <v>0</v>
      </c>
      <c r="BM488" s="1754"/>
      <c r="BN488" s="1754"/>
      <c r="BO488" s="1754">
        <f t="shared" si="146"/>
        <v>0</v>
      </c>
      <c r="BP488" s="1754"/>
      <c r="BQ488" s="1754"/>
      <c r="BR488" s="1754">
        <f t="shared" si="186"/>
        <v>0</v>
      </c>
      <c r="BS488" s="1754"/>
      <c r="BT488" s="1754"/>
      <c r="BU488" s="1754"/>
      <c r="BW488" s="383">
        <f>IF($BE488&gt;$R$66-3+($CH$335*12),151,0)</f>
        <v>151</v>
      </c>
      <c r="BX488" s="1754">
        <f t="shared" si="137"/>
        <v>0</v>
      </c>
      <c r="BY488" s="1754"/>
      <c r="BZ488" s="1754"/>
      <c r="CA488" s="1754"/>
      <c r="CB488" s="1754">
        <f t="shared" si="156"/>
        <v>0</v>
      </c>
      <c r="CC488" s="1754"/>
      <c r="CD488" s="1754"/>
      <c r="CE488" s="1754">
        <f t="shared" si="147"/>
        <v>0</v>
      </c>
      <c r="CF488" s="1754"/>
      <c r="CG488" s="1754"/>
      <c r="CH488" s="1754">
        <f t="shared" si="148"/>
        <v>0</v>
      </c>
      <c r="CI488" s="1754"/>
      <c r="CJ488" s="1754"/>
      <c r="CK488" s="1754"/>
      <c r="CM488" s="383">
        <f>IF($BE488&gt;$R$66-3+($CX$335*12),151,0)</f>
        <v>151</v>
      </c>
      <c r="CN488" s="1754">
        <f t="shared" si="138"/>
        <v>0</v>
      </c>
      <c r="CO488" s="1754"/>
      <c r="CP488" s="1754"/>
      <c r="CQ488" s="1754"/>
      <c r="CR488" s="1754">
        <f t="shared" si="157"/>
        <v>0</v>
      </c>
      <c r="CS488" s="1754"/>
      <c r="CT488" s="1754"/>
      <c r="CU488" s="1754">
        <f t="shared" si="149"/>
        <v>0</v>
      </c>
      <c r="CV488" s="1754"/>
      <c r="CW488" s="1754"/>
      <c r="CX488" s="1754">
        <f t="shared" si="150"/>
        <v>0</v>
      </c>
      <c r="CY488" s="1754"/>
      <c r="CZ488" s="1754"/>
      <c r="DA488" s="1754"/>
      <c r="DC488" s="383">
        <f>IF($BE488&gt;$R$66-3,151,0)</f>
        <v>151</v>
      </c>
      <c r="DD488" s="1754">
        <f t="shared" si="139"/>
        <v>0</v>
      </c>
      <c r="DE488" s="1754"/>
      <c r="DF488" s="1754"/>
      <c r="DG488" s="1754"/>
      <c r="DH488" s="1754">
        <f t="shared" si="158"/>
        <v>0</v>
      </c>
      <c r="DI488" s="1754"/>
      <c r="DJ488" s="1754"/>
      <c r="DK488" s="1754">
        <f t="shared" si="151"/>
        <v>0</v>
      </c>
      <c r="DL488" s="1754"/>
      <c r="DM488" s="1754"/>
      <c r="DN488" s="1754"/>
      <c r="DP488" s="383">
        <f t="shared" si="159"/>
        <v>151</v>
      </c>
      <c r="DQ488" s="1754">
        <f t="shared" si="160"/>
        <v>0</v>
      </c>
      <c r="DR488" s="1754"/>
      <c r="DS488" s="1754"/>
      <c r="DT488" s="1754"/>
      <c r="DU488" s="1754">
        <f t="shared" si="177"/>
        <v>0</v>
      </c>
      <c r="DV488" s="1754"/>
      <c r="DW488" s="1754"/>
      <c r="DX488" s="1754">
        <f t="shared" si="179"/>
        <v>0</v>
      </c>
      <c r="DY488" s="1754"/>
      <c r="DZ488" s="1754"/>
      <c r="EA488" s="1754">
        <f t="shared" si="180"/>
        <v>0</v>
      </c>
      <c r="EB488" s="1754"/>
      <c r="EC488" s="1754"/>
      <c r="ED488" s="1754"/>
      <c r="EE488" s="384"/>
      <c r="EF488" s="1750">
        <f t="shared" si="152"/>
        <v>0</v>
      </c>
      <c r="EG488" s="1751"/>
      <c r="EH488" s="1751"/>
      <c r="EI488" s="1751"/>
      <c r="EJ488" s="1752"/>
      <c r="EL488" s="1750">
        <f t="shared" si="181"/>
        <v>0</v>
      </c>
      <c r="EM488" s="1751"/>
      <c r="EN488" s="1751"/>
      <c r="EO488" s="1751"/>
      <c r="EP488" s="1752"/>
      <c r="ER488" s="1750">
        <f t="shared" si="153"/>
        <v>0</v>
      </c>
      <c r="ES488" s="1751"/>
      <c r="ET488" s="1751"/>
      <c r="EU488" s="1751"/>
      <c r="EV488" s="1752"/>
      <c r="EX488" s="1750">
        <f>IF(BE488&gt;0,Einstrahlung!$K$22*Kalkulation!$P$62/100*$AY$29*POWER((100-$P$64)/100,BD488-1),0)</f>
        <v>0</v>
      </c>
      <c r="EY488" s="1751"/>
      <c r="EZ488" s="1751"/>
      <c r="FA488" s="1751"/>
      <c r="FB488" s="1752"/>
      <c r="FD488" s="1750">
        <f t="shared" si="161"/>
        <v>0</v>
      </c>
      <c r="FE488" s="1751"/>
      <c r="FF488" s="1751"/>
      <c r="FG488" s="1751"/>
      <c r="FH488" s="1752"/>
      <c r="FI488" s="385"/>
      <c r="FJ488" s="380">
        <f t="shared" si="173"/>
        <v>0</v>
      </c>
      <c r="FK488" s="385"/>
      <c r="FL488" s="380">
        <f t="shared" si="187"/>
        <v>0</v>
      </c>
      <c r="FM488" s="385"/>
      <c r="FN488" s="380">
        <f t="shared" si="162"/>
        <v>0</v>
      </c>
      <c r="FO488" s="962">
        <f t="shared" si="167"/>
        <v>280</v>
      </c>
      <c r="FP488" s="956">
        <f t="shared" si="154"/>
        <v>0.4</v>
      </c>
      <c r="FQ488" s="380">
        <f t="shared" si="178"/>
        <v>0</v>
      </c>
      <c r="FR488" s="626">
        <f t="shared" si="188"/>
        <v>1</v>
      </c>
      <c r="FT488" s="1819">
        <f t="shared" si="168"/>
        <v>0</v>
      </c>
      <c r="FU488" s="1820"/>
      <c r="FV488" s="1820"/>
      <c r="FW488" s="1820"/>
      <c r="FX488" s="1821"/>
      <c r="FY488" s="1819">
        <f t="shared" si="163"/>
        <v>0</v>
      </c>
      <c r="FZ488" s="1820"/>
      <c r="GA488" s="1820"/>
      <c r="GB488" s="1821"/>
      <c r="GC488" s="1825">
        <f t="shared" si="182"/>
        <v>0</v>
      </c>
      <c r="GD488" s="1826"/>
      <c r="GE488" s="1826"/>
      <c r="GF488" s="1827"/>
      <c r="GH488" s="1750">
        <f t="shared" si="164"/>
        <v>0</v>
      </c>
      <c r="GI488" s="1751"/>
      <c r="GJ488" s="1751"/>
      <c r="GK488" s="1752"/>
      <c r="GL488" s="1750">
        <f t="shared" si="165"/>
        <v>0</v>
      </c>
      <c r="GM488" s="1751"/>
      <c r="GN488" s="1751"/>
      <c r="GO488" s="1752"/>
      <c r="GP488" s="385"/>
      <c r="GQ488" s="1750">
        <f t="shared" si="166"/>
        <v>0</v>
      </c>
      <c r="GR488" s="1751"/>
      <c r="GS488" s="1751"/>
      <c r="GT488" s="1752"/>
      <c r="GU488" s="192">
        <f t="shared" si="176"/>
        <v>1</v>
      </c>
      <c r="GV488" s="192">
        <f>SUM($GU$337:GU488)</f>
        <v>144</v>
      </c>
      <c r="GW488" s="318"/>
      <c r="HH488" s="380">
        <f t="shared" si="183"/>
        <v>0</v>
      </c>
      <c r="HX488" s="380"/>
    </row>
    <row r="489" spans="4:232">
      <c r="D489" s="313"/>
      <c r="E489" s="247"/>
      <c r="F489" s="247"/>
      <c r="G489" s="247"/>
      <c r="H489" s="247"/>
      <c r="I489" s="247"/>
      <c r="J489" s="428">
        <f>'Endfälliges Darlehen'!AV13</f>
        <v>0</v>
      </c>
      <c r="K489" s="429"/>
      <c r="L489" s="429"/>
      <c r="M489" s="429"/>
      <c r="N489" s="429"/>
      <c r="O489" s="430"/>
      <c r="P489" s="431"/>
      <c r="R489" s="434" t="str">
        <f>"Achtung: Eines oder mehrere der eingesetzten Darlehen ("&amp;S490&amp;" "&amp;S491&amp;" "&amp;S492&amp;" "&amp;S493&amp;") läuft/laufen länger als "&amp;V21&amp;" Jahre. Am Ende des "&amp;V21&amp;". Jahres besteht noch eine Restschuld von insgesamt "&amp;X479&amp;",- €. Dieser Betrag ist aus dem oben dargestellten Liquiditätsbetrag am Ende des "&amp;V21&amp;". Jahres noch zu begleichen."</f>
        <v>Achtung: Eines oder mehrere der eingesetzten Darlehen (   ) läuft/laufen länger als 20 Jahre. Am Ende des 20. Jahres besteht noch eine Restschuld von insgesamt 0,- €. Dieser Betrag ist aus dem oben dargestellten Liquiditätsbetrag am Ende des 20. Jahres noch zu begleichen.</v>
      </c>
      <c r="BD489" s="387">
        <f t="shared" si="184"/>
        <v>12</v>
      </c>
      <c r="BE489" s="382">
        <f>IF(BD489&gt;0,152,0)</f>
        <v>152</v>
      </c>
      <c r="BG489" s="383">
        <f>IF($BE489&gt;$R$66-3+($BR$335*12),152,0)</f>
        <v>152</v>
      </c>
      <c r="BH489" s="1754">
        <f t="shared" si="185"/>
        <v>0</v>
      </c>
      <c r="BI489" s="1754"/>
      <c r="BJ489" s="1754"/>
      <c r="BK489" s="1754"/>
      <c r="BL489" s="1754">
        <f t="shared" si="155"/>
        <v>0</v>
      </c>
      <c r="BM489" s="1754"/>
      <c r="BN489" s="1754"/>
      <c r="BO489" s="1754">
        <f t="shared" si="146"/>
        <v>0</v>
      </c>
      <c r="BP489" s="1754"/>
      <c r="BQ489" s="1754"/>
      <c r="BR489" s="1754">
        <f t="shared" si="186"/>
        <v>0</v>
      </c>
      <c r="BS489" s="1754"/>
      <c r="BT489" s="1754"/>
      <c r="BU489" s="1754"/>
      <c r="BW489" s="383">
        <f>IF($BE489&gt;$R$66-3+($CH$335*12),152,0)</f>
        <v>152</v>
      </c>
      <c r="BX489" s="1754">
        <f t="shared" si="137"/>
        <v>0</v>
      </c>
      <c r="BY489" s="1754"/>
      <c r="BZ489" s="1754"/>
      <c r="CA489" s="1754"/>
      <c r="CB489" s="1754">
        <f t="shared" si="156"/>
        <v>0</v>
      </c>
      <c r="CC489" s="1754"/>
      <c r="CD489" s="1754"/>
      <c r="CE489" s="1754">
        <f t="shared" si="147"/>
        <v>0</v>
      </c>
      <c r="CF489" s="1754"/>
      <c r="CG489" s="1754"/>
      <c r="CH489" s="1754">
        <f t="shared" si="148"/>
        <v>0</v>
      </c>
      <c r="CI489" s="1754"/>
      <c r="CJ489" s="1754"/>
      <c r="CK489" s="1754"/>
      <c r="CM489" s="383">
        <f>IF($BE489&gt;$R$66-3+($CX$335*12),152,0)</f>
        <v>152</v>
      </c>
      <c r="CN489" s="1754">
        <f t="shared" si="138"/>
        <v>0</v>
      </c>
      <c r="CO489" s="1754"/>
      <c r="CP489" s="1754"/>
      <c r="CQ489" s="1754"/>
      <c r="CR489" s="1754">
        <f t="shared" si="157"/>
        <v>0</v>
      </c>
      <c r="CS489" s="1754"/>
      <c r="CT489" s="1754"/>
      <c r="CU489" s="1754">
        <f t="shared" si="149"/>
        <v>0</v>
      </c>
      <c r="CV489" s="1754"/>
      <c r="CW489" s="1754"/>
      <c r="CX489" s="1754">
        <f t="shared" si="150"/>
        <v>0</v>
      </c>
      <c r="CY489" s="1754"/>
      <c r="CZ489" s="1754"/>
      <c r="DA489" s="1754"/>
      <c r="DC489" s="383">
        <f>IF($BE489&gt;$R$66-3,152,0)</f>
        <v>152</v>
      </c>
      <c r="DD489" s="1754">
        <f t="shared" si="139"/>
        <v>0</v>
      </c>
      <c r="DE489" s="1754"/>
      <c r="DF489" s="1754"/>
      <c r="DG489" s="1754"/>
      <c r="DH489" s="1754">
        <f t="shared" si="158"/>
        <v>0</v>
      </c>
      <c r="DI489" s="1754"/>
      <c r="DJ489" s="1754"/>
      <c r="DK489" s="1754">
        <f t="shared" si="151"/>
        <v>0</v>
      </c>
      <c r="DL489" s="1754"/>
      <c r="DM489" s="1754"/>
      <c r="DN489" s="1754"/>
      <c r="DP489" s="383">
        <f t="shared" si="159"/>
        <v>152</v>
      </c>
      <c r="DQ489" s="1754">
        <f t="shared" si="160"/>
        <v>0</v>
      </c>
      <c r="DR489" s="1754"/>
      <c r="DS489" s="1754"/>
      <c r="DT489" s="1754"/>
      <c r="DU489" s="1754">
        <f t="shared" si="177"/>
        <v>0</v>
      </c>
      <c r="DV489" s="1754"/>
      <c r="DW489" s="1754"/>
      <c r="DX489" s="1754">
        <f t="shared" si="179"/>
        <v>0</v>
      </c>
      <c r="DY489" s="1754"/>
      <c r="DZ489" s="1754"/>
      <c r="EA489" s="1754">
        <f t="shared" si="180"/>
        <v>0</v>
      </c>
      <c r="EB489" s="1754"/>
      <c r="EC489" s="1754"/>
      <c r="ED489" s="1754"/>
      <c r="EE489" s="384"/>
      <c r="EF489" s="1750">
        <f t="shared" si="152"/>
        <v>0</v>
      </c>
      <c r="EG489" s="1751"/>
      <c r="EH489" s="1751"/>
      <c r="EI489" s="1751"/>
      <c r="EJ489" s="1752"/>
      <c r="EL489" s="1750">
        <f t="shared" si="181"/>
        <v>0</v>
      </c>
      <c r="EM489" s="1751"/>
      <c r="EN489" s="1751"/>
      <c r="EO489" s="1751"/>
      <c r="EP489" s="1752"/>
      <c r="ER489" s="1750">
        <f t="shared" si="153"/>
        <v>0</v>
      </c>
      <c r="ES489" s="1751"/>
      <c r="ET489" s="1751"/>
      <c r="EU489" s="1751"/>
      <c r="EV489" s="1752"/>
      <c r="EX489" s="1750">
        <f>IF(BE489&gt;0,Einstrahlung!$K$24*Kalkulation!$P$62/100*$AY$29*POWER((100-$P$64)/100,BD489-1),0)</f>
        <v>0</v>
      </c>
      <c r="EY489" s="1751"/>
      <c r="EZ489" s="1751"/>
      <c r="FA489" s="1751"/>
      <c r="FB489" s="1752"/>
      <c r="FD489" s="1750">
        <f t="shared" si="161"/>
        <v>0</v>
      </c>
      <c r="FE489" s="1751"/>
      <c r="FF489" s="1751"/>
      <c r="FG489" s="1751"/>
      <c r="FH489" s="1752"/>
      <c r="FI489" s="385"/>
      <c r="FJ489" s="380">
        <f t="shared" si="173"/>
        <v>0</v>
      </c>
      <c r="FK489" s="385"/>
      <c r="FL489" s="380">
        <f t="shared" si="187"/>
        <v>0</v>
      </c>
      <c r="FM489" s="385"/>
      <c r="FN489" s="380">
        <f t="shared" si="162"/>
        <v>0</v>
      </c>
      <c r="FO489" s="962">
        <f t="shared" si="167"/>
        <v>281</v>
      </c>
      <c r="FP489" s="956">
        <f t="shared" si="154"/>
        <v>0.4</v>
      </c>
      <c r="FQ489" s="380">
        <f t="shared" si="178"/>
        <v>0</v>
      </c>
      <c r="FR489" s="626">
        <f t="shared" si="188"/>
        <v>1</v>
      </c>
      <c r="FT489" s="1819">
        <f t="shared" si="168"/>
        <v>0</v>
      </c>
      <c r="FU489" s="1820"/>
      <c r="FV489" s="1820"/>
      <c r="FW489" s="1820"/>
      <c r="FX489" s="1821"/>
      <c r="FY489" s="1819">
        <f t="shared" si="163"/>
        <v>0</v>
      </c>
      <c r="FZ489" s="1820"/>
      <c r="GA489" s="1820"/>
      <c r="GB489" s="1821"/>
      <c r="GC489" s="1825">
        <f t="shared" si="182"/>
        <v>0</v>
      </c>
      <c r="GD489" s="1826"/>
      <c r="GE489" s="1826"/>
      <c r="GF489" s="1827"/>
      <c r="GH489" s="1750">
        <f t="shared" si="164"/>
        <v>0</v>
      </c>
      <c r="GI489" s="1751"/>
      <c r="GJ489" s="1751"/>
      <c r="GK489" s="1752"/>
      <c r="GL489" s="1750">
        <f t="shared" si="165"/>
        <v>0</v>
      </c>
      <c r="GM489" s="1751"/>
      <c r="GN489" s="1751"/>
      <c r="GO489" s="1752"/>
      <c r="GP489" s="385"/>
      <c r="GQ489" s="1750">
        <f t="shared" si="166"/>
        <v>0</v>
      </c>
      <c r="GR489" s="1751"/>
      <c r="GS489" s="1751"/>
      <c r="GT489" s="1752"/>
      <c r="GU489" s="192">
        <f t="shared" si="176"/>
        <v>1</v>
      </c>
      <c r="GV489" s="192">
        <f>SUM($GU$337:GU489)</f>
        <v>145</v>
      </c>
      <c r="GW489" s="318"/>
      <c r="HH489" s="380">
        <f t="shared" si="183"/>
        <v>0</v>
      </c>
      <c r="HX489" s="380"/>
    </row>
    <row r="490" spans="4:232">
      <c r="D490" s="409">
        <v>2</v>
      </c>
      <c r="E490" s="318"/>
      <c r="F490" s="428">
        <f>BR373</f>
        <v>0</v>
      </c>
      <c r="G490" s="428">
        <f>CH373</f>
        <v>0</v>
      </c>
      <c r="H490" s="428">
        <f>CX373</f>
        <v>0</v>
      </c>
      <c r="I490" s="247"/>
      <c r="J490" s="247"/>
      <c r="K490" s="429">
        <f>IF(AND(F490&gt;0,F493=0),$D490,0)</f>
        <v>0</v>
      </c>
      <c r="L490" s="429">
        <f>IF(AND(G490&gt;0,G493=0),$D490,0)</f>
        <v>0</v>
      </c>
      <c r="N490" s="429">
        <f>IF(AND(H490&gt;0,H493=0),$D490,0)</f>
        <v>0</v>
      </c>
      <c r="O490" s="430"/>
      <c r="P490" s="431"/>
      <c r="S490" s="435" t="str">
        <f>IF(X475&gt;0,"Darlehen 1, ","")</f>
        <v/>
      </c>
      <c r="BD490" s="387">
        <f t="shared" si="184"/>
        <v>12</v>
      </c>
      <c r="BE490" s="382">
        <f>IF(BD490&gt;0,152,0)</f>
        <v>152</v>
      </c>
      <c r="BG490" s="383">
        <f>IF($BE490&gt;$R$66-3+($BR$335*12),153,0)</f>
        <v>153</v>
      </c>
      <c r="BH490" s="1754">
        <f t="shared" si="185"/>
        <v>0</v>
      </c>
      <c r="BI490" s="1754"/>
      <c r="BJ490" s="1754"/>
      <c r="BK490" s="1754"/>
      <c r="BL490" s="1754">
        <f t="shared" si="155"/>
        <v>0</v>
      </c>
      <c r="BM490" s="1754"/>
      <c r="BN490" s="1754"/>
      <c r="BO490" s="1754">
        <f t="shared" si="146"/>
        <v>0</v>
      </c>
      <c r="BP490" s="1754"/>
      <c r="BQ490" s="1754"/>
      <c r="BR490" s="1754">
        <f t="shared" si="186"/>
        <v>0</v>
      </c>
      <c r="BS490" s="1754"/>
      <c r="BT490" s="1754"/>
      <c r="BU490" s="1754"/>
      <c r="BW490" s="383">
        <f>IF($BE490&gt;$R$66-3+($CH$335*12),153,0)</f>
        <v>153</v>
      </c>
      <c r="BX490" s="1754">
        <f t="shared" si="137"/>
        <v>0</v>
      </c>
      <c r="BY490" s="1754"/>
      <c r="BZ490" s="1754"/>
      <c r="CA490" s="1754"/>
      <c r="CB490" s="1754">
        <f t="shared" si="156"/>
        <v>0</v>
      </c>
      <c r="CC490" s="1754"/>
      <c r="CD490" s="1754"/>
      <c r="CE490" s="1754">
        <f t="shared" si="147"/>
        <v>0</v>
      </c>
      <c r="CF490" s="1754"/>
      <c r="CG490" s="1754"/>
      <c r="CH490" s="1754">
        <f t="shared" si="148"/>
        <v>0</v>
      </c>
      <c r="CI490" s="1754"/>
      <c r="CJ490" s="1754"/>
      <c r="CK490" s="1754"/>
      <c r="CM490" s="383">
        <f>IF($BE490&gt;$R$66-3+($CX$335*12),153,0)</f>
        <v>153</v>
      </c>
      <c r="CN490" s="1754">
        <f t="shared" si="138"/>
        <v>0</v>
      </c>
      <c r="CO490" s="1754"/>
      <c r="CP490" s="1754"/>
      <c r="CQ490" s="1754"/>
      <c r="CR490" s="1754">
        <f t="shared" si="157"/>
        <v>0</v>
      </c>
      <c r="CS490" s="1754"/>
      <c r="CT490" s="1754"/>
      <c r="CU490" s="1754">
        <f t="shared" si="149"/>
        <v>0</v>
      </c>
      <c r="CV490" s="1754"/>
      <c r="CW490" s="1754"/>
      <c r="CX490" s="1754">
        <f t="shared" si="150"/>
        <v>0</v>
      </c>
      <c r="CY490" s="1754"/>
      <c r="CZ490" s="1754"/>
      <c r="DA490" s="1754"/>
      <c r="DC490" s="383">
        <f>IF($BE490&gt;$R$66-3,153,0)</f>
        <v>153</v>
      </c>
      <c r="DD490" s="1754">
        <f t="shared" si="139"/>
        <v>0</v>
      </c>
      <c r="DE490" s="1754"/>
      <c r="DF490" s="1754"/>
      <c r="DG490" s="1754"/>
      <c r="DH490" s="1754">
        <f t="shared" si="158"/>
        <v>0</v>
      </c>
      <c r="DI490" s="1754"/>
      <c r="DJ490" s="1754"/>
      <c r="DK490" s="1754">
        <f t="shared" si="151"/>
        <v>0</v>
      </c>
      <c r="DL490" s="1754"/>
      <c r="DM490" s="1754"/>
      <c r="DN490" s="1754"/>
      <c r="DP490" s="383">
        <f t="shared" si="159"/>
        <v>153</v>
      </c>
      <c r="DQ490" s="1754">
        <f t="shared" si="160"/>
        <v>0</v>
      </c>
      <c r="DR490" s="1754"/>
      <c r="DS490" s="1754"/>
      <c r="DT490" s="1754"/>
      <c r="DU490" s="1754">
        <f t="shared" si="177"/>
        <v>0</v>
      </c>
      <c r="DV490" s="1754"/>
      <c r="DW490" s="1754"/>
      <c r="DX490" s="1754">
        <f t="shared" si="179"/>
        <v>0</v>
      </c>
      <c r="DY490" s="1754"/>
      <c r="DZ490" s="1754"/>
      <c r="EA490" s="1754">
        <f t="shared" si="180"/>
        <v>0</v>
      </c>
      <c r="EB490" s="1754"/>
      <c r="EC490" s="1754"/>
      <c r="ED490" s="1754"/>
      <c r="EE490" s="384"/>
      <c r="EF490" s="1750">
        <f t="shared" si="152"/>
        <v>0</v>
      </c>
      <c r="EG490" s="1751"/>
      <c r="EH490" s="1751"/>
      <c r="EI490" s="1751"/>
      <c r="EJ490" s="1752"/>
      <c r="EL490" s="1750">
        <f t="shared" si="181"/>
        <v>0</v>
      </c>
      <c r="EM490" s="1751"/>
      <c r="EN490" s="1751"/>
      <c r="EO490" s="1751"/>
      <c r="EP490" s="1752"/>
      <c r="ER490" s="1750">
        <f t="shared" si="153"/>
        <v>0</v>
      </c>
      <c r="ES490" s="1751"/>
      <c r="ET490" s="1751"/>
      <c r="EU490" s="1751"/>
      <c r="EV490" s="1752"/>
      <c r="EX490" s="1750">
        <f>IF(BE490&gt;0,Einstrahlung!$K$26*Kalkulation!$P$62/100*$AY$29*POWER((100-$P$64)/100,BD490-1),0)</f>
        <v>0</v>
      </c>
      <c r="EY490" s="1751"/>
      <c r="EZ490" s="1751"/>
      <c r="FA490" s="1751"/>
      <c r="FB490" s="1752"/>
      <c r="FD490" s="1750">
        <f t="shared" si="161"/>
        <v>0</v>
      </c>
      <c r="FE490" s="1751"/>
      <c r="FF490" s="1751"/>
      <c r="FG490" s="1751"/>
      <c r="FH490" s="1752"/>
      <c r="FI490" s="385"/>
      <c r="FJ490" s="380">
        <f t="shared" si="173"/>
        <v>0</v>
      </c>
      <c r="FK490" s="385"/>
      <c r="FL490" s="380">
        <f t="shared" si="187"/>
        <v>0</v>
      </c>
      <c r="FM490" s="385"/>
      <c r="FN490" s="380">
        <f t="shared" si="162"/>
        <v>0</v>
      </c>
      <c r="FO490" s="962">
        <f t="shared" si="167"/>
        <v>282</v>
      </c>
      <c r="FP490" s="956">
        <f t="shared" si="154"/>
        <v>0.4</v>
      </c>
      <c r="FQ490" s="380">
        <f t="shared" si="178"/>
        <v>0</v>
      </c>
      <c r="FR490" s="626">
        <f t="shared" si="188"/>
        <v>1</v>
      </c>
      <c r="FT490" s="1819">
        <f t="shared" si="168"/>
        <v>0</v>
      </c>
      <c r="FU490" s="1820"/>
      <c r="FV490" s="1820"/>
      <c r="FW490" s="1820"/>
      <c r="FX490" s="1821"/>
      <c r="FY490" s="1819">
        <f t="shared" si="163"/>
        <v>0</v>
      </c>
      <c r="FZ490" s="1820"/>
      <c r="GA490" s="1820"/>
      <c r="GB490" s="1821"/>
      <c r="GC490" s="1825">
        <f t="shared" si="182"/>
        <v>0</v>
      </c>
      <c r="GD490" s="1826"/>
      <c r="GE490" s="1826"/>
      <c r="GF490" s="1827"/>
      <c r="GH490" s="1750">
        <f t="shared" si="164"/>
        <v>0</v>
      </c>
      <c r="GI490" s="1751"/>
      <c r="GJ490" s="1751"/>
      <c r="GK490" s="1752"/>
      <c r="GL490" s="1750">
        <f t="shared" si="165"/>
        <v>0</v>
      </c>
      <c r="GM490" s="1751"/>
      <c r="GN490" s="1751"/>
      <c r="GO490" s="1752"/>
      <c r="GP490" s="385"/>
      <c r="GQ490" s="1750">
        <f t="shared" si="166"/>
        <v>0</v>
      </c>
      <c r="GR490" s="1751"/>
      <c r="GS490" s="1751"/>
      <c r="GT490" s="1752"/>
      <c r="GU490" s="192">
        <f t="shared" si="176"/>
        <v>1</v>
      </c>
      <c r="GV490" s="192">
        <f>SUM($GU$337:GU490)</f>
        <v>146</v>
      </c>
      <c r="GW490" s="318"/>
      <c r="HH490" s="380">
        <f t="shared" si="183"/>
        <v>0</v>
      </c>
      <c r="HX490" s="380"/>
    </row>
    <row r="491" spans="4:232">
      <c r="D491" s="313"/>
      <c r="E491" s="247"/>
      <c r="F491" s="247"/>
      <c r="G491" s="247"/>
      <c r="H491" s="247"/>
      <c r="I491" s="428">
        <f>'Endfälliges Darlehen'!AG15</f>
        <v>0</v>
      </c>
      <c r="J491" s="247"/>
      <c r="K491" s="429"/>
      <c r="L491" s="429"/>
      <c r="M491" s="429"/>
      <c r="N491" s="429"/>
      <c r="O491" s="430">
        <f>IF(AND(I491&gt;0,I494=0),$D490,0)</f>
        <v>0</v>
      </c>
      <c r="P491" s="431"/>
      <c r="S491" s="435" t="str">
        <f>IF(X476&gt;0,"Darlehen 2, ","")</f>
        <v/>
      </c>
      <c r="BD491" s="387">
        <f t="shared" si="184"/>
        <v>12</v>
      </c>
      <c r="BE491" s="382">
        <f>IF(BD491&gt;0,154,0)</f>
        <v>154</v>
      </c>
      <c r="BG491" s="383">
        <f>IF($BE491&gt;$R$66-3+($BR$335*12),154,0)</f>
        <v>154</v>
      </c>
      <c r="BH491" s="1754">
        <f t="shared" si="185"/>
        <v>0</v>
      </c>
      <c r="BI491" s="1754"/>
      <c r="BJ491" s="1754"/>
      <c r="BK491" s="1754"/>
      <c r="BL491" s="1754">
        <f t="shared" si="155"/>
        <v>0</v>
      </c>
      <c r="BM491" s="1754"/>
      <c r="BN491" s="1754"/>
      <c r="BO491" s="1754">
        <f t="shared" si="146"/>
        <v>0</v>
      </c>
      <c r="BP491" s="1754"/>
      <c r="BQ491" s="1754"/>
      <c r="BR491" s="1754">
        <f t="shared" si="186"/>
        <v>0</v>
      </c>
      <c r="BS491" s="1754"/>
      <c r="BT491" s="1754"/>
      <c r="BU491" s="1754"/>
      <c r="BW491" s="383">
        <f>IF($BE491&gt;$R$66-3+($CH$335*12),154,0)</f>
        <v>154</v>
      </c>
      <c r="BX491" s="1754">
        <f t="shared" si="137"/>
        <v>0</v>
      </c>
      <c r="BY491" s="1754"/>
      <c r="BZ491" s="1754"/>
      <c r="CA491" s="1754"/>
      <c r="CB491" s="1754">
        <f t="shared" si="156"/>
        <v>0</v>
      </c>
      <c r="CC491" s="1754"/>
      <c r="CD491" s="1754"/>
      <c r="CE491" s="1754">
        <f t="shared" si="147"/>
        <v>0</v>
      </c>
      <c r="CF491" s="1754"/>
      <c r="CG491" s="1754"/>
      <c r="CH491" s="1754">
        <f t="shared" si="148"/>
        <v>0</v>
      </c>
      <c r="CI491" s="1754"/>
      <c r="CJ491" s="1754"/>
      <c r="CK491" s="1754"/>
      <c r="CM491" s="383">
        <f>IF($BE491&gt;$R$66-3+($CX$335*12),154,0)</f>
        <v>154</v>
      </c>
      <c r="CN491" s="1754">
        <f t="shared" si="138"/>
        <v>0</v>
      </c>
      <c r="CO491" s="1754"/>
      <c r="CP491" s="1754"/>
      <c r="CQ491" s="1754"/>
      <c r="CR491" s="1754">
        <f t="shared" si="157"/>
        <v>0</v>
      </c>
      <c r="CS491" s="1754"/>
      <c r="CT491" s="1754"/>
      <c r="CU491" s="1754">
        <f t="shared" si="149"/>
        <v>0</v>
      </c>
      <c r="CV491" s="1754"/>
      <c r="CW491" s="1754"/>
      <c r="CX491" s="1754">
        <f t="shared" si="150"/>
        <v>0</v>
      </c>
      <c r="CY491" s="1754"/>
      <c r="CZ491" s="1754"/>
      <c r="DA491" s="1754"/>
      <c r="DC491" s="383">
        <f>IF($BE491&gt;$R$66-3,154,0)</f>
        <v>154</v>
      </c>
      <c r="DD491" s="1754">
        <f t="shared" si="139"/>
        <v>0</v>
      </c>
      <c r="DE491" s="1754"/>
      <c r="DF491" s="1754"/>
      <c r="DG491" s="1754"/>
      <c r="DH491" s="1754">
        <f t="shared" si="158"/>
        <v>0</v>
      </c>
      <c r="DI491" s="1754"/>
      <c r="DJ491" s="1754"/>
      <c r="DK491" s="1754">
        <f t="shared" si="151"/>
        <v>0</v>
      </c>
      <c r="DL491" s="1754"/>
      <c r="DM491" s="1754"/>
      <c r="DN491" s="1754"/>
      <c r="DP491" s="383">
        <f t="shared" si="159"/>
        <v>154</v>
      </c>
      <c r="DQ491" s="1754">
        <f t="shared" si="160"/>
        <v>0</v>
      </c>
      <c r="DR491" s="1754"/>
      <c r="DS491" s="1754"/>
      <c r="DT491" s="1754"/>
      <c r="DU491" s="1754">
        <f t="shared" si="177"/>
        <v>0</v>
      </c>
      <c r="DV491" s="1754"/>
      <c r="DW491" s="1754"/>
      <c r="DX491" s="1754">
        <f t="shared" si="179"/>
        <v>0</v>
      </c>
      <c r="DY491" s="1754"/>
      <c r="DZ491" s="1754"/>
      <c r="EA491" s="1754">
        <f t="shared" si="180"/>
        <v>0</v>
      </c>
      <c r="EB491" s="1754"/>
      <c r="EC491" s="1754"/>
      <c r="ED491" s="1754"/>
      <c r="EE491" s="384"/>
      <c r="EF491" s="1750">
        <f t="shared" si="152"/>
        <v>0</v>
      </c>
      <c r="EG491" s="1751"/>
      <c r="EH491" s="1751"/>
      <c r="EI491" s="1751"/>
      <c r="EJ491" s="1752"/>
      <c r="EL491" s="1750">
        <f t="shared" si="181"/>
        <v>0</v>
      </c>
      <c r="EM491" s="1751"/>
      <c r="EN491" s="1751"/>
      <c r="EO491" s="1751"/>
      <c r="EP491" s="1752"/>
      <c r="ER491" s="1750">
        <f t="shared" si="153"/>
        <v>0</v>
      </c>
      <c r="ES491" s="1751"/>
      <c r="ET491" s="1751"/>
      <c r="EU491" s="1751"/>
      <c r="EV491" s="1752"/>
      <c r="EX491" s="1750">
        <f>IF(BE491&gt;0,Einstrahlung!$K$28*Kalkulation!$P$62/100*$AY$29*POWER((100-$P$64)/100,BD491-1),0)</f>
        <v>0</v>
      </c>
      <c r="EY491" s="1751"/>
      <c r="EZ491" s="1751"/>
      <c r="FA491" s="1751"/>
      <c r="FB491" s="1752"/>
      <c r="FD491" s="1750">
        <f t="shared" si="161"/>
        <v>0</v>
      </c>
      <c r="FE491" s="1751"/>
      <c r="FF491" s="1751"/>
      <c r="FG491" s="1751"/>
      <c r="FH491" s="1752"/>
      <c r="FI491" s="385"/>
      <c r="FJ491" s="380">
        <f t="shared" si="173"/>
        <v>0</v>
      </c>
      <c r="FK491" s="385"/>
      <c r="FL491" s="380">
        <f t="shared" si="187"/>
        <v>0</v>
      </c>
      <c r="FM491" s="385"/>
      <c r="FN491" s="380">
        <f t="shared" si="162"/>
        <v>0</v>
      </c>
      <c r="FO491" s="962">
        <f t="shared" si="167"/>
        <v>283</v>
      </c>
      <c r="FP491" s="956">
        <f t="shared" si="154"/>
        <v>0.4</v>
      </c>
      <c r="FQ491" s="380">
        <f t="shared" si="178"/>
        <v>0</v>
      </c>
      <c r="FR491" s="626">
        <f t="shared" si="188"/>
        <v>1</v>
      </c>
      <c r="FT491" s="1819">
        <f t="shared" si="168"/>
        <v>0</v>
      </c>
      <c r="FU491" s="1820"/>
      <c r="FV491" s="1820"/>
      <c r="FW491" s="1820"/>
      <c r="FX491" s="1821"/>
      <c r="FY491" s="1819">
        <f t="shared" si="163"/>
        <v>0</v>
      </c>
      <c r="FZ491" s="1820"/>
      <c r="GA491" s="1820"/>
      <c r="GB491" s="1821"/>
      <c r="GC491" s="1825">
        <f t="shared" si="182"/>
        <v>0</v>
      </c>
      <c r="GD491" s="1826"/>
      <c r="GE491" s="1826"/>
      <c r="GF491" s="1827"/>
      <c r="GH491" s="1750">
        <f t="shared" si="164"/>
        <v>0</v>
      </c>
      <c r="GI491" s="1751"/>
      <c r="GJ491" s="1751"/>
      <c r="GK491" s="1752"/>
      <c r="GL491" s="1750">
        <f t="shared" si="165"/>
        <v>0</v>
      </c>
      <c r="GM491" s="1751"/>
      <c r="GN491" s="1751"/>
      <c r="GO491" s="1752"/>
      <c r="GP491" s="385"/>
      <c r="GQ491" s="1750">
        <f t="shared" si="166"/>
        <v>0</v>
      </c>
      <c r="GR491" s="1751"/>
      <c r="GS491" s="1751"/>
      <c r="GT491" s="1752"/>
      <c r="GU491" s="192">
        <f t="shared" si="176"/>
        <v>1</v>
      </c>
      <c r="GV491" s="192">
        <f>SUM($GU$337:GU491)</f>
        <v>147</v>
      </c>
      <c r="GW491" s="318"/>
      <c r="HH491" s="380">
        <f t="shared" si="183"/>
        <v>0</v>
      </c>
      <c r="HX491" s="380"/>
    </row>
    <row r="492" spans="4:232">
      <c r="D492" s="313"/>
      <c r="E492" s="247"/>
      <c r="F492" s="247"/>
      <c r="G492" s="247"/>
      <c r="H492" s="247"/>
      <c r="I492" s="247"/>
      <c r="J492" s="428">
        <f>'Endfälliges Darlehen'!AV15</f>
        <v>0</v>
      </c>
      <c r="K492" s="429"/>
      <c r="L492" s="429"/>
      <c r="M492" s="429"/>
      <c r="N492" s="429"/>
      <c r="O492" s="430"/>
      <c r="P492" s="431"/>
      <c r="S492" s="435" t="str">
        <f>IF(X477&gt;0,"Darlehen 3, ","")</f>
        <v/>
      </c>
      <c r="BD492" s="387">
        <f t="shared" si="184"/>
        <v>12</v>
      </c>
      <c r="BE492" s="382">
        <f>IF(BD492&gt;0,155,0)</f>
        <v>155</v>
      </c>
      <c r="BG492" s="383">
        <f>IF($BE492&gt;$R$66-3+($BR$335*12),155,0)</f>
        <v>155</v>
      </c>
      <c r="BH492" s="1754">
        <f t="shared" si="185"/>
        <v>0</v>
      </c>
      <c r="BI492" s="1754"/>
      <c r="BJ492" s="1754"/>
      <c r="BK492" s="1754"/>
      <c r="BL492" s="1754">
        <f t="shared" si="155"/>
        <v>0</v>
      </c>
      <c r="BM492" s="1754"/>
      <c r="BN492" s="1754"/>
      <c r="BO492" s="1754">
        <f t="shared" si="146"/>
        <v>0</v>
      </c>
      <c r="BP492" s="1754"/>
      <c r="BQ492" s="1754"/>
      <c r="BR492" s="1754">
        <f t="shared" si="186"/>
        <v>0</v>
      </c>
      <c r="BS492" s="1754"/>
      <c r="BT492" s="1754"/>
      <c r="BU492" s="1754"/>
      <c r="BW492" s="383">
        <f>IF($BE492&gt;$R$66-3+($CH$335*12),155,0)</f>
        <v>155</v>
      </c>
      <c r="BX492" s="1754">
        <f t="shared" si="137"/>
        <v>0</v>
      </c>
      <c r="BY492" s="1754"/>
      <c r="BZ492" s="1754"/>
      <c r="CA492" s="1754"/>
      <c r="CB492" s="1754">
        <f t="shared" si="156"/>
        <v>0</v>
      </c>
      <c r="CC492" s="1754"/>
      <c r="CD492" s="1754"/>
      <c r="CE492" s="1754">
        <f t="shared" si="147"/>
        <v>0</v>
      </c>
      <c r="CF492" s="1754"/>
      <c r="CG492" s="1754"/>
      <c r="CH492" s="1754">
        <f t="shared" si="148"/>
        <v>0</v>
      </c>
      <c r="CI492" s="1754"/>
      <c r="CJ492" s="1754"/>
      <c r="CK492" s="1754"/>
      <c r="CM492" s="383">
        <f>IF($BE492&gt;$R$66-3+($CX$335*12),155,0)</f>
        <v>155</v>
      </c>
      <c r="CN492" s="1754">
        <f t="shared" si="138"/>
        <v>0</v>
      </c>
      <c r="CO492" s="1754"/>
      <c r="CP492" s="1754"/>
      <c r="CQ492" s="1754"/>
      <c r="CR492" s="1754">
        <f t="shared" si="157"/>
        <v>0</v>
      </c>
      <c r="CS492" s="1754"/>
      <c r="CT492" s="1754"/>
      <c r="CU492" s="1754">
        <f t="shared" si="149"/>
        <v>0</v>
      </c>
      <c r="CV492" s="1754"/>
      <c r="CW492" s="1754"/>
      <c r="CX492" s="1754">
        <f t="shared" si="150"/>
        <v>0</v>
      </c>
      <c r="CY492" s="1754"/>
      <c r="CZ492" s="1754"/>
      <c r="DA492" s="1754"/>
      <c r="DC492" s="383">
        <f>IF($BE492&gt;$R$66-3,155,0)</f>
        <v>155</v>
      </c>
      <c r="DD492" s="1754">
        <f t="shared" si="139"/>
        <v>0</v>
      </c>
      <c r="DE492" s="1754"/>
      <c r="DF492" s="1754"/>
      <c r="DG492" s="1754"/>
      <c r="DH492" s="1754">
        <f t="shared" si="158"/>
        <v>0</v>
      </c>
      <c r="DI492" s="1754"/>
      <c r="DJ492" s="1754"/>
      <c r="DK492" s="1754">
        <f t="shared" si="151"/>
        <v>0</v>
      </c>
      <c r="DL492" s="1754"/>
      <c r="DM492" s="1754"/>
      <c r="DN492" s="1754"/>
      <c r="DP492" s="383">
        <f t="shared" si="159"/>
        <v>155</v>
      </c>
      <c r="DQ492" s="1754">
        <f t="shared" si="160"/>
        <v>0</v>
      </c>
      <c r="DR492" s="1754"/>
      <c r="DS492" s="1754"/>
      <c r="DT492" s="1754"/>
      <c r="DU492" s="1754">
        <f t="shared" si="177"/>
        <v>0</v>
      </c>
      <c r="DV492" s="1754"/>
      <c r="DW492" s="1754"/>
      <c r="DX492" s="1754">
        <f t="shared" si="179"/>
        <v>0</v>
      </c>
      <c r="DY492" s="1754"/>
      <c r="DZ492" s="1754"/>
      <c r="EA492" s="1754">
        <f t="shared" si="180"/>
        <v>0</v>
      </c>
      <c r="EB492" s="1754"/>
      <c r="EC492" s="1754"/>
      <c r="ED492" s="1754"/>
      <c r="EE492" s="384"/>
      <c r="EF492" s="1750">
        <f t="shared" si="152"/>
        <v>0</v>
      </c>
      <c r="EG492" s="1751"/>
      <c r="EH492" s="1751"/>
      <c r="EI492" s="1751"/>
      <c r="EJ492" s="1752"/>
      <c r="EL492" s="1750">
        <f t="shared" si="181"/>
        <v>0</v>
      </c>
      <c r="EM492" s="1751"/>
      <c r="EN492" s="1751"/>
      <c r="EO492" s="1751"/>
      <c r="EP492" s="1752"/>
      <c r="ER492" s="1750">
        <f t="shared" si="153"/>
        <v>0</v>
      </c>
      <c r="ES492" s="1751"/>
      <c r="ET492" s="1751"/>
      <c r="EU492" s="1751"/>
      <c r="EV492" s="1752"/>
      <c r="EX492" s="1750">
        <f>IF(BE492&gt;0,Einstrahlung!$K$30*Kalkulation!$P$62/100*$AY$29*POWER((100-$P$64)/100,BD492-1),0)</f>
        <v>0</v>
      </c>
      <c r="EY492" s="1751"/>
      <c r="EZ492" s="1751"/>
      <c r="FA492" s="1751"/>
      <c r="FB492" s="1752"/>
      <c r="FD492" s="1750">
        <f t="shared" si="161"/>
        <v>0</v>
      </c>
      <c r="FE492" s="1751"/>
      <c r="FF492" s="1751"/>
      <c r="FG492" s="1751"/>
      <c r="FH492" s="1752"/>
      <c r="FI492" s="385"/>
      <c r="FJ492" s="380">
        <f t="shared" si="173"/>
        <v>0</v>
      </c>
      <c r="FK492" s="385"/>
      <c r="FL492" s="380">
        <f t="shared" si="187"/>
        <v>0</v>
      </c>
      <c r="FM492" s="385"/>
      <c r="FN492" s="380">
        <f t="shared" si="162"/>
        <v>0</v>
      </c>
      <c r="FO492" s="962">
        <f t="shared" si="167"/>
        <v>284</v>
      </c>
      <c r="FP492" s="956">
        <f t="shared" si="154"/>
        <v>0.4</v>
      </c>
      <c r="FQ492" s="380">
        <f t="shared" si="178"/>
        <v>0</v>
      </c>
      <c r="FR492" s="626">
        <f t="shared" si="188"/>
        <v>1</v>
      </c>
      <c r="FT492" s="1819">
        <f t="shared" si="168"/>
        <v>0</v>
      </c>
      <c r="FU492" s="1820"/>
      <c r="FV492" s="1820"/>
      <c r="FW492" s="1820"/>
      <c r="FX492" s="1821"/>
      <c r="FY492" s="1819">
        <f t="shared" si="163"/>
        <v>0</v>
      </c>
      <c r="FZ492" s="1820"/>
      <c r="GA492" s="1820"/>
      <c r="GB492" s="1821"/>
      <c r="GC492" s="1825">
        <f t="shared" si="182"/>
        <v>0</v>
      </c>
      <c r="GD492" s="1826"/>
      <c r="GE492" s="1826"/>
      <c r="GF492" s="1827"/>
      <c r="GH492" s="1750">
        <f t="shared" si="164"/>
        <v>0</v>
      </c>
      <c r="GI492" s="1751"/>
      <c r="GJ492" s="1751"/>
      <c r="GK492" s="1752"/>
      <c r="GL492" s="1750">
        <f t="shared" si="165"/>
        <v>0</v>
      </c>
      <c r="GM492" s="1751"/>
      <c r="GN492" s="1751"/>
      <c r="GO492" s="1752"/>
      <c r="GP492" s="385"/>
      <c r="GQ492" s="1750">
        <f t="shared" si="166"/>
        <v>0</v>
      </c>
      <c r="GR492" s="1751"/>
      <c r="GS492" s="1751"/>
      <c r="GT492" s="1752"/>
      <c r="GU492" s="192">
        <f t="shared" si="176"/>
        <v>1</v>
      </c>
      <c r="GV492" s="192">
        <f>SUM($GU$337:GU492)</f>
        <v>148</v>
      </c>
      <c r="GW492" s="318"/>
      <c r="HH492" s="380">
        <f t="shared" si="183"/>
        <v>0</v>
      </c>
      <c r="HX492" s="380"/>
    </row>
    <row r="493" spans="4:232" ht="13.5" thickBot="1">
      <c r="D493" s="409">
        <v>3</v>
      </c>
      <c r="E493" s="318"/>
      <c r="F493" s="428">
        <f>BR385</f>
        <v>0</v>
      </c>
      <c r="G493" s="428">
        <f>CH385</f>
        <v>0</v>
      </c>
      <c r="H493" s="428">
        <f>CX385</f>
        <v>0</v>
      </c>
      <c r="I493" s="247"/>
      <c r="J493" s="247"/>
      <c r="K493" s="429">
        <f>IF(AND(F493&gt;0,F496=0),$D493,0)</f>
        <v>0</v>
      </c>
      <c r="L493" s="429">
        <f>IF(AND(G493&gt;0,G496=0),$D493,0)</f>
        <v>0</v>
      </c>
      <c r="N493" s="429">
        <f>IF(AND(H493&gt;0,H496=0),$D493,0)</f>
        <v>0</v>
      </c>
      <c r="O493" s="430"/>
      <c r="P493" s="431"/>
      <c r="S493" s="435" t="str">
        <f>IF(X478&gt;0,"Endfälliges Darlehen","")</f>
        <v/>
      </c>
      <c r="BD493" s="389">
        <f t="shared" si="184"/>
        <v>12</v>
      </c>
      <c r="BE493" s="390">
        <f>IF(BD493&gt;0,156,0)</f>
        <v>156</v>
      </c>
      <c r="BG493" s="391">
        <f>IF($BE493&gt;$R$66-3+($BR$335*12),156,0)</f>
        <v>156</v>
      </c>
      <c r="BH493" s="1753">
        <f t="shared" si="185"/>
        <v>0</v>
      </c>
      <c r="BI493" s="1753"/>
      <c r="BJ493" s="1753"/>
      <c r="BK493" s="1753"/>
      <c r="BL493" s="1753">
        <f t="shared" si="155"/>
        <v>0</v>
      </c>
      <c r="BM493" s="1753"/>
      <c r="BN493" s="1753"/>
      <c r="BO493" s="1753">
        <f t="shared" si="146"/>
        <v>0</v>
      </c>
      <c r="BP493" s="1753"/>
      <c r="BQ493" s="1753"/>
      <c r="BR493" s="1753">
        <f t="shared" si="186"/>
        <v>0</v>
      </c>
      <c r="BS493" s="1753"/>
      <c r="BT493" s="1753"/>
      <c r="BU493" s="1753"/>
      <c r="BW493" s="391">
        <f>IF($BE493&gt;$R$66-3+($CH$335*12),156,0)</f>
        <v>156</v>
      </c>
      <c r="BX493" s="1753">
        <f t="shared" si="137"/>
        <v>0</v>
      </c>
      <c r="BY493" s="1753"/>
      <c r="BZ493" s="1753"/>
      <c r="CA493" s="1753"/>
      <c r="CB493" s="1753">
        <f t="shared" si="156"/>
        <v>0</v>
      </c>
      <c r="CC493" s="1753"/>
      <c r="CD493" s="1753"/>
      <c r="CE493" s="1753">
        <f t="shared" si="147"/>
        <v>0</v>
      </c>
      <c r="CF493" s="1753"/>
      <c r="CG493" s="1753"/>
      <c r="CH493" s="1753">
        <f t="shared" si="148"/>
        <v>0</v>
      </c>
      <c r="CI493" s="1753"/>
      <c r="CJ493" s="1753"/>
      <c r="CK493" s="1753"/>
      <c r="CM493" s="391">
        <f>IF($BE493&gt;$R$66-3+($CX$335*12),156,0)</f>
        <v>156</v>
      </c>
      <c r="CN493" s="1753">
        <f t="shared" si="138"/>
        <v>0</v>
      </c>
      <c r="CO493" s="1753"/>
      <c r="CP493" s="1753"/>
      <c r="CQ493" s="1753"/>
      <c r="CR493" s="1753">
        <f t="shared" si="157"/>
        <v>0</v>
      </c>
      <c r="CS493" s="1753"/>
      <c r="CT493" s="1753"/>
      <c r="CU493" s="1753">
        <f t="shared" si="149"/>
        <v>0</v>
      </c>
      <c r="CV493" s="1753"/>
      <c r="CW493" s="1753"/>
      <c r="CX493" s="1753">
        <f t="shared" si="150"/>
        <v>0</v>
      </c>
      <c r="CY493" s="1753"/>
      <c r="CZ493" s="1753"/>
      <c r="DA493" s="1753"/>
      <c r="DC493" s="391">
        <f>IF($BE493&gt;$R$66-3,156,0)</f>
        <v>156</v>
      </c>
      <c r="DD493" s="1753">
        <f t="shared" si="139"/>
        <v>0</v>
      </c>
      <c r="DE493" s="1753"/>
      <c r="DF493" s="1753"/>
      <c r="DG493" s="1753"/>
      <c r="DH493" s="1753">
        <f t="shared" si="158"/>
        <v>0</v>
      </c>
      <c r="DI493" s="1753"/>
      <c r="DJ493" s="1753"/>
      <c r="DK493" s="1753">
        <f t="shared" si="151"/>
        <v>0</v>
      </c>
      <c r="DL493" s="1753"/>
      <c r="DM493" s="1753"/>
      <c r="DN493" s="1753"/>
      <c r="DP493" s="391">
        <f t="shared" si="159"/>
        <v>156</v>
      </c>
      <c r="DQ493" s="1753">
        <f t="shared" si="160"/>
        <v>0</v>
      </c>
      <c r="DR493" s="1753"/>
      <c r="DS493" s="1753"/>
      <c r="DT493" s="1753"/>
      <c r="DU493" s="1753">
        <f t="shared" si="177"/>
        <v>0</v>
      </c>
      <c r="DV493" s="1753"/>
      <c r="DW493" s="1753"/>
      <c r="DX493" s="1753">
        <f t="shared" si="179"/>
        <v>0</v>
      </c>
      <c r="DY493" s="1753"/>
      <c r="DZ493" s="1753"/>
      <c r="EA493" s="1753">
        <f t="shared" si="180"/>
        <v>0</v>
      </c>
      <c r="EB493" s="1753"/>
      <c r="EC493" s="1753"/>
      <c r="ED493" s="1753"/>
      <c r="EE493" s="384"/>
      <c r="EF493" s="1744">
        <f t="shared" si="152"/>
        <v>0</v>
      </c>
      <c r="EG493" s="1745"/>
      <c r="EH493" s="1745"/>
      <c r="EI493" s="1745"/>
      <c r="EJ493" s="1746"/>
      <c r="EL493" s="1744">
        <f t="shared" si="181"/>
        <v>0</v>
      </c>
      <c r="EM493" s="1745"/>
      <c r="EN493" s="1745"/>
      <c r="EO493" s="1745"/>
      <c r="EP493" s="1746"/>
      <c r="ER493" s="1744">
        <f t="shared" si="153"/>
        <v>0</v>
      </c>
      <c r="ES493" s="1745"/>
      <c r="ET493" s="1745"/>
      <c r="EU493" s="1745"/>
      <c r="EV493" s="1746"/>
      <c r="EX493" s="1744">
        <f>IF(BE493&gt;0,Einstrahlung!$K$32*Kalkulation!$P$62/100*$AY$29*POWER((100-$P$64)/100,BD493-1),0)</f>
        <v>0</v>
      </c>
      <c r="EY493" s="1745"/>
      <c r="EZ493" s="1745"/>
      <c r="FA493" s="1745"/>
      <c r="FB493" s="1746"/>
      <c r="FD493" s="1744">
        <f t="shared" si="161"/>
        <v>0</v>
      </c>
      <c r="FE493" s="1745"/>
      <c r="FF493" s="1745"/>
      <c r="FG493" s="1745"/>
      <c r="FH493" s="1746"/>
      <c r="FI493" s="385"/>
      <c r="FJ493" s="453">
        <f t="shared" si="173"/>
        <v>0</v>
      </c>
      <c r="FK493" s="385"/>
      <c r="FL493" s="453">
        <f t="shared" si="187"/>
        <v>0</v>
      </c>
      <c r="FM493" s="385"/>
      <c r="FN493" s="453">
        <f t="shared" si="162"/>
        <v>0</v>
      </c>
      <c r="FO493" s="962">
        <f t="shared" si="167"/>
        <v>285</v>
      </c>
      <c r="FP493" s="956">
        <f t="shared" si="154"/>
        <v>0.4</v>
      </c>
      <c r="FQ493" s="453">
        <f t="shared" si="178"/>
        <v>0</v>
      </c>
      <c r="FR493" s="957">
        <f>POWER(1+$FQ$333,FS493)</f>
        <v>1</v>
      </c>
      <c r="FS493" s="617">
        <f>FS481+1</f>
        <v>12</v>
      </c>
      <c r="FT493" s="1822">
        <f t="shared" si="168"/>
        <v>0</v>
      </c>
      <c r="FU493" s="1823"/>
      <c r="FV493" s="1823"/>
      <c r="FW493" s="1823"/>
      <c r="FX493" s="1824"/>
      <c r="FY493" s="1822">
        <f t="shared" si="163"/>
        <v>0</v>
      </c>
      <c r="FZ493" s="1823"/>
      <c r="GA493" s="1823"/>
      <c r="GB493" s="1824"/>
      <c r="GC493" s="1831">
        <f t="shared" si="182"/>
        <v>0</v>
      </c>
      <c r="GD493" s="1832"/>
      <c r="GE493" s="1832"/>
      <c r="GF493" s="1833"/>
      <c r="GH493" s="1744">
        <f t="shared" si="164"/>
        <v>0</v>
      </c>
      <c r="GI493" s="1745"/>
      <c r="GJ493" s="1745"/>
      <c r="GK493" s="1746"/>
      <c r="GL493" s="1744">
        <f t="shared" si="165"/>
        <v>0</v>
      </c>
      <c r="GM493" s="1745"/>
      <c r="GN493" s="1745"/>
      <c r="GO493" s="1746"/>
      <c r="GP493" s="385"/>
      <c r="GQ493" s="1744">
        <f t="shared" si="166"/>
        <v>0</v>
      </c>
      <c r="GR493" s="1745"/>
      <c r="GS493" s="1745"/>
      <c r="GT493" s="1746"/>
      <c r="GU493" s="192">
        <f t="shared" si="176"/>
        <v>1</v>
      </c>
      <c r="GV493" s="192">
        <f>SUM($GU$337:GU493)</f>
        <v>149</v>
      </c>
      <c r="GW493" s="318"/>
      <c r="HI493" s="380">
        <f t="shared" ref="HI493:HI504" si="189">IF(GV493=156,SUM(GQ482:GT493),0)</f>
        <v>0</v>
      </c>
      <c r="HX493" s="380"/>
    </row>
    <row r="494" spans="4:232">
      <c r="D494" s="313"/>
      <c r="E494" s="247"/>
      <c r="F494" s="247"/>
      <c r="G494" s="247"/>
      <c r="H494" s="247"/>
      <c r="I494" s="428">
        <f>'Endfälliges Darlehen'!AG17</f>
        <v>0</v>
      </c>
      <c r="J494" s="247"/>
      <c r="K494" s="429"/>
      <c r="L494" s="429"/>
      <c r="M494" s="429"/>
      <c r="N494" s="429"/>
      <c r="O494" s="430">
        <f>IF(AND(I494&gt;0,I497=0),$D493,0)</f>
        <v>0</v>
      </c>
      <c r="BD494" s="381">
        <f t="shared" ref="BD494:BD505" si="190">IF(BH494&lt;0,0,IF($V$21&gt;0,13,0))</f>
        <v>13</v>
      </c>
      <c r="BE494" s="382">
        <f>IF(BD494&gt;0,157,0)</f>
        <v>157</v>
      </c>
      <c r="BG494" s="395">
        <f>IF($BE494&gt;$R$66-3+($BR$335*12),157,0)</f>
        <v>157</v>
      </c>
      <c r="BH494" s="1754">
        <f t="shared" ref="BH494:BH505" si="191">IF(BR493&lt;=0,0,BR493)</f>
        <v>0</v>
      </c>
      <c r="BI494" s="1754"/>
      <c r="BJ494" s="1754"/>
      <c r="BK494" s="1754"/>
      <c r="BL494" s="1754">
        <f t="shared" si="155"/>
        <v>0</v>
      </c>
      <c r="BM494" s="1754"/>
      <c r="BN494" s="1754"/>
      <c r="BO494" s="1754">
        <f t="shared" si="146"/>
        <v>0</v>
      </c>
      <c r="BP494" s="1754"/>
      <c r="BQ494" s="1754"/>
      <c r="BR494" s="1754">
        <f t="shared" ref="BR494:BR505" si="192">BH494-BL494</f>
        <v>0</v>
      </c>
      <c r="BS494" s="1754"/>
      <c r="BT494" s="1754"/>
      <c r="BU494" s="1754"/>
      <c r="BW494" s="395">
        <f>IF($BE494&gt;$R$66-3+($CH$335*12),157,0)</f>
        <v>157</v>
      </c>
      <c r="BX494" s="1754">
        <f t="shared" si="137"/>
        <v>0</v>
      </c>
      <c r="BY494" s="1754"/>
      <c r="BZ494" s="1754"/>
      <c r="CA494" s="1754"/>
      <c r="CB494" s="1754">
        <f t="shared" si="156"/>
        <v>0</v>
      </c>
      <c r="CC494" s="1754"/>
      <c r="CD494" s="1754"/>
      <c r="CE494" s="1754">
        <f t="shared" si="147"/>
        <v>0</v>
      </c>
      <c r="CF494" s="1754"/>
      <c r="CG494" s="1754"/>
      <c r="CH494" s="1754">
        <f t="shared" si="148"/>
        <v>0</v>
      </c>
      <c r="CI494" s="1754"/>
      <c r="CJ494" s="1754"/>
      <c r="CK494" s="1754"/>
      <c r="CM494" s="395">
        <f>IF($BE494&gt;$R$66-3+($CX$335*12),157,0)</f>
        <v>157</v>
      </c>
      <c r="CN494" s="1754">
        <f t="shared" si="138"/>
        <v>0</v>
      </c>
      <c r="CO494" s="1754"/>
      <c r="CP494" s="1754"/>
      <c r="CQ494" s="1754"/>
      <c r="CR494" s="1754">
        <f t="shared" si="157"/>
        <v>0</v>
      </c>
      <c r="CS494" s="1754"/>
      <c r="CT494" s="1754"/>
      <c r="CU494" s="1754">
        <f t="shared" si="149"/>
        <v>0</v>
      </c>
      <c r="CV494" s="1754"/>
      <c r="CW494" s="1754"/>
      <c r="CX494" s="1754">
        <f t="shared" si="150"/>
        <v>0</v>
      </c>
      <c r="CY494" s="1754"/>
      <c r="CZ494" s="1754"/>
      <c r="DA494" s="1754"/>
      <c r="DC494" s="395">
        <f>IF($BE494&gt;$R$66-3,157,0)</f>
        <v>157</v>
      </c>
      <c r="DD494" s="1754">
        <f t="shared" si="139"/>
        <v>0</v>
      </c>
      <c r="DE494" s="1754"/>
      <c r="DF494" s="1754"/>
      <c r="DG494" s="1754"/>
      <c r="DH494" s="1754">
        <f t="shared" si="158"/>
        <v>0</v>
      </c>
      <c r="DI494" s="1754"/>
      <c r="DJ494" s="1754"/>
      <c r="DK494" s="1754">
        <f t="shared" si="151"/>
        <v>0</v>
      </c>
      <c r="DL494" s="1754"/>
      <c r="DM494" s="1754"/>
      <c r="DN494" s="1754"/>
      <c r="DP494" s="395">
        <f t="shared" si="159"/>
        <v>157</v>
      </c>
      <c r="DQ494" s="1754">
        <f t="shared" si="160"/>
        <v>0</v>
      </c>
      <c r="DR494" s="1754"/>
      <c r="DS494" s="1754"/>
      <c r="DT494" s="1754"/>
      <c r="DU494" s="1754">
        <f t="shared" si="177"/>
        <v>0</v>
      </c>
      <c r="DV494" s="1754"/>
      <c r="DW494" s="1754"/>
      <c r="DX494" s="1754">
        <f t="shared" si="179"/>
        <v>0</v>
      </c>
      <c r="DY494" s="1754"/>
      <c r="DZ494" s="1754"/>
      <c r="EA494" s="1754">
        <f t="shared" si="180"/>
        <v>0</v>
      </c>
      <c r="EB494" s="1754"/>
      <c r="EC494" s="1754"/>
      <c r="ED494" s="1754"/>
      <c r="EE494" s="384"/>
      <c r="EF494" s="1750">
        <f t="shared" si="152"/>
        <v>0</v>
      </c>
      <c r="EG494" s="1751"/>
      <c r="EH494" s="1751"/>
      <c r="EI494" s="1751"/>
      <c r="EJ494" s="1752"/>
      <c r="EL494" s="1750">
        <f t="shared" si="181"/>
        <v>0</v>
      </c>
      <c r="EM494" s="1751"/>
      <c r="EN494" s="1751"/>
      <c r="EO494" s="1751"/>
      <c r="EP494" s="1752"/>
      <c r="ER494" s="1750">
        <f t="shared" si="153"/>
        <v>0</v>
      </c>
      <c r="ES494" s="1751"/>
      <c r="ET494" s="1751"/>
      <c r="EU494" s="1751"/>
      <c r="EV494" s="1752"/>
      <c r="EX494" s="1750">
        <f>IF(BE494&gt;0,Einstrahlung!$K$10*Kalkulation!$P$62/100*$AY$29*POWER((100-$P$64)/100,BD494-1),0)</f>
        <v>0</v>
      </c>
      <c r="EY494" s="1751"/>
      <c r="EZ494" s="1751"/>
      <c r="FA494" s="1751"/>
      <c r="FB494" s="1752"/>
      <c r="FD494" s="1750">
        <f t="shared" si="161"/>
        <v>0</v>
      </c>
      <c r="FE494" s="1751"/>
      <c r="FF494" s="1751"/>
      <c r="FG494" s="1751"/>
      <c r="FH494" s="1752"/>
      <c r="FI494" s="385"/>
      <c r="FJ494" s="380">
        <f t="shared" si="173"/>
        <v>0</v>
      </c>
      <c r="FK494" s="385"/>
      <c r="FL494" s="380">
        <f>IF(BE494&gt;0,IF($FL$336&gt;SUM($EX$494:$FB$505),SUM($EX$494:$FB$505)/12,$FL$336/12),0)</f>
        <v>0</v>
      </c>
      <c r="FM494" s="385"/>
      <c r="FN494" s="380">
        <f t="shared" si="162"/>
        <v>0</v>
      </c>
      <c r="FO494" s="962">
        <f t="shared" si="167"/>
        <v>286</v>
      </c>
      <c r="FP494" s="956">
        <f t="shared" si="154"/>
        <v>0.4</v>
      </c>
      <c r="FQ494" s="380">
        <f t="shared" si="178"/>
        <v>0</v>
      </c>
      <c r="FR494" s="626">
        <f>IF(AND(GV494&gt;144,GV494&lt;=156),$FR$493,IF(AND(GV494&gt;156,GV494&lt;=168),$FR$505,0))</f>
        <v>1</v>
      </c>
      <c r="FT494" s="1819">
        <f t="shared" si="168"/>
        <v>0</v>
      </c>
      <c r="FU494" s="1820"/>
      <c r="FV494" s="1820"/>
      <c r="FW494" s="1820"/>
      <c r="FX494" s="1821"/>
      <c r="FY494" s="1819">
        <f t="shared" si="163"/>
        <v>0</v>
      </c>
      <c r="FZ494" s="1820"/>
      <c r="GA494" s="1820"/>
      <c r="GB494" s="1821"/>
      <c r="GC494" s="1825">
        <f t="shared" si="182"/>
        <v>0</v>
      </c>
      <c r="GD494" s="1826"/>
      <c r="GE494" s="1826"/>
      <c r="GF494" s="1827"/>
      <c r="GH494" s="1750">
        <f t="shared" si="164"/>
        <v>0</v>
      </c>
      <c r="GI494" s="1751"/>
      <c r="GJ494" s="1751"/>
      <c r="GK494" s="1751"/>
      <c r="GL494" s="1750">
        <f t="shared" si="165"/>
        <v>0</v>
      </c>
      <c r="GM494" s="1751"/>
      <c r="GN494" s="1751"/>
      <c r="GO494" s="1752"/>
      <c r="GP494" s="385"/>
      <c r="GQ494" s="1865">
        <f t="shared" si="166"/>
        <v>0</v>
      </c>
      <c r="GR494" s="1866"/>
      <c r="GS494" s="1866"/>
      <c r="GT494" s="1867"/>
      <c r="GU494" s="192">
        <f t="shared" si="176"/>
        <v>1</v>
      </c>
      <c r="GV494" s="192">
        <f>SUM($GU$337:GU494)</f>
        <v>150</v>
      </c>
      <c r="GW494" s="318"/>
      <c r="HI494" s="380">
        <f t="shared" si="189"/>
        <v>0</v>
      </c>
      <c r="HX494" s="380"/>
    </row>
    <row r="495" spans="4:232">
      <c r="D495" s="313"/>
      <c r="E495" s="247"/>
      <c r="F495" s="247"/>
      <c r="G495" s="247"/>
      <c r="H495" s="247"/>
      <c r="I495" s="247"/>
      <c r="J495" s="428">
        <f>'Endfälliges Darlehen'!AV17</f>
        <v>0</v>
      </c>
      <c r="K495" s="429"/>
      <c r="L495" s="429"/>
      <c r="M495" s="429"/>
      <c r="N495" s="429"/>
      <c r="O495" s="430"/>
      <c r="P495" s="436"/>
      <c r="Q495" s="356" t="s">
        <v>132</v>
      </c>
      <c r="R495" s="356"/>
      <c r="S495" s="356"/>
      <c r="T495" s="356"/>
      <c r="U495" s="356"/>
      <c r="V495" s="356"/>
      <c r="BD495" s="387">
        <f t="shared" si="190"/>
        <v>13</v>
      </c>
      <c r="BE495" s="382">
        <f>IF(BD495&gt;0,158,0)</f>
        <v>158</v>
      </c>
      <c r="BG495" s="383">
        <f>IF($BE495&gt;$R$66-3+($BR$335*12),158,0)</f>
        <v>158</v>
      </c>
      <c r="BH495" s="1754">
        <f t="shared" si="191"/>
        <v>0</v>
      </c>
      <c r="BI495" s="1754"/>
      <c r="BJ495" s="1754"/>
      <c r="BK495" s="1754"/>
      <c r="BL495" s="1754">
        <f t="shared" si="155"/>
        <v>0</v>
      </c>
      <c r="BM495" s="1754"/>
      <c r="BN495" s="1754"/>
      <c r="BO495" s="1754">
        <f t="shared" si="146"/>
        <v>0</v>
      </c>
      <c r="BP495" s="1754"/>
      <c r="BQ495" s="1754"/>
      <c r="BR495" s="1754">
        <f t="shared" si="192"/>
        <v>0</v>
      </c>
      <c r="BS495" s="1754"/>
      <c r="BT495" s="1754"/>
      <c r="BU495" s="1754"/>
      <c r="BW495" s="383">
        <f>IF($BE495&gt;$R$66-3+($CH$335*12),158,0)</f>
        <v>158</v>
      </c>
      <c r="BX495" s="1754">
        <f t="shared" si="137"/>
        <v>0</v>
      </c>
      <c r="BY495" s="1754"/>
      <c r="BZ495" s="1754"/>
      <c r="CA495" s="1754"/>
      <c r="CB495" s="1754">
        <f t="shared" si="156"/>
        <v>0</v>
      </c>
      <c r="CC495" s="1754"/>
      <c r="CD495" s="1754"/>
      <c r="CE495" s="1754">
        <f t="shared" si="147"/>
        <v>0</v>
      </c>
      <c r="CF495" s="1754"/>
      <c r="CG495" s="1754"/>
      <c r="CH495" s="1754">
        <f t="shared" si="148"/>
        <v>0</v>
      </c>
      <c r="CI495" s="1754"/>
      <c r="CJ495" s="1754"/>
      <c r="CK495" s="1754"/>
      <c r="CM495" s="383">
        <f>IF($BE495&gt;$R$66-3+($CX$335*12),158,0)</f>
        <v>158</v>
      </c>
      <c r="CN495" s="1754">
        <f t="shared" si="138"/>
        <v>0</v>
      </c>
      <c r="CO495" s="1754"/>
      <c r="CP495" s="1754"/>
      <c r="CQ495" s="1754"/>
      <c r="CR495" s="1754">
        <f t="shared" si="157"/>
        <v>0</v>
      </c>
      <c r="CS495" s="1754"/>
      <c r="CT495" s="1754"/>
      <c r="CU495" s="1754">
        <f t="shared" si="149"/>
        <v>0</v>
      </c>
      <c r="CV495" s="1754"/>
      <c r="CW495" s="1754"/>
      <c r="CX495" s="1754">
        <f t="shared" si="150"/>
        <v>0</v>
      </c>
      <c r="CY495" s="1754"/>
      <c r="CZ495" s="1754"/>
      <c r="DA495" s="1754"/>
      <c r="DC495" s="383">
        <f>IF($BE495&gt;$R$66-3,158,0)</f>
        <v>158</v>
      </c>
      <c r="DD495" s="1754">
        <f t="shared" si="139"/>
        <v>0</v>
      </c>
      <c r="DE495" s="1754"/>
      <c r="DF495" s="1754"/>
      <c r="DG495" s="1754"/>
      <c r="DH495" s="1754">
        <f t="shared" si="158"/>
        <v>0</v>
      </c>
      <c r="DI495" s="1754"/>
      <c r="DJ495" s="1754"/>
      <c r="DK495" s="1754">
        <f t="shared" si="151"/>
        <v>0</v>
      </c>
      <c r="DL495" s="1754"/>
      <c r="DM495" s="1754"/>
      <c r="DN495" s="1754"/>
      <c r="DP495" s="383">
        <f t="shared" si="159"/>
        <v>158</v>
      </c>
      <c r="DQ495" s="1754">
        <f t="shared" si="160"/>
        <v>0</v>
      </c>
      <c r="DR495" s="1754"/>
      <c r="DS495" s="1754"/>
      <c r="DT495" s="1754"/>
      <c r="DU495" s="1754">
        <f t="shared" si="177"/>
        <v>0</v>
      </c>
      <c r="DV495" s="1754"/>
      <c r="DW495" s="1754"/>
      <c r="DX495" s="1754">
        <f t="shared" si="179"/>
        <v>0</v>
      </c>
      <c r="DY495" s="1754"/>
      <c r="DZ495" s="1754"/>
      <c r="EA495" s="1754">
        <f t="shared" si="180"/>
        <v>0</v>
      </c>
      <c r="EB495" s="1754"/>
      <c r="EC495" s="1754"/>
      <c r="ED495" s="1754"/>
      <c r="EE495" s="384"/>
      <c r="EF495" s="1750">
        <f t="shared" si="152"/>
        <v>0</v>
      </c>
      <c r="EG495" s="1751"/>
      <c r="EH495" s="1751"/>
      <c r="EI495" s="1751"/>
      <c r="EJ495" s="1752"/>
      <c r="EL495" s="1750">
        <f t="shared" si="181"/>
        <v>0</v>
      </c>
      <c r="EM495" s="1751"/>
      <c r="EN495" s="1751"/>
      <c r="EO495" s="1751"/>
      <c r="EP495" s="1752"/>
      <c r="ER495" s="1750">
        <f t="shared" si="153"/>
        <v>0</v>
      </c>
      <c r="ES495" s="1751"/>
      <c r="ET495" s="1751"/>
      <c r="EU495" s="1751"/>
      <c r="EV495" s="1752"/>
      <c r="EX495" s="1750">
        <f>IF(BE495&gt;0,Einstrahlung!$K$12*Kalkulation!$P$62/100*$AY$29*POWER((100-$P$64)/100,BD495-1),0)</f>
        <v>0</v>
      </c>
      <c r="EY495" s="1751"/>
      <c r="EZ495" s="1751"/>
      <c r="FA495" s="1751"/>
      <c r="FB495" s="1752"/>
      <c r="FD495" s="1750">
        <f t="shared" si="161"/>
        <v>0</v>
      </c>
      <c r="FE495" s="1751"/>
      <c r="FF495" s="1751"/>
      <c r="FG495" s="1751"/>
      <c r="FH495" s="1752"/>
      <c r="FI495" s="385"/>
      <c r="FJ495" s="380">
        <f t="shared" si="173"/>
        <v>0</v>
      </c>
      <c r="FK495" s="385"/>
      <c r="FL495" s="380">
        <f t="shared" ref="FL495:FL505" si="193">IF(BE495&gt;0,IF($FL$336&gt;SUM($EX$494:$FB$505),SUM($EX$494:$FB$505)/12,$FL$336/12),0)</f>
        <v>0</v>
      </c>
      <c r="FM495" s="385"/>
      <c r="FN495" s="380">
        <f t="shared" si="162"/>
        <v>0</v>
      </c>
      <c r="FO495" s="962">
        <f t="shared" si="167"/>
        <v>287</v>
      </c>
      <c r="FP495" s="956">
        <f t="shared" si="154"/>
        <v>0.4</v>
      </c>
      <c r="FQ495" s="380">
        <f t="shared" si="178"/>
        <v>0</v>
      </c>
      <c r="FR495" s="626">
        <f t="shared" ref="FR495:FR504" si="194">IF(AND(GV495&gt;144,GV495&lt;=156),$FR$493,IF(AND(GV495&gt;156,GV495&lt;=168),$FR$505,0))</f>
        <v>1</v>
      </c>
      <c r="FT495" s="1819">
        <f t="shared" si="168"/>
        <v>0</v>
      </c>
      <c r="FU495" s="1820"/>
      <c r="FV495" s="1820"/>
      <c r="FW495" s="1820"/>
      <c r="FX495" s="1821"/>
      <c r="FY495" s="1819">
        <f t="shared" si="163"/>
        <v>0</v>
      </c>
      <c r="FZ495" s="1820"/>
      <c r="GA495" s="1820"/>
      <c r="GB495" s="1821"/>
      <c r="GC495" s="1825">
        <f t="shared" si="182"/>
        <v>0</v>
      </c>
      <c r="GD495" s="1826"/>
      <c r="GE495" s="1826"/>
      <c r="GF495" s="1827"/>
      <c r="GH495" s="1750">
        <f t="shared" si="164"/>
        <v>0</v>
      </c>
      <c r="GI495" s="1751"/>
      <c r="GJ495" s="1751"/>
      <c r="GK495" s="1752"/>
      <c r="GL495" s="1750">
        <f t="shared" si="165"/>
        <v>0</v>
      </c>
      <c r="GM495" s="1751"/>
      <c r="GN495" s="1751"/>
      <c r="GO495" s="1752"/>
      <c r="GP495" s="385"/>
      <c r="GQ495" s="1750">
        <f t="shared" si="166"/>
        <v>0</v>
      </c>
      <c r="GR495" s="1751"/>
      <c r="GS495" s="1751"/>
      <c r="GT495" s="1752"/>
      <c r="GU495" s="192">
        <f t="shared" si="176"/>
        <v>1</v>
      </c>
      <c r="GV495" s="192">
        <f>SUM($GU$337:GU495)</f>
        <v>151</v>
      </c>
      <c r="GW495" s="318"/>
      <c r="HI495" s="380">
        <f t="shared" si="189"/>
        <v>0</v>
      </c>
      <c r="HX495" s="380"/>
    </row>
    <row r="496" spans="4:232">
      <c r="D496" s="409">
        <v>4</v>
      </c>
      <c r="E496" s="318"/>
      <c r="F496" s="428">
        <f>BR397</f>
        <v>0</v>
      </c>
      <c r="G496" s="428">
        <f>CH397</f>
        <v>0</v>
      </c>
      <c r="H496" s="428">
        <f>CX397</f>
        <v>0</v>
      </c>
      <c r="I496" s="247"/>
      <c r="J496" s="247"/>
      <c r="K496" s="429">
        <f>IF(AND(F496&gt;0,F499=0),$D496,0)</f>
        <v>0</v>
      </c>
      <c r="L496" s="429">
        <f>IF(AND(G496&gt;0,G499=0),$D496,0)</f>
        <v>0</v>
      </c>
      <c r="N496" s="429">
        <f>IF(AND(H496&gt;0,H499=0),$D496,0)</f>
        <v>0</v>
      </c>
      <c r="O496" s="430"/>
      <c r="P496" s="436"/>
      <c r="Q496" s="433" t="str">
        <f>IF(Q479&gt;0,R497,R498)</f>
        <v>Zur Finanzierung wurden keine Darlehen eingesetzt.</v>
      </c>
      <c r="BD496" s="387">
        <f t="shared" si="190"/>
        <v>13</v>
      </c>
      <c r="BE496" s="382">
        <f>IF(BD496&gt;0,159,0)</f>
        <v>159</v>
      </c>
      <c r="BG496" s="383">
        <f>IF($BE496&gt;$R$66-3+($BR$335*12),159,0)</f>
        <v>159</v>
      </c>
      <c r="BH496" s="1754">
        <f t="shared" si="191"/>
        <v>0</v>
      </c>
      <c r="BI496" s="1754"/>
      <c r="BJ496" s="1754"/>
      <c r="BK496" s="1754"/>
      <c r="BL496" s="1754">
        <f t="shared" si="155"/>
        <v>0</v>
      </c>
      <c r="BM496" s="1754"/>
      <c r="BN496" s="1754"/>
      <c r="BO496" s="1754">
        <f t="shared" si="146"/>
        <v>0</v>
      </c>
      <c r="BP496" s="1754"/>
      <c r="BQ496" s="1754"/>
      <c r="BR496" s="1754">
        <f t="shared" si="192"/>
        <v>0</v>
      </c>
      <c r="BS496" s="1754"/>
      <c r="BT496" s="1754"/>
      <c r="BU496" s="1754"/>
      <c r="BW496" s="383">
        <f>IF($BE496&gt;$R$66-3+($CH$335*12),159,0)</f>
        <v>159</v>
      </c>
      <c r="BX496" s="1754">
        <f t="shared" si="137"/>
        <v>0</v>
      </c>
      <c r="BY496" s="1754"/>
      <c r="BZ496" s="1754"/>
      <c r="CA496" s="1754"/>
      <c r="CB496" s="1754">
        <f t="shared" si="156"/>
        <v>0</v>
      </c>
      <c r="CC496" s="1754"/>
      <c r="CD496" s="1754"/>
      <c r="CE496" s="1754">
        <f t="shared" si="147"/>
        <v>0</v>
      </c>
      <c r="CF496" s="1754"/>
      <c r="CG496" s="1754"/>
      <c r="CH496" s="1754">
        <f t="shared" si="148"/>
        <v>0</v>
      </c>
      <c r="CI496" s="1754"/>
      <c r="CJ496" s="1754"/>
      <c r="CK496" s="1754"/>
      <c r="CM496" s="383">
        <f>IF($BE496&gt;$R$66-3+($CX$335*12),159,0)</f>
        <v>159</v>
      </c>
      <c r="CN496" s="1754">
        <f t="shared" si="138"/>
        <v>0</v>
      </c>
      <c r="CO496" s="1754"/>
      <c r="CP496" s="1754"/>
      <c r="CQ496" s="1754"/>
      <c r="CR496" s="1754">
        <f t="shared" si="157"/>
        <v>0</v>
      </c>
      <c r="CS496" s="1754"/>
      <c r="CT496" s="1754"/>
      <c r="CU496" s="1754">
        <f t="shared" si="149"/>
        <v>0</v>
      </c>
      <c r="CV496" s="1754"/>
      <c r="CW496" s="1754"/>
      <c r="CX496" s="1754">
        <f t="shared" si="150"/>
        <v>0</v>
      </c>
      <c r="CY496" s="1754"/>
      <c r="CZ496" s="1754"/>
      <c r="DA496" s="1754"/>
      <c r="DC496" s="383">
        <f>IF($BE496&gt;$R$66-3,159,0)</f>
        <v>159</v>
      </c>
      <c r="DD496" s="1754">
        <f t="shared" si="139"/>
        <v>0</v>
      </c>
      <c r="DE496" s="1754"/>
      <c r="DF496" s="1754"/>
      <c r="DG496" s="1754"/>
      <c r="DH496" s="1754">
        <f t="shared" si="158"/>
        <v>0</v>
      </c>
      <c r="DI496" s="1754"/>
      <c r="DJ496" s="1754"/>
      <c r="DK496" s="1754">
        <f t="shared" si="151"/>
        <v>0</v>
      </c>
      <c r="DL496" s="1754"/>
      <c r="DM496" s="1754"/>
      <c r="DN496" s="1754"/>
      <c r="DP496" s="383">
        <f t="shared" si="159"/>
        <v>159</v>
      </c>
      <c r="DQ496" s="1754">
        <f t="shared" si="160"/>
        <v>0</v>
      </c>
      <c r="DR496" s="1754"/>
      <c r="DS496" s="1754"/>
      <c r="DT496" s="1754"/>
      <c r="DU496" s="1754">
        <f t="shared" si="177"/>
        <v>0</v>
      </c>
      <c r="DV496" s="1754"/>
      <c r="DW496" s="1754"/>
      <c r="DX496" s="1754">
        <f t="shared" si="179"/>
        <v>0</v>
      </c>
      <c r="DY496" s="1754"/>
      <c r="DZ496" s="1754"/>
      <c r="EA496" s="1754">
        <f t="shared" si="180"/>
        <v>0</v>
      </c>
      <c r="EB496" s="1754"/>
      <c r="EC496" s="1754"/>
      <c r="ED496" s="1754"/>
      <c r="EE496" s="384"/>
      <c r="EF496" s="1750">
        <f t="shared" si="152"/>
        <v>0</v>
      </c>
      <c r="EG496" s="1751"/>
      <c r="EH496" s="1751"/>
      <c r="EI496" s="1751"/>
      <c r="EJ496" s="1752"/>
      <c r="EL496" s="1750">
        <f t="shared" si="181"/>
        <v>0</v>
      </c>
      <c r="EM496" s="1751"/>
      <c r="EN496" s="1751"/>
      <c r="EO496" s="1751"/>
      <c r="EP496" s="1752"/>
      <c r="ER496" s="1750">
        <f t="shared" si="153"/>
        <v>0</v>
      </c>
      <c r="ES496" s="1751"/>
      <c r="ET496" s="1751"/>
      <c r="EU496" s="1751"/>
      <c r="EV496" s="1752"/>
      <c r="EX496" s="1750">
        <f>IF(BE496&gt;0,Einstrahlung!$K$14*Kalkulation!$P$62/100*$AY$29*POWER((100-$P$64)/100,BD496-1),0)</f>
        <v>0</v>
      </c>
      <c r="EY496" s="1751"/>
      <c r="EZ496" s="1751"/>
      <c r="FA496" s="1751"/>
      <c r="FB496" s="1752"/>
      <c r="FD496" s="1750">
        <f t="shared" si="161"/>
        <v>0</v>
      </c>
      <c r="FE496" s="1751"/>
      <c r="FF496" s="1751"/>
      <c r="FG496" s="1751"/>
      <c r="FH496" s="1752"/>
      <c r="FI496" s="385"/>
      <c r="FJ496" s="380">
        <f t="shared" si="173"/>
        <v>0</v>
      </c>
      <c r="FK496" s="385"/>
      <c r="FL496" s="380">
        <f t="shared" si="193"/>
        <v>0</v>
      </c>
      <c r="FM496" s="385"/>
      <c r="FN496" s="380">
        <f t="shared" si="162"/>
        <v>0</v>
      </c>
      <c r="FO496" s="962">
        <f t="shared" si="167"/>
        <v>288</v>
      </c>
      <c r="FP496" s="956">
        <f t="shared" si="154"/>
        <v>0.4</v>
      </c>
      <c r="FQ496" s="380">
        <f t="shared" si="178"/>
        <v>0</v>
      </c>
      <c r="FR496" s="626">
        <f t="shared" si="194"/>
        <v>1</v>
      </c>
      <c r="FT496" s="1819">
        <f t="shared" si="168"/>
        <v>0</v>
      </c>
      <c r="FU496" s="1820"/>
      <c r="FV496" s="1820"/>
      <c r="FW496" s="1820"/>
      <c r="FX496" s="1821"/>
      <c r="FY496" s="1819">
        <f t="shared" si="163"/>
        <v>0</v>
      </c>
      <c r="FZ496" s="1820"/>
      <c r="GA496" s="1820"/>
      <c r="GB496" s="1821"/>
      <c r="GC496" s="1825">
        <f t="shared" si="182"/>
        <v>0</v>
      </c>
      <c r="GD496" s="1826"/>
      <c r="GE496" s="1826"/>
      <c r="GF496" s="1827"/>
      <c r="GH496" s="1750">
        <f t="shared" si="164"/>
        <v>0</v>
      </c>
      <c r="GI496" s="1751"/>
      <c r="GJ496" s="1751"/>
      <c r="GK496" s="1752"/>
      <c r="GL496" s="1750">
        <f t="shared" si="165"/>
        <v>0</v>
      </c>
      <c r="GM496" s="1751"/>
      <c r="GN496" s="1751"/>
      <c r="GO496" s="1752"/>
      <c r="GP496" s="385"/>
      <c r="GQ496" s="1750">
        <f t="shared" si="166"/>
        <v>0</v>
      </c>
      <c r="GR496" s="1751"/>
      <c r="GS496" s="1751"/>
      <c r="GT496" s="1752"/>
      <c r="GU496" s="192">
        <f t="shared" si="176"/>
        <v>1</v>
      </c>
      <c r="GV496" s="192">
        <f>SUM($GU$337:GU496)</f>
        <v>152</v>
      </c>
      <c r="GW496" s="318"/>
      <c r="HI496" s="380">
        <f t="shared" si="189"/>
        <v>0</v>
      </c>
      <c r="HX496" s="380"/>
    </row>
    <row r="497" spans="4:232">
      <c r="D497" s="313"/>
      <c r="E497" s="247"/>
      <c r="F497" s="247"/>
      <c r="G497" s="247"/>
      <c r="H497" s="247"/>
      <c r="I497" s="428">
        <f>'Endfälliges Darlehen'!AG19</f>
        <v>0</v>
      </c>
      <c r="J497" s="247"/>
      <c r="K497" s="429"/>
      <c r="L497" s="429"/>
      <c r="M497" s="429"/>
      <c r="N497" s="429"/>
      <c r="O497" s="430">
        <f>IF(AND(I497&gt;0,I500=0),$D496,0)</f>
        <v>0</v>
      </c>
      <c r="P497" s="436"/>
      <c r="R497" s="192" t="s">
        <v>134</v>
      </c>
      <c r="BD497" s="387">
        <f t="shared" si="190"/>
        <v>13</v>
      </c>
      <c r="BE497" s="382">
        <f>IF(BD497&gt;0,160,0)</f>
        <v>160</v>
      </c>
      <c r="BG497" s="383">
        <f>IF($BE497&gt;$R$66-3+($BR$335*12),160,0)</f>
        <v>160</v>
      </c>
      <c r="BH497" s="1754">
        <f t="shared" si="191"/>
        <v>0</v>
      </c>
      <c r="BI497" s="1754"/>
      <c r="BJ497" s="1754"/>
      <c r="BK497" s="1754"/>
      <c r="BL497" s="1754">
        <f t="shared" si="155"/>
        <v>0</v>
      </c>
      <c r="BM497" s="1754"/>
      <c r="BN497" s="1754"/>
      <c r="BO497" s="1754">
        <f t="shared" si="146"/>
        <v>0</v>
      </c>
      <c r="BP497" s="1754"/>
      <c r="BQ497" s="1754"/>
      <c r="BR497" s="1754">
        <f t="shared" si="192"/>
        <v>0</v>
      </c>
      <c r="BS497" s="1754"/>
      <c r="BT497" s="1754"/>
      <c r="BU497" s="1754"/>
      <c r="BW497" s="383">
        <f>IF($BE497&gt;$R$66-3+($CH$335*12),160,0)</f>
        <v>160</v>
      </c>
      <c r="BX497" s="1754">
        <f t="shared" si="137"/>
        <v>0</v>
      </c>
      <c r="BY497" s="1754"/>
      <c r="BZ497" s="1754"/>
      <c r="CA497" s="1754"/>
      <c r="CB497" s="1754">
        <f t="shared" si="156"/>
        <v>0</v>
      </c>
      <c r="CC497" s="1754"/>
      <c r="CD497" s="1754"/>
      <c r="CE497" s="1754">
        <f t="shared" si="147"/>
        <v>0</v>
      </c>
      <c r="CF497" s="1754"/>
      <c r="CG497" s="1754"/>
      <c r="CH497" s="1754">
        <f t="shared" si="148"/>
        <v>0</v>
      </c>
      <c r="CI497" s="1754"/>
      <c r="CJ497" s="1754"/>
      <c r="CK497" s="1754"/>
      <c r="CM497" s="383">
        <f>IF($BE497&gt;$R$66-3+($CX$335*12),160,0)</f>
        <v>160</v>
      </c>
      <c r="CN497" s="1754">
        <f t="shared" si="138"/>
        <v>0</v>
      </c>
      <c r="CO497" s="1754"/>
      <c r="CP497" s="1754"/>
      <c r="CQ497" s="1754"/>
      <c r="CR497" s="1754">
        <f t="shared" si="157"/>
        <v>0</v>
      </c>
      <c r="CS497" s="1754"/>
      <c r="CT497" s="1754"/>
      <c r="CU497" s="1754">
        <f t="shared" si="149"/>
        <v>0</v>
      </c>
      <c r="CV497" s="1754"/>
      <c r="CW497" s="1754"/>
      <c r="CX497" s="1754">
        <f t="shared" si="150"/>
        <v>0</v>
      </c>
      <c r="CY497" s="1754"/>
      <c r="CZ497" s="1754"/>
      <c r="DA497" s="1754"/>
      <c r="DC497" s="383">
        <f>IF($BE497&gt;$R$66-3,160,0)</f>
        <v>160</v>
      </c>
      <c r="DD497" s="1754">
        <f t="shared" si="139"/>
        <v>0</v>
      </c>
      <c r="DE497" s="1754"/>
      <c r="DF497" s="1754"/>
      <c r="DG497" s="1754"/>
      <c r="DH497" s="1754">
        <f t="shared" si="158"/>
        <v>0</v>
      </c>
      <c r="DI497" s="1754"/>
      <c r="DJ497" s="1754"/>
      <c r="DK497" s="1754">
        <f t="shared" si="151"/>
        <v>0</v>
      </c>
      <c r="DL497" s="1754"/>
      <c r="DM497" s="1754"/>
      <c r="DN497" s="1754"/>
      <c r="DP497" s="383">
        <f t="shared" si="159"/>
        <v>160</v>
      </c>
      <c r="DQ497" s="1754">
        <f t="shared" si="160"/>
        <v>0</v>
      </c>
      <c r="DR497" s="1754"/>
      <c r="DS497" s="1754"/>
      <c r="DT497" s="1754"/>
      <c r="DU497" s="1754">
        <f t="shared" si="177"/>
        <v>0</v>
      </c>
      <c r="DV497" s="1754"/>
      <c r="DW497" s="1754"/>
      <c r="DX497" s="1754">
        <f t="shared" si="179"/>
        <v>0</v>
      </c>
      <c r="DY497" s="1754"/>
      <c r="DZ497" s="1754"/>
      <c r="EA497" s="1754">
        <f t="shared" si="180"/>
        <v>0</v>
      </c>
      <c r="EB497" s="1754"/>
      <c r="EC497" s="1754"/>
      <c r="ED497" s="1754"/>
      <c r="EE497" s="384"/>
      <c r="EF497" s="1750">
        <f t="shared" si="152"/>
        <v>0</v>
      </c>
      <c r="EG497" s="1751"/>
      <c r="EH497" s="1751"/>
      <c r="EI497" s="1751"/>
      <c r="EJ497" s="1752"/>
      <c r="EL497" s="1750">
        <f t="shared" si="181"/>
        <v>0</v>
      </c>
      <c r="EM497" s="1751"/>
      <c r="EN497" s="1751"/>
      <c r="EO497" s="1751"/>
      <c r="EP497" s="1752"/>
      <c r="ER497" s="1750">
        <f t="shared" si="153"/>
        <v>0</v>
      </c>
      <c r="ES497" s="1751"/>
      <c r="ET497" s="1751"/>
      <c r="EU497" s="1751"/>
      <c r="EV497" s="1752"/>
      <c r="EX497" s="1750">
        <f>IF(BE497&gt;0,Einstrahlung!$K$16*Kalkulation!$P$62/100*$AY$29*POWER((100-$P$64)/100,BD497-1),0)</f>
        <v>0</v>
      </c>
      <c r="EY497" s="1751"/>
      <c r="EZ497" s="1751"/>
      <c r="FA497" s="1751"/>
      <c r="FB497" s="1752"/>
      <c r="FD497" s="1750">
        <f t="shared" si="161"/>
        <v>0</v>
      </c>
      <c r="FE497" s="1751"/>
      <c r="FF497" s="1751"/>
      <c r="FG497" s="1751"/>
      <c r="FH497" s="1752"/>
      <c r="FI497" s="385"/>
      <c r="FJ497" s="380">
        <f t="shared" si="173"/>
        <v>0</v>
      </c>
      <c r="FK497" s="385"/>
      <c r="FL497" s="380">
        <f t="shared" si="193"/>
        <v>0</v>
      </c>
      <c r="FM497" s="385"/>
      <c r="FN497" s="380">
        <f t="shared" si="162"/>
        <v>0</v>
      </c>
      <c r="FO497" s="962">
        <f t="shared" si="167"/>
        <v>289</v>
      </c>
      <c r="FP497" s="956">
        <f t="shared" si="154"/>
        <v>0.4</v>
      </c>
      <c r="FQ497" s="380">
        <f t="shared" si="178"/>
        <v>0</v>
      </c>
      <c r="FR497" s="626">
        <f t="shared" si="194"/>
        <v>1</v>
      </c>
      <c r="FT497" s="1819">
        <f t="shared" si="168"/>
        <v>0</v>
      </c>
      <c r="FU497" s="1820"/>
      <c r="FV497" s="1820"/>
      <c r="FW497" s="1820"/>
      <c r="FX497" s="1821"/>
      <c r="FY497" s="1819">
        <f t="shared" si="163"/>
        <v>0</v>
      </c>
      <c r="FZ497" s="1820"/>
      <c r="GA497" s="1820"/>
      <c r="GB497" s="1821"/>
      <c r="GC497" s="1825">
        <f t="shared" si="182"/>
        <v>0</v>
      </c>
      <c r="GD497" s="1826"/>
      <c r="GE497" s="1826"/>
      <c r="GF497" s="1827"/>
      <c r="GH497" s="1750">
        <f t="shared" si="164"/>
        <v>0</v>
      </c>
      <c r="GI497" s="1751"/>
      <c r="GJ497" s="1751"/>
      <c r="GK497" s="1752"/>
      <c r="GL497" s="1750">
        <f t="shared" si="165"/>
        <v>0</v>
      </c>
      <c r="GM497" s="1751"/>
      <c r="GN497" s="1751"/>
      <c r="GO497" s="1752"/>
      <c r="GP497" s="385"/>
      <c r="GQ497" s="1750">
        <f t="shared" si="166"/>
        <v>0</v>
      </c>
      <c r="GR497" s="1751"/>
      <c r="GS497" s="1751"/>
      <c r="GT497" s="1752"/>
      <c r="GU497" s="192">
        <f t="shared" si="176"/>
        <v>1</v>
      </c>
      <c r="GV497" s="192">
        <f>SUM($GU$337:GU497)</f>
        <v>153</v>
      </c>
      <c r="GW497" s="318"/>
      <c r="HI497" s="380">
        <f t="shared" si="189"/>
        <v>0</v>
      </c>
      <c r="HX497" s="380"/>
    </row>
    <row r="498" spans="4:232">
      <c r="D498" s="313"/>
      <c r="E498" s="247"/>
      <c r="F498" s="247"/>
      <c r="G498" s="247"/>
      <c r="H498" s="247"/>
      <c r="I498" s="247"/>
      <c r="J498" s="428">
        <f>'Endfälliges Darlehen'!AV19</f>
        <v>0</v>
      </c>
      <c r="K498" s="429"/>
      <c r="L498" s="429"/>
      <c r="M498" s="429"/>
      <c r="N498" s="429"/>
      <c r="O498" s="430"/>
      <c r="P498" s="436"/>
      <c r="R498" s="192" t="s">
        <v>133</v>
      </c>
      <c r="BD498" s="387">
        <f t="shared" si="190"/>
        <v>13</v>
      </c>
      <c r="BE498" s="382">
        <f>IF(BD498&gt;0,161,0)</f>
        <v>161</v>
      </c>
      <c r="BG498" s="383">
        <f>IF($BE498&gt;$R$66-3+($BR$335*12),161,0)</f>
        <v>161</v>
      </c>
      <c r="BH498" s="1754">
        <f t="shared" si="191"/>
        <v>0</v>
      </c>
      <c r="BI498" s="1754"/>
      <c r="BJ498" s="1754"/>
      <c r="BK498" s="1754"/>
      <c r="BL498" s="1754">
        <f t="shared" si="155"/>
        <v>0</v>
      </c>
      <c r="BM498" s="1754"/>
      <c r="BN498" s="1754"/>
      <c r="BO498" s="1754">
        <f t="shared" si="146"/>
        <v>0</v>
      </c>
      <c r="BP498" s="1754"/>
      <c r="BQ498" s="1754"/>
      <c r="BR498" s="1754">
        <f t="shared" si="192"/>
        <v>0</v>
      </c>
      <c r="BS498" s="1754"/>
      <c r="BT498" s="1754"/>
      <c r="BU498" s="1754"/>
      <c r="BW498" s="383">
        <f>IF($BE498&gt;$R$66-3+($CH$335*12),161,0)</f>
        <v>161</v>
      </c>
      <c r="BX498" s="1754">
        <f t="shared" si="137"/>
        <v>0</v>
      </c>
      <c r="BY498" s="1754"/>
      <c r="BZ498" s="1754"/>
      <c r="CA498" s="1754"/>
      <c r="CB498" s="1754">
        <f t="shared" si="156"/>
        <v>0</v>
      </c>
      <c r="CC498" s="1754"/>
      <c r="CD498" s="1754"/>
      <c r="CE498" s="1754">
        <f t="shared" si="147"/>
        <v>0</v>
      </c>
      <c r="CF498" s="1754"/>
      <c r="CG498" s="1754"/>
      <c r="CH498" s="1754">
        <f t="shared" si="148"/>
        <v>0</v>
      </c>
      <c r="CI498" s="1754"/>
      <c r="CJ498" s="1754"/>
      <c r="CK498" s="1754"/>
      <c r="CM498" s="383">
        <f>IF($BE498&gt;$R$66-3+($CX$335*12),161,0)</f>
        <v>161</v>
      </c>
      <c r="CN498" s="1754">
        <f t="shared" si="138"/>
        <v>0</v>
      </c>
      <c r="CO498" s="1754"/>
      <c r="CP498" s="1754"/>
      <c r="CQ498" s="1754"/>
      <c r="CR498" s="1754">
        <f t="shared" si="157"/>
        <v>0</v>
      </c>
      <c r="CS498" s="1754"/>
      <c r="CT498" s="1754"/>
      <c r="CU498" s="1754">
        <f t="shared" si="149"/>
        <v>0</v>
      </c>
      <c r="CV498" s="1754"/>
      <c r="CW498" s="1754"/>
      <c r="CX498" s="1754">
        <f t="shared" si="150"/>
        <v>0</v>
      </c>
      <c r="CY498" s="1754"/>
      <c r="CZ498" s="1754"/>
      <c r="DA498" s="1754"/>
      <c r="DC498" s="383">
        <f>IF($BE498&gt;$R$66-3,161,0)</f>
        <v>161</v>
      </c>
      <c r="DD498" s="1754">
        <f t="shared" si="139"/>
        <v>0</v>
      </c>
      <c r="DE498" s="1754"/>
      <c r="DF498" s="1754"/>
      <c r="DG498" s="1754"/>
      <c r="DH498" s="1754">
        <f t="shared" si="158"/>
        <v>0</v>
      </c>
      <c r="DI498" s="1754"/>
      <c r="DJ498" s="1754"/>
      <c r="DK498" s="1754">
        <f t="shared" si="151"/>
        <v>0</v>
      </c>
      <c r="DL498" s="1754"/>
      <c r="DM498" s="1754"/>
      <c r="DN498" s="1754"/>
      <c r="DP498" s="383">
        <f t="shared" si="159"/>
        <v>161</v>
      </c>
      <c r="DQ498" s="1754">
        <f t="shared" si="160"/>
        <v>0</v>
      </c>
      <c r="DR498" s="1754"/>
      <c r="DS498" s="1754"/>
      <c r="DT498" s="1754"/>
      <c r="DU498" s="1754">
        <f t="shared" si="177"/>
        <v>0</v>
      </c>
      <c r="DV498" s="1754"/>
      <c r="DW498" s="1754"/>
      <c r="DX498" s="1754">
        <f t="shared" si="179"/>
        <v>0</v>
      </c>
      <c r="DY498" s="1754"/>
      <c r="DZ498" s="1754"/>
      <c r="EA498" s="1754">
        <f t="shared" si="180"/>
        <v>0</v>
      </c>
      <c r="EB498" s="1754"/>
      <c r="EC498" s="1754"/>
      <c r="ED498" s="1754"/>
      <c r="EE498" s="384"/>
      <c r="EF498" s="1750">
        <f t="shared" si="152"/>
        <v>0</v>
      </c>
      <c r="EG498" s="1751"/>
      <c r="EH498" s="1751"/>
      <c r="EI498" s="1751"/>
      <c r="EJ498" s="1752"/>
      <c r="EL498" s="1750">
        <f t="shared" si="181"/>
        <v>0</v>
      </c>
      <c r="EM498" s="1751"/>
      <c r="EN498" s="1751"/>
      <c r="EO498" s="1751"/>
      <c r="EP498" s="1752"/>
      <c r="ER498" s="1750">
        <f t="shared" si="153"/>
        <v>0</v>
      </c>
      <c r="ES498" s="1751"/>
      <c r="ET498" s="1751"/>
      <c r="EU498" s="1751"/>
      <c r="EV498" s="1752"/>
      <c r="EX498" s="1750">
        <f>IF(BE498&gt;0,Einstrahlung!$K$18*Kalkulation!$P$62/100*$AY$29*POWER((100-$P$64)/100,BD498-1),0)</f>
        <v>0</v>
      </c>
      <c r="EY498" s="1751"/>
      <c r="EZ498" s="1751"/>
      <c r="FA498" s="1751"/>
      <c r="FB498" s="1752"/>
      <c r="FD498" s="1750">
        <f t="shared" si="161"/>
        <v>0</v>
      </c>
      <c r="FE498" s="1751"/>
      <c r="FF498" s="1751"/>
      <c r="FG498" s="1751"/>
      <c r="FH498" s="1752"/>
      <c r="FI498" s="385"/>
      <c r="FJ498" s="380">
        <f t="shared" si="173"/>
        <v>0</v>
      </c>
      <c r="FK498" s="385"/>
      <c r="FL498" s="380">
        <f t="shared" si="193"/>
        <v>0</v>
      </c>
      <c r="FM498" s="385"/>
      <c r="FN498" s="380">
        <f t="shared" si="162"/>
        <v>0</v>
      </c>
      <c r="FO498" s="962">
        <f t="shared" si="167"/>
        <v>290</v>
      </c>
      <c r="FP498" s="956">
        <f t="shared" si="154"/>
        <v>0.4</v>
      </c>
      <c r="FQ498" s="380">
        <f t="shared" si="178"/>
        <v>0</v>
      </c>
      <c r="FR498" s="626">
        <f t="shared" si="194"/>
        <v>1</v>
      </c>
      <c r="FT498" s="1819">
        <f t="shared" si="168"/>
        <v>0</v>
      </c>
      <c r="FU498" s="1820"/>
      <c r="FV498" s="1820"/>
      <c r="FW498" s="1820"/>
      <c r="FX498" s="1821"/>
      <c r="FY498" s="1819">
        <f t="shared" si="163"/>
        <v>0</v>
      </c>
      <c r="FZ498" s="1820"/>
      <c r="GA498" s="1820"/>
      <c r="GB498" s="1821"/>
      <c r="GC498" s="1825">
        <f t="shared" si="182"/>
        <v>0</v>
      </c>
      <c r="GD498" s="1826"/>
      <c r="GE498" s="1826"/>
      <c r="GF498" s="1827"/>
      <c r="GH498" s="1750">
        <f t="shared" si="164"/>
        <v>0</v>
      </c>
      <c r="GI498" s="1751"/>
      <c r="GJ498" s="1751"/>
      <c r="GK498" s="1752"/>
      <c r="GL498" s="1750">
        <f t="shared" si="165"/>
        <v>0</v>
      </c>
      <c r="GM498" s="1751"/>
      <c r="GN498" s="1751"/>
      <c r="GO498" s="1752"/>
      <c r="GP498" s="385"/>
      <c r="GQ498" s="1750">
        <f t="shared" si="166"/>
        <v>0</v>
      </c>
      <c r="GR498" s="1751"/>
      <c r="GS498" s="1751"/>
      <c r="GT498" s="1752"/>
      <c r="GU498" s="192">
        <f t="shared" si="176"/>
        <v>1</v>
      </c>
      <c r="GV498" s="192">
        <f>SUM($GU$337:GU498)</f>
        <v>154</v>
      </c>
      <c r="GW498" s="318"/>
      <c r="HI498" s="380">
        <f t="shared" si="189"/>
        <v>0</v>
      </c>
      <c r="HX498" s="380"/>
    </row>
    <row r="499" spans="4:232">
      <c r="D499" s="409">
        <v>5</v>
      </c>
      <c r="E499" s="318"/>
      <c r="F499" s="428">
        <f>BR409</f>
        <v>0</v>
      </c>
      <c r="G499" s="428">
        <f>CH409</f>
        <v>0</v>
      </c>
      <c r="H499" s="428">
        <f>CX409</f>
        <v>0</v>
      </c>
      <c r="I499" s="247"/>
      <c r="J499" s="247"/>
      <c r="K499" s="429">
        <f>IF(AND(F499&gt;0,F502=0),$D499,0)</f>
        <v>0</v>
      </c>
      <c r="L499" s="429">
        <f>IF(AND(G499&gt;0,G502=0),$D499,0)</f>
        <v>0</v>
      </c>
      <c r="N499" s="429">
        <f>IF(AND(H499&gt;0,H502=0),$D499,0)</f>
        <v>0</v>
      </c>
      <c r="O499" s="430"/>
      <c r="P499" s="436"/>
      <c r="Q499" s="433" t="str">
        <f>IF(Q475&lt;1,"",IF(X475&gt;0,R508,R500))</f>
        <v/>
      </c>
      <c r="BD499" s="387">
        <f t="shared" si="190"/>
        <v>13</v>
      </c>
      <c r="BE499" s="382">
        <f>IF(BD499&gt;0,162,0)</f>
        <v>162</v>
      </c>
      <c r="BG499" s="383">
        <f>IF($BE499&gt;$R$66-3+($BR$335*12),162,0)</f>
        <v>162</v>
      </c>
      <c r="BH499" s="1754">
        <f t="shared" si="191"/>
        <v>0</v>
      </c>
      <c r="BI499" s="1754"/>
      <c r="BJ499" s="1754"/>
      <c r="BK499" s="1754"/>
      <c r="BL499" s="1754">
        <f t="shared" si="155"/>
        <v>0</v>
      </c>
      <c r="BM499" s="1754"/>
      <c r="BN499" s="1754"/>
      <c r="BO499" s="1754">
        <f t="shared" si="146"/>
        <v>0</v>
      </c>
      <c r="BP499" s="1754"/>
      <c r="BQ499" s="1754"/>
      <c r="BR499" s="1754">
        <f t="shared" si="192"/>
        <v>0</v>
      </c>
      <c r="BS499" s="1754"/>
      <c r="BT499" s="1754"/>
      <c r="BU499" s="1754"/>
      <c r="BW499" s="383">
        <f>IF($BE499&gt;$R$66-3+($CH$335*12),162,0)</f>
        <v>162</v>
      </c>
      <c r="BX499" s="1754">
        <f t="shared" si="137"/>
        <v>0</v>
      </c>
      <c r="BY499" s="1754"/>
      <c r="BZ499" s="1754"/>
      <c r="CA499" s="1754"/>
      <c r="CB499" s="1754">
        <f t="shared" si="156"/>
        <v>0</v>
      </c>
      <c r="CC499" s="1754"/>
      <c r="CD499" s="1754"/>
      <c r="CE499" s="1754">
        <f t="shared" si="147"/>
        <v>0</v>
      </c>
      <c r="CF499" s="1754"/>
      <c r="CG499" s="1754"/>
      <c r="CH499" s="1754">
        <f t="shared" si="148"/>
        <v>0</v>
      </c>
      <c r="CI499" s="1754"/>
      <c r="CJ499" s="1754"/>
      <c r="CK499" s="1754"/>
      <c r="CM499" s="383">
        <f>IF($BE499&gt;$R$66-3+($CX$335*12),162,0)</f>
        <v>162</v>
      </c>
      <c r="CN499" s="1754">
        <f t="shared" si="138"/>
        <v>0</v>
      </c>
      <c r="CO499" s="1754"/>
      <c r="CP499" s="1754"/>
      <c r="CQ499" s="1754"/>
      <c r="CR499" s="1754">
        <f t="shared" si="157"/>
        <v>0</v>
      </c>
      <c r="CS499" s="1754"/>
      <c r="CT499" s="1754"/>
      <c r="CU499" s="1754">
        <f t="shared" si="149"/>
        <v>0</v>
      </c>
      <c r="CV499" s="1754"/>
      <c r="CW499" s="1754"/>
      <c r="CX499" s="1754">
        <f t="shared" si="150"/>
        <v>0</v>
      </c>
      <c r="CY499" s="1754"/>
      <c r="CZ499" s="1754"/>
      <c r="DA499" s="1754"/>
      <c r="DC499" s="383">
        <f>IF($BE499&gt;$R$66-3,162,0)</f>
        <v>162</v>
      </c>
      <c r="DD499" s="1754">
        <f t="shared" si="139"/>
        <v>0</v>
      </c>
      <c r="DE499" s="1754"/>
      <c r="DF499" s="1754"/>
      <c r="DG499" s="1754"/>
      <c r="DH499" s="1754">
        <f t="shared" si="158"/>
        <v>0</v>
      </c>
      <c r="DI499" s="1754"/>
      <c r="DJ499" s="1754"/>
      <c r="DK499" s="1754">
        <f t="shared" si="151"/>
        <v>0</v>
      </c>
      <c r="DL499" s="1754"/>
      <c r="DM499" s="1754"/>
      <c r="DN499" s="1754"/>
      <c r="DP499" s="383">
        <f t="shared" si="159"/>
        <v>162</v>
      </c>
      <c r="DQ499" s="1754">
        <f t="shared" si="160"/>
        <v>0</v>
      </c>
      <c r="DR499" s="1754"/>
      <c r="DS499" s="1754"/>
      <c r="DT499" s="1754"/>
      <c r="DU499" s="1754">
        <f t="shared" si="177"/>
        <v>0</v>
      </c>
      <c r="DV499" s="1754"/>
      <c r="DW499" s="1754"/>
      <c r="DX499" s="1754">
        <f t="shared" si="179"/>
        <v>0</v>
      </c>
      <c r="DY499" s="1754"/>
      <c r="DZ499" s="1754"/>
      <c r="EA499" s="1754">
        <f t="shared" si="180"/>
        <v>0</v>
      </c>
      <c r="EB499" s="1754"/>
      <c r="EC499" s="1754"/>
      <c r="ED499" s="1754"/>
      <c r="EE499" s="384"/>
      <c r="EF499" s="1750">
        <f t="shared" si="152"/>
        <v>0</v>
      </c>
      <c r="EG499" s="1751"/>
      <c r="EH499" s="1751"/>
      <c r="EI499" s="1751"/>
      <c r="EJ499" s="1752"/>
      <c r="EL499" s="1750">
        <f t="shared" si="181"/>
        <v>0</v>
      </c>
      <c r="EM499" s="1751"/>
      <c r="EN499" s="1751"/>
      <c r="EO499" s="1751"/>
      <c r="EP499" s="1752"/>
      <c r="ER499" s="1750">
        <f t="shared" si="153"/>
        <v>0</v>
      </c>
      <c r="ES499" s="1751"/>
      <c r="ET499" s="1751"/>
      <c r="EU499" s="1751"/>
      <c r="EV499" s="1752"/>
      <c r="EX499" s="1750">
        <f>IF(BE499&gt;0,Einstrahlung!$K$20*Kalkulation!$P$62/100*$AY$29*POWER((100-$P$64)/100,BD499-1),0)</f>
        <v>0</v>
      </c>
      <c r="EY499" s="1751"/>
      <c r="EZ499" s="1751"/>
      <c r="FA499" s="1751"/>
      <c r="FB499" s="1752"/>
      <c r="FD499" s="1750">
        <f t="shared" si="161"/>
        <v>0</v>
      </c>
      <c r="FE499" s="1751"/>
      <c r="FF499" s="1751"/>
      <c r="FG499" s="1751"/>
      <c r="FH499" s="1752"/>
      <c r="FI499" s="385"/>
      <c r="FJ499" s="380">
        <f t="shared" si="173"/>
        <v>0</v>
      </c>
      <c r="FK499" s="385"/>
      <c r="FL499" s="380">
        <f t="shared" si="193"/>
        <v>0</v>
      </c>
      <c r="FM499" s="385"/>
      <c r="FN499" s="380">
        <f t="shared" si="162"/>
        <v>0</v>
      </c>
      <c r="FO499" s="962">
        <f t="shared" si="167"/>
        <v>291</v>
      </c>
      <c r="FP499" s="956">
        <f t="shared" si="154"/>
        <v>0.4</v>
      </c>
      <c r="FQ499" s="380">
        <f t="shared" si="178"/>
        <v>0</v>
      </c>
      <c r="FR499" s="626">
        <f t="shared" si="194"/>
        <v>1</v>
      </c>
      <c r="FT499" s="1819">
        <f t="shared" si="168"/>
        <v>0</v>
      </c>
      <c r="FU499" s="1820"/>
      <c r="FV499" s="1820"/>
      <c r="FW499" s="1820"/>
      <c r="FX499" s="1821"/>
      <c r="FY499" s="1819">
        <f t="shared" si="163"/>
        <v>0</v>
      </c>
      <c r="FZ499" s="1820"/>
      <c r="GA499" s="1820"/>
      <c r="GB499" s="1821"/>
      <c r="GC499" s="1825">
        <f t="shared" si="182"/>
        <v>0</v>
      </c>
      <c r="GD499" s="1826"/>
      <c r="GE499" s="1826"/>
      <c r="GF499" s="1827"/>
      <c r="GH499" s="1750">
        <f t="shared" si="164"/>
        <v>0</v>
      </c>
      <c r="GI499" s="1751"/>
      <c r="GJ499" s="1751"/>
      <c r="GK499" s="1752"/>
      <c r="GL499" s="1750">
        <f t="shared" si="165"/>
        <v>0</v>
      </c>
      <c r="GM499" s="1751"/>
      <c r="GN499" s="1751"/>
      <c r="GO499" s="1752"/>
      <c r="GP499" s="385"/>
      <c r="GQ499" s="1750">
        <f t="shared" si="166"/>
        <v>0</v>
      </c>
      <c r="GR499" s="1751"/>
      <c r="GS499" s="1751"/>
      <c r="GT499" s="1752"/>
      <c r="GU499" s="192">
        <f t="shared" si="176"/>
        <v>1</v>
      </c>
      <c r="GV499" s="192">
        <f>SUM($GU$337:GU499)</f>
        <v>155</v>
      </c>
      <c r="GW499" s="318"/>
      <c r="HI499" s="380">
        <f t="shared" si="189"/>
        <v>0</v>
      </c>
      <c r="HX499" s="380"/>
    </row>
    <row r="500" spans="4:232">
      <c r="D500" s="313"/>
      <c r="E500" s="247"/>
      <c r="F500" s="247"/>
      <c r="G500" s="247"/>
      <c r="H500" s="247"/>
      <c r="I500" s="428">
        <f>'Endfälliges Darlehen'!AG21</f>
        <v>0</v>
      </c>
      <c r="J500" s="247"/>
      <c r="K500" s="429"/>
      <c r="L500" s="429"/>
      <c r="M500" s="429"/>
      <c r="N500" s="429"/>
      <c r="O500" s="430">
        <f>IF(AND(I500&gt;0,I503=0),$D499,0)</f>
        <v>0</v>
      </c>
      <c r="P500" s="436"/>
      <c r="R500" s="434" t="str">
        <f>"  "&amp;F92&amp;": "&amp;S501&amp;" "&amp;S502&amp;" "&amp;S503&amp;" "&amp;S504&amp;" "&amp;S505&amp;" "&amp;S506&amp;" "&amp;S507&amp;""</f>
        <v xml:space="preserve">  Darlehen 1:  Höhe: 0,- €; Auszahl. 100%;  Zins: % p.a.;   Das Darl. läuft nach rd. 0 Jahren aus.</v>
      </c>
      <c r="BD500" s="387">
        <f t="shared" si="190"/>
        <v>13</v>
      </c>
      <c r="BE500" s="382">
        <f>IF(BD500&gt;0,163,0)</f>
        <v>163</v>
      </c>
      <c r="BG500" s="383">
        <f>IF($BE500&gt;$R$66-3+($BR$335*12),163,0)</f>
        <v>163</v>
      </c>
      <c r="BH500" s="1754">
        <f t="shared" si="191"/>
        <v>0</v>
      </c>
      <c r="BI500" s="1754"/>
      <c r="BJ500" s="1754"/>
      <c r="BK500" s="1754"/>
      <c r="BL500" s="1754">
        <f t="shared" si="155"/>
        <v>0</v>
      </c>
      <c r="BM500" s="1754"/>
      <c r="BN500" s="1754"/>
      <c r="BO500" s="1754">
        <f t="shared" si="146"/>
        <v>0</v>
      </c>
      <c r="BP500" s="1754"/>
      <c r="BQ500" s="1754"/>
      <c r="BR500" s="1754">
        <f t="shared" si="192"/>
        <v>0</v>
      </c>
      <c r="BS500" s="1754"/>
      <c r="BT500" s="1754"/>
      <c r="BU500" s="1754"/>
      <c r="BW500" s="383">
        <f>IF($BE500&gt;$R$66-3+($CH$335*12),163,0)</f>
        <v>163</v>
      </c>
      <c r="BX500" s="1754">
        <f t="shared" si="137"/>
        <v>0</v>
      </c>
      <c r="BY500" s="1754"/>
      <c r="BZ500" s="1754"/>
      <c r="CA500" s="1754"/>
      <c r="CB500" s="1754">
        <f t="shared" si="156"/>
        <v>0</v>
      </c>
      <c r="CC500" s="1754"/>
      <c r="CD500" s="1754"/>
      <c r="CE500" s="1754">
        <f t="shared" si="147"/>
        <v>0</v>
      </c>
      <c r="CF500" s="1754"/>
      <c r="CG500" s="1754"/>
      <c r="CH500" s="1754">
        <f t="shared" si="148"/>
        <v>0</v>
      </c>
      <c r="CI500" s="1754"/>
      <c r="CJ500" s="1754"/>
      <c r="CK500" s="1754"/>
      <c r="CM500" s="383">
        <f>IF($BE500&gt;$R$66-3+($CX$335*12),163,0)</f>
        <v>163</v>
      </c>
      <c r="CN500" s="1754">
        <f t="shared" si="138"/>
        <v>0</v>
      </c>
      <c r="CO500" s="1754"/>
      <c r="CP500" s="1754"/>
      <c r="CQ500" s="1754"/>
      <c r="CR500" s="1754">
        <f t="shared" si="157"/>
        <v>0</v>
      </c>
      <c r="CS500" s="1754"/>
      <c r="CT500" s="1754"/>
      <c r="CU500" s="1754">
        <f t="shared" si="149"/>
        <v>0</v>
      </c>
      <c r="CV500" s="1754"/>
      <c r="CW500" s="1754"/>
      <c r="CX500" s="1754">
        <f t="shared" si="150"/>
        <v>0</v>
      </c>
      <c r="CY500" s="1754"/>
      <c r="CZ500" s="1754"/>
      <c r="DA500" s="1754"/>
      <c r="DC500" s="383">
        <f>IF($BE500&gt;$R$66-3,163,0)</f>
        <v>163</v>
      </c>
      <c r="DD500" s="1754">
        <f t="shared" si="139"/>
        <v>0</v>
      </c>
      <c r="DE500" s="1754"/>
      <c r="DF500" s="1754"/>
      <c r="DG500" s="1754"/>
      <c r="DH500" s="1754">
        <f t="shared" si="158"/>
        <v>0</v>
      </c>
      <c r="DI500" s="1754"/>
      <c r="DJ500" s="1754"/>
      <c r="DK500" s="1754">
        <f t="shared" si="151"/>
        <v>0</v>
      </c>
      <c r="DL500" s="1754"/>
      <c r="DM500" s="1754"/>
      <c r="DN500" s="1754"/>
      <c r="DP500" s="383">
        <f t="shared" si="159"/>
        <v>163</v>
      </c>
      <c r="DQ500" s="1754">
        <f t="shared" si="160"/>
        <v>0</v>
      </c>
      <c r="DR500" s="1754"/>
      <c r="DS500" s="1754"/>
      <c r="DT500" s="1754"/>
      <c r="DU500" s="1754">
        <f t="shared" si="177"/>
        <v>0</v>
      </c>
      <c r="DV500" s="1754"/>
      <c r="DW500" s="1754"/>
      <c r="DX500" s="1754">
        <f t="shared" si="179"/>
        <v>0</v>
      </c>
      <c r="DY500" s="1754"/>
      <c r="DZ500" s="1754"/>
      <c r="EA500" s="1754">
        <f t="shared" si="180"/>
        <v>0</v>
      </c>
      <c r="EB500" s="1754"/>
      <c r="EC500" s="1754"/>
      <c r="ED500" s="1754"/>
      <c r="EE500" s="384"/>
      <c r="EF500" s="1750">
        <f t="shared" si="152"/>
        <v>0</v>
      </c>
      <c r="EG500" s="1751"/>
      <c r="EH500" s="1751"/>
      <c r="EI500" s="1751"/>
      <c r="EJ500" s="1752"/>
      <c r="EL500" s="1750">
        <f t="shared" si="181"/>
        <v>0</v>
      </c>
      <c r="EM500" s="1751"/>
      <c r="EN500" s="1751"/>
      <c r="EO500" s="1751"/>
      <c r="EP500" s="1752"/>
      <c r="ER500" s="1750">
        <f t="shared" si="153"/>
        <v>0</v>
      </c>
      <c r="ES500" s="1751"/>
      <c r="ET500" s="1751"/>
      <c r="EU500" s="1751"/>
      <c r="EV500" s="1752"/>
      <c r="EX500" s="1750">
        <f>IF(BE500&gt;0,Einstrahlung!$K$22*Kalkulation!$P$62/100*$AY$29*POWER((100-$P$64)/100,BD500-1),0)</f>
        <v>0</v>
      </c>
      <c r="EY500" s="1751"/>
      <c r="EZ500" s="1751"/>
      <c r="FA500" s="1751"/>
      <c r="FB500" s="1752"/>
      <c r="FD500" s="1750">
        <f t="shared" si="161"/>
        <v>0</v>
      </c>
      <c r="FE500" s="1751"/>
      <c r="FF500" s="1751"/>
      <c r="FG500" s="1751"/>
      <c r="FH500" s="1752"/>
      <c r="FI500" s="385"/>
      <c r="FJ500" s="380">
        <f t="shared" si="173"/>
        <v>0</v>
      </c>
      <c r="FK500" s="385"/>
      <c r="FL500" s="380">
        <f t="shared" si="193"/>
        <v>0</v>
      </c>
      <c r="FM500" s="385"/>
      <c r="FN500" s="380">
        <f t="shared" si="162"/>
        <v>0</v>
      </c>
      <c r="FO500" s="962">
        <f t="shared" si="167"/>
        <v>292</v>
      </c>
      <c r="FP500" s="956">
        <f t="shared" si="154"/>
        <v>0.4</v>
      </c>
      <c r="FQ500" s="380">
        <f t="shared" si="178"/>
        <v>0</v>
      </c>
      <c r="FR500" s="626">
        <f t="shared" si="194"/>
        <v>1</v>
      </c>
      <c r="FT500" s="1819">
        <f t="shared" si="168"/>
        <v>0</v>
      </c>
      <c r="FU500" s="1820"/>
      <c r="FV500" s="1820"/>
      <c r="FW500" s="1820"/>
      <c r="FX500" s="1821"/>
      <c r="FY500" s="1819">
        <f t="shared" si="163"/>
        <v>0</v>
      </c>
      <c r="FZ500" s="1820"/>
      <c r="GA500" s="1820"/>
      <c r="GB500" s="1821"/>
      <c r="GC500" s="1825">
        <f t="shared" si="182"/>
        <v>0</v>
      </c>
      <c r="GD500" s="1826"/>
      <c r="GE500" s="1826"/>
      <c r="GF500" s="1827"/>
      <c r="GH500" s="1750">
        <f t="shared" si="164"/>
        <v>0</v>
      </c>
      <c r="GI500" s="1751"/>
      <c r="GJ500" s="1751"/>
      <c r="GK500" s="1752"/>
      <c r="GL500" s="1750">
        <f t="shared" si="165"/>
        <v>0</v>
      </c>
      <c r="GM500" s="1751"/>
      <c r="GN500" s="1751"/>
      <c r="GO500" s="1752"/>
      <c r="GP500" s="385"/>
      <c r="GQ500" s="1750">
        <f t="shared" si="166"/>
        <v>0</v>
      </c>
      <c r="GR500" s="1751"/>
      <c r="GS500" s="1751"/>
      <c r="GT500" s="1752"/>
      <c r="GU500" s="192">
        <f t="shared" si="176"/>
        <v>1</v>
      </c>
      <c r="GV500" s="192">
        <f>SUM($GU$337:GU500)</f>
        <v>156</v>
      </c>
      <c r="GW500" s="318"/>
      <c r="HI500" s="380">
        <f t="shared" si="189"/>
        <v>0</v>
      </c>
      <c r="HX500" s="380"/>
    </row>
    <row r="501" spans="4:232">
      <c r="D501" s="313"/>
      <c r="E501" s="247"/>
      <c r="F501" s="247"/>
      <c r="G501" s="247"/>
      <c r="H501" s="247"/>
      <c r="I501" s="247"/>
      <c r="J501" s="428">
        <f>'Endfälliges Darlehen'!AV21</f>
        <v>0</v>
      </c>
      <c r="K501" s="429"/>
      <c r="L501" s="429"/>
      <c r="M501" s="429"/>
      <c r="N501" s="429"/>
      <c r="O501" s="430"/>
      <c r="P501" s="436"/>
      <c r="S501" s="435" t="str">
        <f>IF(AA475="A","Annuitätendarl.;",IF(AA475="R","Ratendarl.;",""))</f>
        <v/>
      </c>
      <c r="BD501" s="387">
        <f t="shared" si="190"/>
        <v>13</v>
      </c>
      <c r="BE501" s="382">
        <f>IF(BD501&gt;0,164,0)</f>
        <v>164</v>
      </c>
      <c r="BG501" s="383">
        <f>IF($BE501&gt;$R$66-3+($BR$335*12),164,0)</f>
        <v>164</v>
      </c>
      <c r="BH501" s="1754">
        <f t="shared" si="191"/>
        <v>0</v>
      </c>
      <c r="BI501" s="1754"/>
      <c r="BJ501" s="1754"/>
      <c r="BK501" s="1754"/>
      <c r="BL501" s="1754">
        <f t="shared" si="155"/>
        <v>0</v>
      </c>
      <c r="BM501" s="1754"/>
      <c r="BN501" s="1754"/>
      <c r="BO501" s="1754">
        <f t="shared" si="146"/>
        <v>0</v>
      </c>
      <c r="BP501" s="1754"/>
      <c r="BQ501" s="1754"/>
      <c r="BR501" s="1754">
        <f t="shared" si="192"/>
        <v>0</v>
      </c>
      <c r="BS501" s="1754"/>
      <c r="BT501" s="1754"/>
      <c r="BU501" s="1754"/>
      <c r="BW501" s="383">
        <f>IF($BE501&gt;$R$66-3+($CH$335*12),164,0)</f>
        <v>164</v>
      </c>
      <c r="BX501" s="1754">
        <f t="shared" si="137"/>
        <v>0</v>
      </c>
      <c r="BY501" s="1754"/>
      <c r="BZ501" s="1754"/>
      <c r="CA501" s="1754"/>
      <c r="CB501" s="1754">
        <f t="shared" si="156"/>
        <v>0</v>
      </c>
      <c r="CC501" s="1754"/>
      <c r="CD501" s="1754"/>
      <c r="CE501" s="1754">
        <f t="shared" si="147"/>
        <v>0</v>
      </c>
      <c r="CF501" s="1754"/>
      <c r="CG501" s="1754"/>
      <c r="CH501" s="1754">
        <f t="shared" si="148"/>
        <v>0</v>
      </c>
      <c r="CI501" s="1754"/>
      <c r="CJ501" s="1754"/>
      <c r="CK501" s="1754"/>
      <c r="CM501" s="383">
        <f>IF($BE501&gt;$R$66-3+($CX$335*12),164,0)</f>
        <v>164</v>
      </c>
      <c r="CN501" s="1754">
        <f t="shared" si="138"/>
        <v>0</v>
      </c>
      <c r="CO501" s="1754"/>
      <c r="CP501" s="1754"/>
      <c r="CQ501" s="1754"/>
      <c r="CR501" s="1754">
        <f t="shared" si="157"/>
        <v>0</v>
      </c>
      <c r="CS501" s="1754"/>
      <c r="CT501" s="1754"/>
      <c r="CU501" s="1754">
        <f t="shared" si="149"/>
        <v>0</v>
      </c>
      <c r="CV501" s="1754"/>
      <c r="CW501" s="1754"/>
      <c r="CX501" s="1754">
        <f t="shared" si="150"/>
        <v>0</v>
      </c>
      <c r="CY501" s="1754"/>
      <c r="CZ501" s="1754"/>
      <c r="DA501" s="1754"/>
      <c r="DC501" s="383">
        <f>IF($BE501&gt;$R$66-3,164,0)</f>
        <v>164</v>
      </c>
      <c r="DD501" s="1754">
        <f t="shared" si="139"/>
        <v>0</v>
      </c>
      <c r="DE501" s="1754"/>
      <c r="DF501" s="1754"/>
      <c r="DG501" s="1754"/>
      <c r="DH501" s="1754">
        <f t="shared" si="158"/>
        <v>0</v>
      </c>
      <c r="DI501" s="1754"/>
      <c r="DJ501" s="1754"/>
      <c r="DK501" s="1754">
        <f t="shared" si="151"/>
        <v>0</v>
      </c>
      <c r="DL501" s="1754"/>
      <c r="DM501" s="1754"/>
      <c r="DN501" s="1754"/>
      <c r="DP501" s="383">
        <f t="shared" si="159"/>
        <v>164</v>
      </c>
      <c r="DQ501" s="1754">
        <f t="shared" si="160"/>
        <v>0</v>
      </c>
      <c r="DR501" s="1754"/>
      <c r="DS501" s="1754"/>
      <c r="DT501" s="1754"/>
      <c r="DU501" s="1754">
        <f t="shared" si="177"/>
        <v>0</v>
      </c>
      <c r="DV501" s="1754"/>
      <c r="DW501" s="1754"/>
      <c r="DX501" s="1754">
        <f t="shared" si="179"/>
        <v>0</v>
      </c>
      <c r="DY501" s="1754"/>
      <c r="DZ501" s="1754"/>
      <c r="EA501" s="1754">
        <f t="shared" si="180"/>
        <v>0</v>
      </c>
      <c r="EB501" s="1754"/>
      <c r="EC501" s="1754"/>
      <c r="ED501" s="1754"/>
      <c r="EE501" s="384"/>
      <c r="EF501" s="1750">
        <f t="shared" si="152"/>
        <v>0</v>
      </c>
      <c r="EG501" s="1751"/>
      <c r="EH501" s="1751"/>
      <c r="EI501" s="1751"/>
      <c r="EJ501" s="1752"/>
      <c r="EL501" s="1750">
        <f t="shared" si="181"/>
        <v>0</v>
      </c>
      <c r="EM501" s="1751"/>
      <c r="EN501" s="1751"/>
      <c r="EO501" s="1751"/>
      <c r="EP501" s="1752"/>
      <c r="ER501" s="1750">
        <f t="shared" si="153"/>
        <v>0</v>
      </c>
      <c r="ES501" s="1751"/>
      <c r="ET501" s="1751"/>
      <c r="EU501" s="1751"/>
      <c r="EV501" s="1752"/>
      <c r="EX501" s="1750">
        <f>IF(BE501&gt;0,Einstrahlung!$K$24*Kalkulation!$P$62/100*$AY$29*POWER((100-$P$64)/100,BD501-1),0)</f>
        <v>0</v>
      </c>
      <c r="EY501" s="1751"/>
      <c r="EZ501" s="1751"/>
      <c r="FA501" s="1751"/>
      <c r="FB501" s="1752"/>
      <c r="FD501" s="1750">
        <f t="shared" si="161"/>
        <v>0</v>
      </c>
      <c r="FE501" s="1751"/>
      <c r="FF501" s="1751"/>
      <c r="FG501" s="1751"/>
      <c r="FH501" s="1752"/>
      <c r="FI501" s="385"/>
      <c r="FJ501" s="380">
        <f t="shared" si="173"/>
        <v>0</v>
      </c>
      <c r="FK501" s="385"/>
      <c r="FL501" s="380">
        <f t="shared" si="193"/>
        <v>0</v>
      </c>
      <c r="FM501" s="385"/>
      <c r="FN501" s="380">
        <f t="shared" si="162"/>
        <v>0</v>
      </c>
      <c r="FO501" s="962">
        <f t="shared" si="167"/>
        <v>293</v>
      </c>
      <c r="FP501" s="956">
        <f t="shared" si="154"/>
        <v>0.4</v>
      </c>
      <c r="FQ501" s="380">
        <f t="shared" si="178"/>
        <v>0</v>
      </c>
      <c r="FR501" s="626">
        <f t="shared" si="194"/>
        <v>1</v>
      </c>
      <c r="FT501" s="1819">
        <f t="shared" si="168"/>
        <v>0</v>
      </c>
      <c r="FU501" s="1820"/>
      <c r="FV501" s="1820"/>
      <c r="FW501" s="1820"/>
      <c r="FX501" s="1821"/>
      <c r="FY501" s="1819">
        <f t="shared" si="163"/>
        <v>0</v>
      </c>
      <c r="FZ501" s="1820"/>
      <c r="GA501" s="1820"/>
      <c r="GB501" s="1821"/>
      <c r="GC501" s="1825">
        <f t="shared" si="182"/>
        <v>0</v>
      </c>
      <c r="GD501" s="1826"/>
      <c r="GE501" s="1826"/>
      <c r="GF501" s="1827"/>
      <c r="GH501" s="1750">
        <f t="shared" si="164"/>
        <v>0</v>
      </c>
      <c r="GI501" s="1751"/>
      <c r="GJ501" s="1751"/>
      <c r="GK501" s="1752"/>
      <c r="GL501" s="1750">
        <f t="shared" si="165"/>
        <v>0</v>
      </c>
      <c r="GM501" s="1751"/>
      <c r="GN501" s="1751"/>
      <c r="GO501" s="1752"/>
      <c r="GP501" s="385"/>
      <c r="GQ501" s="1750">
        <f t="shared" si="166"/>
        <v>0</v>
      </c>
      <c r="GR501" s="1751"/>
      <c r="GS501" s="1751"/>
      <c r="GT501" s="1752"/>
      <c r="GU501" s="192">
        <f t="shared" si="176"/>
        <v>1</v>
      </c>
      <c r="GV501" s="192">
        <f>SUM($GU$337:GU501)</f>
        <v>157</v>
      </c>
      <c r="GW501" s="318"/>
      <c r="HI501" s="380">
        <f t="shared" si="189"/>
        <v>0</v>
      </c>
      <c r="HX501" s="380"/>
    </row>
    <row r="502" spans="4:232">
      <c r="D502" s="409">
        <v>6</v>
      </c>
      <c r="E502" s="318"/>
      <c r="F502" s="428">
        <f>BR421</f>
        <v>0</v>
      </c>
      <c r="G502" s="428">
        <f>CH421</f>
        <v>0</v>
      </c>
      <c r="H502" s="428">
        <f>CX421</f>
        <v>0</v>
      </c>
      <c r="I502" s="247"/>
      <c r="J502" s="247"/>
      <c r="K502" s="429">
        <f>IF(AND(F502&gt;0,F505=0),$D502,0)</f>
        <v>0</v>
      </c>
      <c r="L502" s="429">
        <f>IF(AND(G502&gt;0,G505=0),$D502,0)</f>
        <v>0</v>
      </c>
      <c r="N502" s="429">
        <f>IF(AND(H502&gt;0,H505=0),$D502,0)</f>
        <v>0</v>
      </c>
      <c r="O502" s="430"/>
      <c r="P502" s="436"/>
      <c r="S502" s="435" t="str">
        <f>"Höhe: "&amp;AY92&amp;",- €; Auszahl. "&amp;BB92*100&amp;"%;"</f>
        <v>Höhe: 0,- €; Auszahl. 100%;</v>
      </c>
      <c r="BD502" s="387">
        <f t="shared" si="190"/>
        <v>13</v>
      </c>
      <c r="BE502" s="382">
        <f>IF(BD502&gt;0,165,0)</f>
        <v>165</v>
      </c>
      <c r="BG502" s="383">
        <f>IF($BE502&gt;$R$66-3+($BR$335*12),165,0)</f>
        <v>165</v>
      </c>
      <c r="BH502" s="1754">
        <f t="shared" si="191"/>
        <v>0</v>
      </c>
      <c r="BI502" s="1754"/>
      <c r="BJ502" s="1754"/>
      <c r="BK502" s="1754"/>
      <c r="BL502" s="1754">
        <f t="shared" si="155"/>
        <v>0</v>
      </c>
      <c r="BM502" s="1754"/>
      <c r="BN502" s="1754"/>
      <c r="BO502" s="1754">
        <f t="shared" si="146"/>
        <v>0</v>
      </c>
      <c r="BP502" s="1754"/>
      <c r="BQ502" s="1754"/>
      <c r="BR502" s="1754">
        <f t="shared" si="192"/>
        <v>0</v>
      </c>
      <c r="BS502" s="1754"/>
      <c r="BT502" s="1754"/>
      <c r="BU502" s="1754"/>
      <c r="BW502" s="383">
        <f>IF($BE502&gt;$R$66-3+($CH$335*12),165,0)</f>
        <v>165</v>
      </c>
      <c r="BX502" s="1754">
        <f t="shared" si="137"/>
        <v>0</v>
      </c>
      <c r="BY502" s="1754"/>
      <c r="BZ502" s="1754"/>
      <c r="CA502" s="1754"/>
      <c r="CB502" s="1754">
        <f t="shared" si="156"/>
        <v>0</v>
      </c>
      <c r="CC502" s="1754"/>
      <c r="CD502" s="1754"/>
      <c r="CE502" s="1754">
        <f t="shared" si="147"/>
        <v>0</v>
      </c>
      <c r="CF502" s="1754"/>
      <c r="CG502" s="1754"/>
      <c r="CH502" s="1754">
        <f t="shared" si="148"/>
        <v>0</v>
      </c>
      <c r="CI502" s="1754"/>
      <c r="CJ502" s="1754"/>
      <c r="CK502" s="1754"/>
      <c r="CM502" s="383">
        <f>IF($BE502&gt;$R$66-3+($CX$335*12),165,0)</f>
        <v>165</v>
      </c>
      <c r="CN502" s="1754">
        <f t="shared" si="138"/>
        <v>0</v>
      </c>
      <c r="CO502" s="1754"/>
      <c r="CP502" s="1754"/>
      <c r="CQ502" s="1754"/>
      <c r="CR502" s="1754">
        <f t="shared" si="157"/>
        <v>0</v>
      </c>
      <c r="CS502" s="1754"/>
      <c r="CT502" s="1754"/>
      <c r="CU502" s="1754">
        <f t="shared" si="149"/>
        <v>0</v>
      </c>
      <c r="CV502" s="1754"/>
      <c r="CW502" s="1754"/>
      <c r="CX502" s="1754">
        <f t="shared" si="150"/>
        <v>0</v>
      </c>
      <c r="CY502" s="1754"/>
      <c r="CZ502" s="1754"/>
      <c r="DA502" s="1754"/>
      <c r="DC502" s="383">
        <f>IF($BE502&gt;$R$66-3,165,0)</f>
        <v>165</v>
      </c>
      <c r="DD502" s="1754">
        <f t="shared" si="139"/>
        <v>0</v>
      </c>
      <c r="DE502" s="1754"/>
      <c r="DF502" s="1754"/>
      <c r="DG502" s="1754"/>
      <c r="DH502" s="1754">
        <f t="shared" si="158"/>
        <v>0</v>
      </c>
      <c r="DI502" s="1754"/>
      <c r="DJ502" s="1754"/>
      <c r="DK502" s="1754">
        <f t="shared" si="151"/>
        <v>0</v>
      </c>
      <c r="DL502" s="1754"/>
      <c r="DM502" s="1754"/>
      <c r="DN502" s="1754"/>
      <c r="DP502" s="383">
        <f t="shared" si="159"/>
        <v>165</v>
      </c>
      <c r="DQ502" s="1754">
        <f t="shared" si="160"/>
        <v>0</v>
      </c>
      <c r="DR502" s="1754"/>
      <c r="DS502" s="1754"/>
      <c r="DT502" s="1754"/>
      <c r="DU502" s="1754">
        <f t="shared" si="177"/>
        <v>0</v>
      </c>
      <c r="DV502" s="1754"/>
      <c r="DW502" s="1754"/>
      <c r="DX502" s="1754">
        <f t="shared" si="179"/>
        <v>0</v>
      </c>
      <c r="DY502" s="1754"/>
      <c r="DZ502" s="1754"/>
      <c r="EA502" s="1754">
        <f t="shared" si="180"/>
        <v>0</v>
      </c>
      <c r="EB502" s="1754"/>
      <c r="EC502" s="1754"/>
      <c r="ED502" s="1754"/>
      <c r="EE502" s="384"/>
      <c r="EF502" s="1750">
        <f t="shared" si="152"/>
        <v>0</v>
      </c>
      <c r="EG502" s="1751"/>
      <c r="EH502" s="1751"/>
      <c r="EI502" s="1751"/>
      <c r="EJ502" s="1752"/>
      <c r="EL502" s="1750">
        <f t="shared" si="181"/>
        <v>0</v>
      </c>
      <c r="EM502" s="1751"/>
      <c r="EN502" s="1751"/>
      <c r="EO502" s="1751"/>
      <c r="EP502" s="1752"/>
      <c r="ER502" s="1750">
        <f t="shared" si="153"/>
        <v>0</v>
      </c>
      <c r="ES502" s="1751"/>
      <c r="ET502" s="1751"/>
      <c r="EU502" s="1751"/>
      <c r="EV502" s="1752"/>
      <c r="EX502" s="1750">
        <f>IF(BE502&gt;0,Einstrahlung!$K$26*Kalkulation!$P$62/100*$AY$29*POWER((100-$P$64)/100,BD502-1),0)</f>
        <v>0</v>
      </c>
      <c r="EY502" s="1751"/>
      <c r="EZ502" s="1751"/>
      <c r="FA502" s="1751"/>
      <c r="FB502" s="1752"/>
      <c r="FD502" s="1750">
        <f t="shared" si="161"/>
        <v>0</v>
      </c>
      <c r="FE502" s="1751"/>
      <c r="FF502" s="1751"/>
      <c r="FG502" s="1751"/>
      <c r="FH502" s="1752"/>
      <c r="FI502" s="385"/>
      <c r="FJ502" s="380">
        <f t="shared" si="173"/>
        <v>0</v>
      </c>
      <c r="FK502" s="385"/>
      <c r="FL502" s="380">
        <f t="shared" si="193"/>
        <v>0</v>
      </c>
      <c r="FM502" s="385"/>
      <c r="FN502" s="380">
        <f t="shared" si="162"/>
        <v>0</v>
      </c>
      <c r="FO502" s="962">
        <f t="shared" si="167"/>
        <v>294</v>
      </c>
      <c r="FP502" s="956">
        <f t="shared" si="154"/>
        <v>0.4</v>
      </c>
      <c r="FQ502" s="380">
        <f t="shared" si="178"/>
        <v>0</v>
      </c>
      <c r="FR502" s="626">
        <f t="shared" si="194"/>
        <v>1</v>
      </c>
      <c r="FT502" s="1819">
        <f t="shared" si="168"/>
        <v>0</v>
      </c>
      <c r="FU502" s="1820"/>
      <c r="FV502" s="1820"/>
      <c r="FW502" s="1820"/>
      <c r="FX502" s="1821"/>
      <c r="FY502" s="1819">
        <f t="shared" si="163"/>
        <v>0</v>
      </c>
      <c r="FZ502" s="1820"/>
      <c r="GA502" s="1820"/>
      <c r="GB502" s="1821"/>
      <c r="GC502" s="1825">
        <f t="shared" si="182"/>
        <v>0</v>
      </c>
      <c r="GD502" s="1826"/>
      <c r="GE502" s="1826"/>
      <c r="GF502" s="1827"/>
      <c r="GH502" s="1750">
        <f t="shared" si="164"/>
        <v>0</v>
      </c>
      <c r="GI502" s="1751"/>
      <c r="GJ502" s="1751"/>
      <c r="GK502" s="1752"/>
      <c r="GL502" s="1750">
        <f t="shared" si="165"/>
        <v>0</v>
      </c>
      <c r="GM502" s="1751"/>
      <c r="GN502" s="1751"/>
      <c r="GO502" s="1752"/>
      <c r="GP502" s="385"/>
      <c r="GQ502" s="1750">
        <f t="shared" si="166"/>
        <v>0</v>
      </c>
      <c r="GR502" s="1751"/>
      <c r="GS502" s="1751"/>
      <c r="GT502" s="1752"/>
      <c r="GU502" s="192">
        <f t="shared" si="176"/>
        <v>1</v>
      </c>
      <c r="GV502" s="192">
        <f>SUM($GU$337:GU502)</f>
        <v>158</v>
      </c>
      <c r="GW502" s="318"/>
      <c r="HI502" s="380">
        <f t="shared" si="189"/>
        <v>0</v>
      </c>
      <c r="HX502" s="380"/>
    </row>
    <row r="503" spans="4:232">
      <c r="D503" s="313"/>
      <c r="E503" s="247"/>
      <c r="F503" s="247"/>
      <c r="G503" s="247"/>
      <c r="H503" s="247"/>
      <c r="I503" s="428">
        <f>'Endfälliges Darlehen'!AG23</f>
        <v>0</v>
      </c>
      <c r="J503" s="247"/>
      <c r="K503" s="429"/>
      <c r="L503" s="429"/>
      <c r="M503" s="429"/>
      <c r="N503" s="429"/>
      <c r="O503" s="430">
        <f>IF(AND(I503&gt;0,I506=0),$D502,0)</f>
        <v>0</v>
      </c>
      <c r="P503" s="436"/>
      <c r="S503" s="435" t="str">
        <f>IF(AA475="R","Laufzeit: "&amp;S92&amp;" J.;","")</f>
        <v/>
      </c>
      <c r="BD503" s="387">
        <f t="shared" si="190"/>
        <v>13</v>
      </c>
      <c r="BE503" s="382">
        <f>IF(BD503&gt;0,166,0)</f>
        <v>166</v>
      </c>
      <c r="BG503" s="383">
        <f>IF($BE503&gt;$R$66-3+($BR$335*12),166,0)</f>
        <v>166</v>
      </c>
      <c r="BH503" s="1754">
        <f t="shared" si="191"/>
        <v>0</v>
      </c>
      <c r="BI503" s="1754"/>
      <c r="BJ503" s="1754"/>
      <c r="BK503" s="1754"/>
      <c r="BL503" s="1754">
        <f t="shared" si="155"/>
        <v>0</v>
      </c>
      <c r="BM503" s="1754"/>
      <c r="BN503" s="1754"/>
      <c r="BO503" s="1754">
        <f t="shared" si="146"/>
        <v>0</v>
      </c>
      <c r="BP503" s="1754"/>
      <c r="BQ503" s="1754"/>
      <c r="BR503" s="1754">
        <f t="shared" si="192"/>
        <v>0</v>
      </c>
      <c r="BS503" s="1754"/>
      <c r="BT503" s="1754"/>
      <c r="BU503" s="1754"/>
      <c r="BW503" s="383">
        <f>IF($BE503&gt;$R$66-3+($CH$335*12),166,0)</f>
        <v>166</v>
      </c>
      <c r="BX503" s="1754">
        <f t="shared" si="137"/>
        <v>0</v>
      </c>
      <c r="BY503" s="1754"/>
      <c r="BZ503" s="1754"/>
      <c r="CA503" s="1754"/>
      <c r="CB503" s="1754">
        <f t="shared" si="156"/>
        <v>0</v>
      </c>
      <c r="CC503" s="1754"/>
      <c r="CD503" s="1754"/>
      <c r="CE503" s="1754">
        <f t="shared" si="147"/>
        <v>0</v>
      </c>
      <c r="CF503" s="1754"/>
      <c r="CG503" s="1754"/>
      <c r="CH503" s="1754">
        <f t="shared" si="148"/>
        <v>0</v>
      </c>
      <c r="CI503" s="1754"/>
      <c r="CJ503" s="1754"/>
      <c r="CK503" s="1754"/>
      <c r="CM503" s="383">
        <f>IF($BE503&gt;$R$66-3+($CX$335*12),166,0)</f>
        <v>166</v>
      </c>
      <c r="CN503" s="1754">
        <f t="shared" si="138"/>
        <v>0</v>
      </c>
      <c r="CO503" s="1754"/>
      <c r="CP503" s="1754"/>
      <c r="CQ503" s="1754"/>
      <c r="CR503" s="1754">
        <f t="shared" si="157"/>
        <v>0</v>
      </c>
      <c r="CS503" s="1754"/>
      <c r="CT503" s="1754"/>
      <c r="CU503" s="1754">
        <f t="shared" si="149"/>
        <v>0</v>
      </c>
      <c r="CV503" s="1754"/>
      <c r="CW503" s="1754"/>
      <c r="CX503" s="1754">
        <f t="shared" si="150"/>
        <v>0</v>
      </c>
      <c r="CY503" s="1754"/>
      <c r="CZ503" s="1754"/>
      <c r="DA503" s="1754"/>
      <c r="DC503" s="383">
        <f>IF($BE503&gt;$R$66-3,166,0)</f>
        <v>166</v>
      </c>
      <c r="DD503" s="1754">
        <f t="shared" si="139"/>
        <v>0</v>
      </c>
      <c r="DE503" s="1754"/>
      <c r="DF503" s="1754"/>
      <c r="DG503" s="1754"/>
      <c r="DH503" s="1754">
        <f t="shared" si="158"/>
        <v>0</v>
      </c>
      <c r="DI503" s="1754"/>
      <c r="DJ503" s="1754"/>
      <c r="DK503" s="1754">
        <f t="shared" si="151"/>
        <v>0</v>
      </c>
      <c r="DL503" s="1754"/>
      <c r="DM503" s="1754"/>
      <c r="DN503" s="1754"/>
      <c r="DP503" s="383">
        <f t="shared" si="159"/>
        <v>166</v>
      </c>
      <c r="DQ503" s="1754">
        <f t="shared" si="160"/>
        <v>0</v>
      </c>
      <c r="DR503" s="1754"/>
      <c r="DS503" s="1754"/>
      <c r="DT503" s="1754"/>
      <c r="DU503" s="1754">
        <f t="shared" si="177"/>
        <v>0</v>
      </c>
      <c r="DV503" s="1754"/>
      <c r="DW503" s="1754"/>
      <c r="DX503" s="1754">
        <f t="shared" si="179"/>
        <v>0</v>
      </c>
      <c r="DY503" s="1754"/>
      <c r="DZ503" s="1754"/>
      <c r="EA503" s="1754">
        <f t="shared" si="180"/>
        <v>0</v>
      </c>
      <c r="EB503" s="1754"/>
      <c r="EC503" s="1754"/>
      <c r="ED503" s="1754"/>
      <c r="EE503" s="384"/>
      <c r="EF503" s="1750">
        <f t="shared" si="152"/>
        <v>0</v>
      </c>
      <c r="EG503" s="1751"/>
      <c r="EH503" s="1751"/>
      <c r="EI503" s="1751"/>
      <c r="EJ503" s="1752"/>
      <c r="EL503" s="1750">
        <f t="shared" si="181"/>
        <v>0</v>
      </c>
      <c r="EM503" s="1751"/>
      <c r="EN503" s="1751"/>
      <c r="EO503" s="1751"/>
      <c r="EP503" s="1752"/>
      <c r="ER503" s="1750">
        <f t="shared" si="153"/>
        <v>0</v>
      </c>
      <c r="ES503" s="1751"/>
      <c r="ET503" s="1751"/>
      <c r="EU503" s="1751"/>
      <c r="EV503" s="1752"/>
      <c r="EX503" s="1750">
        <f>IF(BE503&gt;0,Einstrahlung!$K$28*Kalkulation!$P$62/100*$AY$29*POWER((100-$P$64)/100,BD503-1),0)</f>
        <v>0</v>
      </c>
      <c r="EY503" s="1751"/>
      <c r="EZ503" s="1751"/>
      <c r="FA503" s="1751"/>
      <c r="FB503" s="1752"/>
      <c r="FD503" s="1750">
        <f t="shared" si="161"/>
        <v>0</v>
      </c>
      <c r="FE503" s="1751"/>
      <c r="FF503" s="1751"/>
      <c r="FG503" s="1751"/>
      <c r="FH503" s="1752"/>
      <c r="FI503" s="385"/>
      <c r="FJ503" s="380">
        <f t="shared" si="173"/>
        <v>0</v>
      </c>
      <c r="FK503" s="385"/>
      <c r="FL503" s="380">
        <f t="shared" si="193"/>
        <v>0</v>
      </c>
      <c r="FM503" s="385"/>
      <c r="FN503" s="380">
        <f t="shared" si="162"/>
        <v>0</v>
      </c>
      <c r="FO503" s="962">
        <f t="shared" si="167"/>
        <v>295</v>
      </c>
      <c r="FP503" s="956">
        <f t="shared" si="154"/>
        <v>0.4</v>
      </c>
      <c r="FQ503" s="380">
        <f t="shared" si="178"/>
        <v>0</v>
      </c>
      <c r="FR503" s="626">
        <f t="shared" si="194"/>
        <v>1</v>
      </c>
      <c r="FT503" s="1819">
        <f t="shared" si="168"/>
        <v>0</v>
      </c>
      <c r="FU503" s="1820"/>
      <c r="FV503" s="1820"/>
      <c r="FW503" s="1820"/>
      <c r="FX503" s="1821"/>
      <c r="FY503" s="1819">
        <f t="shared" si="163"/>
        <v>0</v>
      </c>
      <c r="FZ503" s="1820"/>
      <c r="GA503" s="1820"/>
      <c r="GB503" s="1821"/>
      <c r="GC503" s="1825">
        <f t="shared" si="182"/>
        <v>0</v>
      </c>
      <c r="GD503" s="1826"/>
      <c r="GE503" s="1826"/>
      <c r="GF503" s="1827"/>
      <c r="GH503" s="1750">
        <f t="shared" si="164"/>
        <v>0</v>
      </c>
      <c r="GI503" s="1751"/>
      <c r="GJ503" s="1751"/>
      <c r="GK503" s="1752"/>
      <c r="GL503" s="1750">
        <f t="shared" si="165"/>
        <v>0</v>
      </c>
      <c r="GM503" s="1751"/>
      <c r="GN503" s="1751"/>
      <c r="GO503" s="1752"/>
      <c r="GP503" s="385"/>
      <c r="GQ503" s="1750">
        <f t="shared" si="166"/>
        <v>0</v>
      </c>
      <c r="GR503" s="1751"/>
      <c r="GS503" s="1751"/>
      <c r="GT503" s="1752"/>
      <c r="GU503" s="192">
        <f t="shared" si="176"/>
        <v>1</v>
      </c>
      <c r="GV503" s="192">
        <f>SUM($GU$337:GU503)</f>
        <v>159</v>
      </c>
      <c r="GW503" s="318"/>
      <c r="HI503" s="380">
        <f t="shared" si="189"/>
        <v>0</v>
      </c>
      <c r="HX503" s="380"/>
    </row>
    <row r="504" spans="4:232">
      <c r="D504" s="313"/>
      <c r="E504" s="247"/>
      <c r="F504" s="247"/>
      <c r="G504" s="247"/>
      <c r="H504" s="247"/>
      <c r="I504" s="247"/>
      <c r="J504" s="428">
        <f>'Endfälliges Darlehen'!AV23</f>
        <v>0</v>
      </c>
      <c r="K504" s="429"/>
      <c r="L504" s="429"/>
      <c r="M504" s="429"/>
      <c r="N504" s="429"/>
      <c r="O504" s="430"/>
      <c r="P504" s="436"/>
      <c r="S504" s="435" t="str">
        <f>"Zins: "&amp;T92&amp;"% p.a.;"</f>
        <v>Zins: % p.a.;</v>
      </c>
      <c r="BD504" s="387">
        <f t="shared" si="190"/>
        <v>13</v>
      </c>
      <c r="BE504" s="382">
        <f>IF(BD504&gt;0,167,0)</f>
        <v>167</v>
      </c>
      <c r="BG504" s="383">
        <f>IF($BE504&gt;$R$66-3+($BR$335*12),167,0)</f>
        <v>167</v>
      </c>
      <c r="BH504" s="1754">
        <f t="shared" si="191"/>
        <v>0</v>
      </c>
      <c r="BI504" s="1754"/>
      <c r="BJ504" s="1754"/>
      <c r="BK504" s="1754"/>
      <c r="BL504" s="1754">
        <f t="shared" si="155"/>
        <v>0</v>
      </c>
      <c r="BM504" s="1754"/>
      <c r="BN504" s="1754"/>
      <c r="BO504" s="1754">
        <f t="shared" si="146"/>
        <v>0</v>
      </c>
      <c r="BP504" s="1754"/>
      <c r="BQ504" s="1754"/>
      <c r="BR504" s="1754">
        <f t="shared" si="192"/>
        <v>0</v>
      </c>
      <c r="BS504" s="1754"/>
      <c r="BT504" s="1754"/>
      <c r="BU504" s="1754"/>
      <c r="BW504" s="383">
        <f>IF($BE504&gt;$R$66-3+($CH$335*12),167,0)</f>
        <v>167</v>
      </c>
      <c r="BX504" s="1754">
        <f t="shared" si="137"/>
        <v>0</v>
      </c>
      <c r="BY504" s="1754"/>
      <c r="BZ504" s="1754"/>
      <c r="CA504" s="1754"/>
      <c r="CB504" s="1754">
        <f t="shared" si="156"/>
        <v>0</v>
      </c>
      <c r="CC504" s="1754"/>
      <c r="CD504" s="1754"/>
      <c r="CE504" s="1754">
        <f t="shared" si="147"/>
        <v>0</v>
      </c>
      <c r="CF504" s="1754"/>
      <c r="CG504" s="1754"/>
      <c r="CH504" s="1754">
        <f t="shared" si="148"/>
        <v>0</v>
      </c>
      <c r="CI504" s="1754"/>
      <c r="CJ504" s="1754"/>
      <c r="CK504" s="1754"/>
      <c r="CM504" s="383">
        <f>IF($BE504&gt;$R$66-3+($CX$335*12),167,0)</f>
        <v>167</v>
      </c>
      <c r="CN504" s="1754">
        <f t="shared" si="138"/>
        <v>0</v>
      </c>
      <c r="CO504" s="1754"/>
      <c r="CP504" s="1754"/>
      <c r="CQ504" s="1754"/>
      <c r="CR504" s="1754">
        <f t="shared" si="157"/>
        <v>0</v>
      </c>
      <c r="CS504" s="1754"/>
      <c r="CT504" s="1754"/>
      <c r="CU504" s="1754">
        <f t="shared" si="149"/>
        <v>0</v>
      </c>
      <c r="CV504" s="1754"/>
      <c r="CW504" s="1754"/>
      <c r="CX504" s="1754">
        <f t="shared" si="150"/>
        <v>0</v>
      </c>
      <c r="CY504" s="1754"/>
      <c r="CZ504" s="1754"/>
      <c r="DA504" s="1754"/>
      <c r="DC504" s="383">
        <f>IF($BE504&gt;$R$66-3,167,0)</f>
        <v>167</v>
      </c>
      <c r="DD504" s="1754">
        <f t="shared" si="139"/>
        <v>0</v>
      </c>
      <c r="DE504" s="1754"/>
      <c r="DF504" s="1754"/>
      <c r="DG504" s="1754"/>
      <c r="DH504" s="1754">
        <f t="shared" si="158"/>
        <v>0</v>
      </c>
      <c r="DI504" s="1754"/>
      <c r="DJ504" s="1754"/>
      <c r="DK504" s="1754">
        <f t="shared" si="151"/>
        <v>0</v>
      </c>
      <c r="DL504" s="1754"/>
      <c r="DM504" s="1754"/>
      <c r="DN504" s="1754"/>
      <c r="DP504" s="383">
        <f t="shared" si="159"/>
        <v>167</v>
      </c>
      <c r="DQ504" s="1754">
        <f t="shared" si="160"/>
        <v>0</v>
      </c>
      <c r="DR504" s="1754"/>
      <c r="DS504" s="1754"/>
      <c r="DT504" s="1754"/>
      <c r="DU504" s="1754">
        <f t="shared" si="177"/>
        <v>0</v>
      </c>
      <c r="DV504" s="1754"/>
      <c r="DW504" s="1754"/>
      <c r="DX504" s="1754">
        <f t="shared" si="179"/>
        <v>0</v>
      </c>
      <c r="DY504" s="1754"/>
      <c r="DZ504" s="1754"/>
      <c r="EA504" s="1754">
        <f t="shared" si="180"/>
        <v>0</v>
      </c>
      <c r="EB504" s="1754"/>
      <c r="EC504" s="1754"/>
      <c r="ED504" s="1754"/>
      <c r="EE504" s="384"/>
      <c r="EF504" s="1750">
        <f t="shared" si="152"/>
        <v>0</v>
      </c>
      <c r="EG504" s="1751"/>
      <c r="EH504" s="1751"/>
      <c r="EI504" s="1751"/>
      <c r="EJ504" s="1752"/>
      <c r="EL504" s="1750">
        <f t="shared" si="181"/>
        <v>0</v>
      </c>
      <c r="EM504" s="1751"/>
      <c r="EN504" s="1751"/>
      <c r="EO504" s="1751"/>
      <c r="EP504" s="1752"/>
      <c r="ER504" s="1750">
        <f t="shared" si="153"/>
        <v>0</v>
      </c>
      <c r="ES504" s="1751"/>
      <c r="ET504" s="1751"/>
      <c r="EU504" s="1751"/>
      <c r="EV504" s="1752"/>
      <c r="EX504" s="1750">
        <f>IF(BE504&gt;0,Einstrahlung!$K$30*Kalkulation!$P$62/100*$AY$29*POWER((100-$P$64)/100,BD504-1),0)</f>
        <v>0</v>
      </c>
      <c r="EY504" s="1751"/>
      <c r="EZ504" s="1751"/>
      <c r="FA504" s="1751"/>
      <c r="FB504" s="1752"/>
      <c r="FD504" s="1750">
        <f t="shared" si="161"/>
        <v>0</v>
      </c>
      <c r="FE504" s="1751"/>
      <c r="FF504" s="1751"/>
      <c r="FG504" s="1751"/>
      <c r="FH504" s="1752"/>
      <c r="FI504" s="385"/>
      <c r="FJ504" s="380">
        <f t="shared" si="173"/>
        <v>0</v>
      </c>
      <c r="FK504" s="385"/>
      <c r="FL504" s="380">
        <f t="shared" si="193"/>
        <v>0</v>
      </c>
      <c r="FM504" s="385"/>
      <c r="FN504" s="380">
        <f t="shared" si="162"/>
        <v>0</v>
      </c>
      <c r="FO504" s="962">
        <f t="shared" si="167"/>
        <v>296</v>
      </c>
      <c r="FP504" s="956">
        <f t="shared" si="154"/>
        <v>0.4</v>
      </c>
      <c r="FQ504" s="380">
        <f t="shared" si="178"/>
        <v>0</v>
      </c>
      <c r="FR504" s="626">
        <f t="shared" si="194"/>
        <v>1</v>
      </c>
      <c r="FT504" s="1819">
        <f t="shared" si="168"/>
        <v>0</v>
      </c>
      <c r="FU504" s="1820"/>
      <c r="FV504" s="1820"/>
      <c r="FW504" s="1820"/>
      <c r="FX504" s="1821"/>
      <c r="FY504" s="1819">
        <f t="shared" si="163"/>
        <v>0</v>
      </c>
      <c r="FZ504" s="1820"/>
      <c r="GA504" s="1820"/>
      <c r="GB504" s="1821"/>
      <c r="GC504" s="1825">
        <f t="shared" si="182"/>
        <v>0</v>
      </c>
      <c r="GD504" s="1826"/>
      <c r="GE504" s="1826"/>
      <c r="GF504" s="1827"/>
      <c r="GH504" s="1750">
        <f t="shared" si="164"/>
        <v>0</v>
      </c>
      <c r="GI504" s="1751"/>
      <c r="GJ504" s="1751"/>
      <c r="GK504" s="1752"/>
      <c r="GL504" s="1750">
        <f t="shared" si="165"/>
        <v>0</v>
      </c>
      <c r="GM504" s="1751"/>
      <c r="GN504" s="1751"/>
      <c r="GO504" s="1752"/>
      <c r="GP504" s="385"/>
      <c r="GQ504" s="1750">
        <f t="shared" si="166"/>
        <v>0</v>
      </c>
      <c r="GR504" s="1751"/>
      <c r="GS504" s="1751"/>
      <c r="GT504" s="1752"/>
      <c r="GU504" s="192">
        <f t="shared" si="176"/>
        <v>1</v>
      </c>
      <c r="GV504" s="192">
        <f>SUM($GU$337:GU504)</f>
        <v>160</v>
      </c>
      <c r="GW504" s="318"/>
      <c r="HI504" s="380">
        <f t="shared" si="189"/>
        <v>0</v>
      </c>
      <c r="HX504" s="380"/>
    </row>
    <row r="505" spans="4:232" ht="13.5" thickBot="1">
      <c r="D505" s="409">
        <v>7</v>
      </c>
      <c r="E505" s="318"/>
      <c r="F505" s="428">
        <f>BR433</f>
        <v>0</v>
      </c>
      <c r="G505" s="428">
        <f>CH433</f>
        <v>0</v>
      </c>
      <c r="H505" s="428">
        <f>CX433</f>
        <v>0</v>
      </c>
      <c r="I505" s="247"/>
      <c r="J505" s="247"/>
      <c r="K505" s="429">
        <f>IF(AND(F505&gt;0,F508=0),$D505,0)</f>
        <v>0</v>
      </c>
      <c r="L505" s="429">
        <f>IF(AND(G505&gt;0,G508=0),$D505,0)</f>
        <v>0</v>
      </c>
      <c r="N505" s="429">
        <f>IF(AND(H505&gt;0,H508=0),$D505,0)</f>
        <v>0</v>
      </c>
      <c r="O505" s="430"/>
      <c r="P505" s="436"/>
      <c r="S505" s="435" t="str">
        <f>IF(AA475="a","Annuität: "&amp;V92&amp;"% p.a.;","")</f>
        <v/>
      </c>
      <c r="BD505" s="389">
        <f t="shared" si="190"/>
        <v>13</v>
      </c>
      <c r="BE505" s="390">
        <f>IF(BD505&gt;0,168,0)</f>
        <v>168</v>
      </c>
      <c r="BG505" s="391">
        <f>IF($BE505&gt;$R$66-3+($BR$335*12),168,0)</f>
        <v>168</v>
      </c>
      <c r="BH505" s="1753">
        <f t="shared" si="191"/>
        <v>0</v>
      </c>
      <c r="BI505" s="1753"/>
      <c r="BJ505" s="1753"/>
      <c r="BK505" s="1753"/>
      <c r="BL505" s="1753">
        <f t="shared" si="155"/>
        <v>0</v>
      </c>
      <c r="BM505" s="1753"/>
      <c r="BN505" s="1753"/>
      <c r="BO505" s="1753">
        <f t="shared" si="146"/>
        <v>0</v>
      </c>
      <c r="BP505" s="1753"/>
      <c r="BQ505" s="1753"/>
      <c r="BR505" s="1753">
        <f t="shared" si="192"/>
        <v>0</v>
      </c>
      <c r="BS505" s="1753"/>
      <c r="BT505" s="1753"/>
      <c r="BU505" s="1753"/>
      <c r="BW505" s="391">
        <f>IF($BE505&gt;$R$66-3+($CH$335*12),168,0)</f>
        <v>168</v>
      </c>
      <c r="BX505" s="1753">
        <f t="shared" si="137"/>
        <v>0</v>
      </c>
      <c r="BY505" s="1753"/>
      <c r="BZ505" s="1753"/>
      <c r="CA505" s="1753"/>
      <c r="CB505" s="1753">
        <f t="shared" si="156"/>
        <v>0</v>
      </c>
      <c r="CC505" s="1753"/>
      <c r="CD505" s="1753"/>
      <c r="CE505" s="1753">
        <f t="shared" si="147"/>
        <v>0</v>
      </c>
      <c r="CF505" s="1753"/>
      <c r="CG505" s="1753"/>
      <c r="CH505" s="1753">
        <f t="shared" si="148"/>
        <v>0</v>
      </c>
      <c r="CI505" s="1753"/>
      <c r="CJ505" s="1753"/>
      <c r="CK505" s="1753"/>
      <c r="CM505" s="391">
        <f>IF($BE505&gt;$R$66-3+($CX$335*12),168,0)</f>
        <v>168</v>
      </c>
      <c r="CN505" s="1753">
        <f t="shared" si="138"/>
        <v>0</v>
      </c>
      <c r="CO505" s="1753"/>
      <c r="CP505" s="1753"/>
      <c r="CQ505" s="1753"/>
      <c r="CR505" s="1753">
        <f t="shared" si="157"/>
        <v>0</v>
      </c>
      <c r="CS505" s="1753"/>
      <c r="CT505" s="1753"/>
      <c r="CU505" s="1753">
        <f t="shared" si="149"/>
        <v>0</v>
      </c>
      <c r="CV505" s="1753"/>
      <c r="CW505" s="1753"/>
      <c r="CX505" s="1753">
        <f t="shared" si="150"/>
        <v>0</v>
      </c>
      <c r="CY505" s="1753"/>
      <c r="CZ505" s="1753"/>
      <c r="DA505" s="1753"/>
      <c r="DC505" s="391">
        <f>IF($BE505&gt;$R$66-3,168,0)</f>
        <v>168</v>
      </c>
      <c r="DD505" s="1753">
        <f t="shared" si="139"/>
        <v>0</v>
      </c>
      <c r="DE505" s="1753"/>
      <c r="DF505" s="1753"/>
      <c r="DG505" s="1753"/>
      <c r="DH505" s="1753">
        <f t="shared" si="158"/>
        <v>0</v>
      </c>
      <c r="DI505" s="1753"/>
      <c r="DJ505" s="1753"/>
      <c r="DK505" s="1753">
        <f t="shared" si="151"/>
        <v>0</v>
      </c>
      <c r="DL505" s="1753"/>
      <c r="DM505" s="1753"/>
      <c r="DN505" s="1753"/>
      <c r="DP505" s="391">
        <f t="shared" si="159"/>
        <v>168</v>
      </c>
      <c r="DQ505" s="1753">
        <f t="shared" si="160"/>
        <v>0</v>
      </c>
      <c r="DR505" s="1753"/>
      <c r="DS505" s="1753"/>
      <c r="DT505" s="1753"/>
      <c r="DU505" s="1753">
        <f t="shared" si="177"/>
        <v>0</v>
      </c>
      <c r="DV505" s="1753"/>
      <c r="DW505" s="1753"/>
      <c r="DX505" s="1753">
        <f t="shared" si="179"/>
        <v>0</v>
      </c>
      <c r="DY505" s="1753"/>
      <c r="DZ505" s="1753"/>
      <c r="EA505" s="1753">
        <f t="shared" si="180"/>
        <v>0</v>
      </c>
      <c r="EB505" s="1753"/>
      <c r="EC505" s="1753"/>
      <c r="ED505" s="1753"/>
      <c r="EE505" s="384"/>
      <c r="EF505" s="1744">
        <f t="shared" si="152"/>
        <v>0</v>
      </c>
      <c r="EG505" s="1745"/>
      <c r="EH505" s="1745"/>
      <c r="EI505" s="1745"/>
      <c r="EJ505" s="1746"/>
      <c r="EL505" s="1744">
        <f t="shared" si="181"/>
        <v>0</v>
      </c>
      <c r="EM505" s="1745"/>
      <c r="EN505" s="1745"/>
      <c r="EO505" s="1745"/>
      <c r="EP505" s="1746"/>
      <c r="ER505" s="1744">
        <f t="shared" si="153"/>
        <v>0</v>
      </c>
      <c r="ES505" s="1745"/>
      <c r="ET505" s="1745"/>
      <c r="EU505" s="1745"/>
      <c r="EV505" s="1746"/>
      <c r="EX505" s="1744">
        <f>IF(BE505&gt;0,Einstrahlung!$K$32*Kalkulation!$P$62/100*$AY$29*POWER((100-$P$64)/100,BD505-1),0)</f>
        <v>0</v>
      </c>
      <c r="EY505" s="1745"/>
      <c r="EZ505" s="1745"/>
      <c r="FA505" s="1745"/>
      <c r="FB505" s="1746"/>
      <c r="FD505" s="1744">
        <f t="shared" si="161"/>
        <v>0</v>
      </c>
      <c r="FE505" s="1745"/>
      <c r="FF505" s="1745"/>
      <c r="FG505" s="1745"/>
      <c r="FH505" s="1746"/>
      <c r="FI505" s="385"/>
      <c r="FJ505" s="453">
        <f t="shared" si="173"/>
        <v>0</v>
      </c>
      <c r="FK505" s="385"/>
      <c r="FL505" s="453">
        <f t="shared" si="193"/>
        <v>0</v>
      </c>
      <c r="FM505" s="385"/>
      <c r="FN505" s="453">
        <f t="shared" si="162"/>
        <v>0</v>
      </c>
      <c r="FO505" s="962">
        <f t="shared" si="167"/>
        <v>297</v>
      </c>
      <c r="FP505" s="956">
        <f t="shared" si="154"/>
        <v>0.4</v>
      </c>
      <c r="FQ505" s="453">
        <f t="shared" si="178"/>
        <v>0</v>
      </c>
      <c r="FR505" s="957">
        <f>POWER(1+$FQ$333,FS505)</f>
        <v>1</v>
      </c>
      <c r="FS505" s="617">
        <f>FS493+1</f>
        <v>13</v>
      </c>
      <c r="FT505" s="1822">
        <f t="shared" si="168"/>
        <v>0</v>
      </c>
      <c r="FU505" s="1823"/>
      <c r="FV505" s="1823"/>
      <c r="FW505" s="1823"/>
      <c r="FX505" s="1824"/>
      <c r="FY505" s="1822">
        <f t="shared" si="163"/>
        <v>0</v>
      </c>
      <c r="FZ505" s="1823"/>
      <c r="GA505" s="1823"/>
      <c r="GB505" s="1824"/>
      <c r="GC505" s="1831">
        <f t="shared" si="182"/>
        <v>0</v>
      </c>
      <c r="GD505" s="1832"/>
      <c r="GE505" s="1832"/>
      <c r="GF505" s="1833"/>
      <c r="GH505" s="1744">
        <f t="shared" si="164"/>
        <v>0</v>
      </c>
      <c r="GI505" s="1745"/>
      <c r="GJ505" s="1745"/>
      <c r="GK505" s="1746"/>
      <c r="GL505" s="1744">
        <f t="shared" si="165"/>
        <v>0</v>
      </c>
      <c r="GM505" s="1745"/>
      <c r="GN505" s="1745"/>
      <c r="GO505" s="1746"/>
      <c r="GP505" s="385"/>
      <c r="GQ505" s="1744">
        <f t="shared" si="166"/>
        <v>0</v>
      </c>
      <c r="GR505" s="1745"/>
      <c r="GS505" s="1745"/>
      <c r="GT505" s="1746"/>
      <c r="GU505" s="192">
        <f t="shared" si="176"/>
        <v>1</v>
      </c>
      <c r="GV505" s="192">
        <f>SUM($GU$337:GU505)</f>
        <v>161</v>
      </c>
      <c r="GW505" s="318"/>
      <c r="HJ505" s="380">
        <f t="shared" ref="HJ505:HJ516" si="195">IF(GV505=168,SUM(GQ494:GT505),0)</f>
        <v>0</v>
      </c>
      <c r="HX505" s="380"/>
    </row>
    <row r="506" spans="4:232">
      <c r="D506" s="313"/>
      <c r="E506" s="247"/>
      <c r="F506" s="247"/>
      <c r="G506" s="247"/>
      <c r="H506" s="247"/>
      <c r="I506" s="428">
        <f>'Endfälliges Darlehen'!AG25</f>
        <v>0</v>
      </c>
      <c r="J506" s="247"/>
      <c r="K506" s="429"/>
      <c r="L506" s="429"/>
      <c r="M506" s="429"/>
      <c r="N506" s="429"/>
      <c r="O506" s="430">
        <f>IF(AND(I506&gt;0,I509=0),$D505,0)</f>
        <v>0</v>
      </c>
      <c r="P506" s="436"/>
      <c r="S506" s="435" t="str">
        <f>IF(X92=0,"",""&amp;X92&amp;" tilgungsfreie J.;")</f>
        <v/>
      </c>
      <c r="BD506" s="381">
        <f t="shared" ref="BD506:BD517" si="196">IF(BH506&lt;0,0,IF($V$21&gt;0,14,0))</f>
        <v>14</v>
      </c>
      <c r="BE506" s="382">
        <f>IF(BD506&gt;0,169,0)</f>
        <v>169</v>
      </c>
      <c r="BG506" s="395">
        <f>IF($BE506&gt;$R$66-3+($BR$335*12),169,0)</f>
        <v>169</v>
      </c>
      <c r="BH506" s="1754">
        <f t="shared" ref="BH506:BH517" si="197">IF(BR505&lt;=0,0,BR505)</f>
        <v>0</v>
      </c>
      <c r="BI506" s="1754"/>
      <c r="BJ506" s="1754"/>
      <c r="BK506" s="1754"/>
      <c r="BL506" s="1754">
        <f t="shared" si="155"/>
        <v>0</v>
      </c>
      <c r="BM506" s="1754"/>
      <c r="BN506" s="1754"/>
      <c r="BO506" s="1754">
        <f t="shared" si="146"/>
        <v>0</v>
      </c>
      <c r="BP506" s="1754"/>
      <c r="BQ506" s="1754"/>
      <c r="BR506" s="1754">
        <f t="shared" ref="BR506:BR517" si="198">BH506-BL506</f>
        <v>0</v>
      </c>
      <c r="BS506" s="1754"/>
      <c r="BT506" s="1754"/>
      <c r="BU506" s="1754"/>
      <c r="BW506" s="395">
        <f>IF($BE506&gt;$R$66-3+($CH$335*12),169,0)</f>
        <v>169</v>
      </c>
      <c r="BX506" s="1754">
        <f t="shared" si="137"/>
        <v>0</v>
      </c>
      <c r="BY506" s="1754"/>
      <c r="BZ506" s="1754"/>
      <c r="CA506" s="1754"/>
      <c r="CB506" s="1754">
        <f t="shared" si="156"/>
        <v>0</v>
      </c>
      <c r="CC506" s="1754"/>
      <c r="CD506" s="1754"/>
      <c r="CE506" s="1754">
        <f t="shared" si="147"/>
        <v>0</v>
      </c>
      <c r="CF506" s="1754"/>
      <c r="CG506" s="1754"/>
      <c r="CH506" s="1754">
        <f t="shared" si="148"/>
        <v>0</v>
      </c>
      <c r="CI506" s="1754"/>
      <c r="CJ506" s="1754"/>
      <c r="CK506" s="1754"/>
      <c r="CM506" s="395">
        <f>IF($BE506&gt;$R$66-3+($CX$335*12),169,0)</f>
        <v>169</v>
      </c>
      <c r="CN506" s="1754">
        <f t="shared" si="138"/>
        <v>0</v>
      </c>
      <c r="CO506" s="1754"/>
      <c r="CP506" s="1754"/>
      <c r="CQ506" s="1754"/>
      <c r="CR506" s="1754">
        <f t="shared" si="157"/>
        <v>0</v>
      </c>
      <c r="CS506" s="1754"/>
      <c r="CT506" s="1754"/>
      <c r="CU506" s="1754">
        <f t="shared" si="149"/>
        <v>0</v>
      </c>
      <c r="CV506" s="1754"/>
      <c r="CW506" s="1754"/>
      <c r="CX506" s="1754">
        <f t="shared" si="150"/>
        <v>0</v>
      </c>
      <c r="CY506" s="1754"/>
      <c r="CZ506" s="1754"/>
      <c r="DA506" s="1754"/>
      <c r="DC506" s="395">
        <f>IF($BE506&gt;$R$66-3,169,0)</f>
        <v>169</v>
      </c>
      <c r="DD506" s="1754">
        <f t="shared" si="139"/>
        <v>0</v>
      </c>
      <c r="DE506" s="1754"/>
      <c r="DF506" s="1754"/>
      <c r="DG506" s="1754"/>
      <c r="DH506" s="1754">
        <f t="shared" si="158"/>
        <v>0</v>
      </c>
      <c r="DI506" s="1754"/>
      <c r="DJ506" s="1754"/>
      <c r="DK506" s="1754">
        <f t="shared" si="151"/>
        <v>0</v>
      </c>
      <c r="DL506" s="1754"/>
      <c r="DM506" s="1754"/>
      <c r="DN506" s="1754"/>
      <c r="DP506" s="395">
        <f t="shared" si="159"/>
        <v>169</v>
      </c>
      <c r="DQ506" s="1754">
        <f t="shared" si="160"/>
        <v>0</v>
      </c>
      <c r="DR506" s="1754"/>
      <c r="DS506" s="1754"/>
      <c r="DT506" s="1754"/>
      <c r="DU506" s="1754">
        <f t="shared" si="177"/>
        <v>0</v>
      </c>
      <c r="DV506" s="1754"/>
      <c r="DW506" s="1754"/>
      <c r="DX506" s="1754">
        <f t="shared" si="179"/>
        <v>0</v>
      </c>
      <c r="DY506" s="1754"/>
      <c r="DZ506" s="1754"/>
      <c r="EA506" s="1754">
        <f t="shared" si="180"/>
        <v>0</v>
      </c>
      <c r="EB506" s="1754"/>
      <c r="EC506" s="1754"/>
      <c r="ED506" s="1754"/>
      <c r="EE506" s="384"/>
      <c r="EF506" s="1750">
        <f t="shared" si="152"/>
        <v>0</v>
      </c>
      <c r="EG506" s="1751"/>
      <c r="EH506" s="1751"/>
      <c r="EI506" s="1751"/>
      <c r="EJ506" s="1752"/>
      <c r="EL506" s="1750">
        <f t="shared" si="181"/>
        <v>0</v>
      </c>
      <c r="EM506" s="1751"/>
      <c r="EN506" s="1751"/>
      <c r="EO506" s="1751"/>
      <c r="EP506" s="1752"/>
      <c r="ER506" s="1750">
        <f t="shared" si="153"/>
        <v>0</v>
      </c>
      <c r="ES506" s="1751"/>
      <c r="ET506" s="1751"/>
      <c r="EU506" s="1751"/>
      <c r="EV506" s="1752"/>
      <c r="EX506" s="1750">
        <f>IF(BE506&gt;0,Einstrahlung!$K$10*Kalkulation!$P$62/100*$AY$29*POWER((100-$P$64)/100,BD506-1),0)</f>
        <v>0</v>
      </c>
      <c r="EY506" s="1751"/>
      <c r="EZ506" s="1751"/>
      <c r="FA506" s="1751"/>
      <c r="FB506" s="1752"/>
      <c r="FD506" s="1750">
        <f t="shared" si="161"/>
        <v>0</v>
      </c>
      <c r="FE506" s="1751"/>
      <c r="FF506" s="1751"/>
      <c r="FG506" s="1751"/>
      <c r="FH506" s="1752"/>
      <c r="FI506" s="385"/>
      <c r="FJ506" s="380">
        <f t="shared" si="173"/>
        <v>0</v>
      </c>
      <c r="FK506" s="385"/>
      <c r="FL506" s="380">
        <f>IF(BE506&gt;0,IF($FL$336&gt;SUM($EX$506:$FB$517),SUM($EX$506:$FB$517)/12,$FL$336/12),0)</f>
        <v>0</v>
      </c>
      <c r="FM506" s="385"/>
      <c r="FN506" s="380">
        <f t="shared" si="162"/>
        <v>0</v>
      </c>
      <c r="FO506" s="962">
        <f t="shared" si="167"/>
        <v>298</v>
      </c>
      <c r="FP506" s="956">
        <f t="shared" si="154"/>
        <v>0.4</v>
      </c>
      <c r="FQ506" s="380">
        <f t="shared" si="178"/>
        <v>0</v>
      </c>
      <c r="FR506" s="626">
        <f>IF(AND(GV506&gt;156,GV506&lt;=168),$FR$505,IF(AND(GV506&gt;168,GV506&lt;=180),$FR$517,0))</f>
        <v>1</v>
      </c>
      <c r="FT506" s="1819">
        <f t="shared" si="168"/>
        <v>0</v>
      </c>
      <c r="FU506" s="1820"/>
      <c r="FV506" s="1820"/>
      <c r="FW506" s="1820"/>
      <c r="FX506" s="1821"/>
      <c r="FY506" s="1819">
        <f t="shared" si="163"/>
        <v>0</v>
      </c>
      <c r="FZ506" s="1820"/>
      <c r="GA506" s="1820"/>
      <c r="GB506" s="1821"/>
      <c r="GC506" s="1825">
        <f t="shared" si="182"/>
        <v>0</v>
      </c>
      <c r="GD506" s="1826"/>
      <c r="GE506" s="1826"/>
      <c r="GF506" s="1827"/>
      <c r="GH506" s="1750">
        <f t="shared" si="164"/>
        <v>0</v>
      </c>
      <c r="GI506" s="1751"/>
      <c r="GJ506" s="1751"/>
      <c r="GK506" s="1751"/>
      <c r="GL506" s="1750">
        <f t="shared" si="165"/>
        <v>0</v>
      </c>
      <c r="GM506" s="1751"/>
      <c r="GN506" s="1751"/>
      <c r="GO506" s="1752"/>
      <c r="GP506" s="385"/>
      <c r="GQ506" s="1865">
        <f t="shared" si="166"/>
        <v>0</v>
      </c>
      <c r="GR506" s="1866"/>
      <c r="GS506" s="1866"/>
      <c r="GT506" s="1867"/>
      <c r="GU506" s="192">
        <f t="shared" si="176"/>
        <v>1</v>
      </c>
      <c r="GV506" s="192">
        <f>SUM($GU$337:GU506)</f>
        <v>162</v>
      </c>
      <c r="GW506" s="318"/>
      <c r="HJ506" s="380">
        <f t="shared" si="195"/>
        <v>0</v>
      </c>
      <c r="HX506" s="380"/>
    </row>
    <row r="507" spans="4:232">
      <c r="D507" s="313"/>
      <c r="E507" s="247"/>
      <c r="F507" s="247"/>
      <c r="G507" s="247"/>
      <c r="H507" s="247"/>
      <c r="I507" s="247"/>
      <c r="J507" s="428">
        <f>'Endfälliges Darlehen'!AV25</f>
        <v>0</v>
      </c>
      <c r="K507" s="429"/>
      <c r="L507" s="429"/>
      <c r="M507" s="429"/>
      <c r="N507" s="429"/>
      <c r="O507" s="430"/>
      <c r="P507" s="436"/>
      <c r="S507" s="435" t="str">
        <f>"Das Darl. läuft nach rd. "&amp;K481&amp;" Jahren aus."</f>
        <v>Das Darl. läuft nach rd. 0 Jahren aus.</v>
      </c>
      <c r="BD507" s="387">
        <f t="shared" si="196"/>
        <v>14</v>
      </c>
      <c r="BE507" s="382">
        <f>IF(BD507&gt;0,170,0)</f>
        <v>170</v>
      </c>
      <c r="BG507" s="383">
        <f>IF($BE507&gt;$R$66-3+($BR$335*12),170,0)</f>
        <v>170</v>
      </c>
      <c r="BH507" s="1754">
        <f t="shared" si="197"/>
        <v>0</v>
      </c>
      <c r="BI507" s="1754"/>
      <c r="BJ507" s="1754"/>
      <c r="BK507" s="1754"/>
      <c r="BL507" s="1754">
        <f t="shared" si="155"/>
        <v>0</v>
      </c>
      <c r="BM507" s="1754"/>
      <c r="BN507" s="1754"/>
      <c r="BO507" s="1754">
        <f t="shared" si="146"/>
        <v>0</v>
      </c>
      <c r="BP507" s="1754"/>
      <c r="BQ507" s="1754"/>
      <c r="BR507" s="1754">
        <f t="shared" si="198"/>
        <v>0</v>
      </c>
      <c r="BS507" s="1754"/>
      <c r="BT507" s="1754"/>
      <c r="BU507" s="1754"/>
      <c r="BW507" s="383">
        <f>IF($BE507&gt;$R$66-3+($CH$335*12),170,0)</f>
        <v>170</v>
      </c>
      <c r="BX507" s="1754">
        <f t="shared" si="137"/>
        <v>0</v>
      </c>
      <c r="BY507" s="1754"/>
      <c r="BZ507" s="1754"/>
      <c r="CA507" s="1754"/>
      <c r="CB507" s="1754">
        <f t="shared" si="156"/>
        <v>0</v>
      </c>
      <c r="CC507" s="1754"/>
      <c r="CD507" s="1754"/>
      <c r="CE507" s="1754">
        <f t="shared" si="147"/>
        <v>0</v>
      </c>
      <c r="CF507" s="1754"/>
      <c r="CG507" s="1754"/>
      <c r="CH507" s="1754">
        <f t="shared" si="148"/>
        <v>0</v>
      </c>
      <c r="CI507" s="1754"/>
      <c r="CJ507" s="1754"/>
      <c r="CK507" s="1754"/>
      <c r="CM507" s="383">
        <f>IF($BE507&gt;$R$66-3+($CX$335*12),170,0)</f>
        <v>170</v>
      </c>
      <c r="CN507" s="1754">
        <f t="shared" si="138"/>
        <v>0</v>
      </c>
      <c r="CO507" s="1754"/>
      <c r="CP507" s="1754"/>
      <c r="CQ507" s="1754"/>
      <c r="CR507" s="1754">
        <f t="shared" si="157"/>
        <v>0</v>
      </c>
      <c r="CS507" s="1754"/>
      <c r="CT507" s="1754"/>
      <c r="CU507" s="1754">
        <f t="shared" si="149"/>
        <v>0</v>
      </c>
      <c r="CV507" s="1754"/>
      <c r="CW507" s="1754"/>
      <c r="CX507" s="1754">
        <f t="shared" si="150"/>
        <v>0</v>
      </c>
      <c r="CY507" s="1754"/>
      <c r="CZ507" s="1754"/>
      <c r="DA507" s="1754"/>
      <c r="DC507" s="383">
        <f>IF($BE507&gt;$R$66-3,170,0)</f>
        <v>170</v>
      </c>
      <c r="DD507" s="1754">
        <f t="shared" si="139"/>
        <v>0</v>
      </c>
      <c r="DE507" s="1754"/>
      <c r="DF507" s="1754"/>
      <c r="DG507" s="1754"/>
      <c r="DH507" s="1754">
        <f t="shared" si="158"/>
        <v>0</v>
      </c>
      <c r="DI507" s="1754"/>
      <c r="DJ507" s="1754"/>
      <c r="DK507" s="1754">
        <f t="shared" si="151"/>
        <v>0</v>
      </c>
      <c r="DL507" s="1754"/>
      <c r="DM507" s="1754"/>
      <c r="DN507" s="1754"/>
      <c r="DP507" s="383">
        <f t="shared" si="159"/>
        <v>170</v>
      </c>
      <c r="DQ507" s="1754">
        <f t="shared" si="160"/>
        <v>0</v>
      </c>
      <c r="DR507" s="1754"/>
      <c r="DS507" s="1754"/>
      <c r="DT507" s="1754"/>
      <c r="DU507" s="1754">
        <f t="shared" si="177"/>
        <v>0</v>
      </c>
      <c r="DV507" s="1754"/>
      <c r="DW507" s="1754"/>
      <c r="DX507" s="1754">
        <f t="shared" si="179"/>
        <v>0</v>
      </c>
      <c r="DY507" s="1754"/>
      <c r="DZ507" s="1754"/>
      <c r="EA507" s="1754">
        <f t="shared" si="180"/>
        <v>0</v>
      </c>
      <c r="EB507" s="1754"/>
      <c r="EC507" s="1754"/>
      <c r="ED507" s="1754"/>
      <c r="EE507" s="384"/>
      <c r="EF507" s="1750">
        <f t="shared" si="152"/>
        <v>0</v>
      </c>
      <c r="EG507" s="1751"/>
      <c r="EH507" s="1751"/>
      <c r="EI507" s="1751"/>
      <c r="EJ507" s="1752"/>
      <c r="EL507" s="1750">
        <f t="shared" si="181"/>
        <v>0</v>
      </c>
      <c r="EM507" s="1751"/>
      <c r="EN507" s="1751"/>
      <c r="EO507" s="1751"/>
      <c r="EP507" s="1752"/>
      <c r="ER507" s="1750">
        <f t="shared" si="153"/>
        <v>0</v>
      </c>
      <c r="ES507" s="1751"/>
      <c r="ET507" s="1751"/>
      <c r="EU507" s="1751"/>
      <c r="EV507" s="1752"/>
      <c r="EX507" s="1750">
        <f>IF(BE507&gt;0,Einstrahlung!$K$12*Kalkulation!$P$62/100*$AY$29*POWER((100-$P$64)/100,BD507-1),0)</f>
        <v>0</v>
      </c>
      <c r="EY507" s="1751"/>
      <c r="EZ507" s="1751"/>
      <c r="FA507" s="1751"/>
      <c r="FB507" s="1752"/>
      <c r="FD507" s="1750">
        <f t="shared" si="161"/>
        <v>0</v>
      </c>
      <c r="FE507" s="1751"/>
      <c r="FF507" s="1751"/>
      <c r="FG507" s="1751"/>
      <c r="FH507" s="1752"/>
      <c r="FI507" s="385"/>
      <c r="FJ507" s="380">
        <f t="shared" si="173"/>
        <v>0</v>
      </c>
      <c r="FK507" s="385"/>
      <c r="FL507" s="380">
        <f t="shared" ref="FL507:FL517" si="199">IF(BE507&gt;0,IF($FL$336&gt;SUM($EX$506:$FB$517),SUM($EX$506:$FB$517)/12,$FL$336/12),0)</f>
        <v>0</v>
      </c>
      <c r="FM507" s="385"/>
      <c r="FN507" s="380">
        <f t="shared" si="162"/>
        <v>0</v>
      </c>
      <c r="FO507" s="962">
        <f t="shared" si="167"/>
        <v>299</v>
      </c>
      <c r="FP507" s="956">
        <f t="shared" si="154"/>
        <v>0.4</v>
      </c>
      <c r="FQ507" s="380">
        <f t="shared" si="178"/>
        <v>0</v>
      </c>
      <c r="FR507" s="626">
        <f t="shared" ref="FR507:FR516" si="200">IF(AND(GV507&gt;156,GV507&lt;=168),$FR$505,IF(AND(GV507&gt;168,GV507&lt;=180),$FR$517,0))</f>
        <v>1</v>
      </c>
      <c r="FT507" s="1819">
        <f t="shared" si="168"/>
        <v>0</v>
      </c>
      <c r="FU507" s="1820"/>
      <c r="FV507" s="1820"/>
      <c r="FW507" s="1820"/>
      <c r="FX507" s="1821"/>
      <c r="FY507" s="1819">
        <f t="shared" si="163"/>
        <v>0</v>
      </c>
      <c r="FZ507" s="1820"/>
      <c r="GA507" s="1820"/>
      <c r="GB507" s="1821"/>
      <c r="GC507" s="1825">
        <f t="shared" si="182"/>
        <v>0</v>
      </c>
      <c r="GD507" s="1826"/>
      <c r="GE507" s="1826"/>
      <c r="GF507" s="1827"/>
      <c r="GH507" s="1750">
        <f t="shared" si="164"/>
        <v>0</v>
      </c>
      <c r="GI507" s="1751"/>
      <c r="GJ507" s="1751"/>
      <c r="GK507" s="1752"/>
      <c r="GL507" s="1750">
        <f t="shared" si="165"/>
        <v>0</v>
      </c>
      <c r="GM507" s="1751"/>
      <c r="GN507" s="1751"/>
      <c r="GO507" s="1752"/>
      <c r="GP507" s="385"/>
      <c r="GQ507" s="1750">
        <f t="shared" si="166"/>
        <v>0</v>
      </c>
      <c r="GR507" s="1751"/>
      <c r="GS507" s="1751"/>
      <c r="GT507" s="1752"/>
      <c r="GU507" s="192">
        <f t="shared" si="176"/>
        <v>1</v>
      </c>
      <c r="GV507" s="192">
        <f>SUM($GU$337:GU507)</f>
        <v>163</v>
      </c>
      <c r="GW507" s="318"/>
      <c r="HJ507" s="380">
        <f t="shared" si="195"/>
        <v>0</v>
      </c>
      <c r="HX507" s="380"/>
    </row>
    <row r="508" spans="4:232">
      <c r="D508" s="409">
        <v>8</v>
      </c>
      <c r="E508" s="318"/>
      <c r="F508" s="428">
        <f>BR445</f>
        <v>0</v>
      </c>
      <c r="G508" s="428">
        <f>CH445</f>
        <v>0</v>
      </c>
      <c r="H508" s="428">
        <f>CX445</f>
        <v>0</v>
      </c>
      <c r="I508" s="247"/>
      <c r="J508" s="247"/>
      <c r="K508" s="429">
        <f>IF(AND(F508&gt;0,F511=0),$D508,0)</f>
        <v>0</v>
      </c>
      <c r="L508" s="429">
        <f>IF(AND(G508&gt;0,G511=0),$D508,0)</f>
        <v>0</v>
      </c>
      <c r="N508" s="429">
        <f>IF(AND(H508&gt;0,H511=0),$D508,0)</f>
        <v>0</v>
      </c>
      <c r="O508" s="430"/>
      <c r="P508" s="436"/>
      <c r="R508" s="434" t="str">
        <f>"  "&amp;F92&amp;" läuft länger als "&amp;V21&amp;" Jahre !!! Bitte prüfen !!! Ggf. Tilgung oder Annuität entsprechend anpassen !!!"</f>
        <v xml:space="preserve">  Darlehen 1 läuft länger als 20 Jahre !!! Bitte prüfen !!! Ggf. Tilgung oder Annuität entsprechend anpassen !!!</v>
      </c>
      <c r="BD508" s="387">
        <f t="shared" si="196"/>
        <v>14</v>
      </c>
      <c r="BE508" s="382">
        <f>IF(BD508&gt;0,171,0)</f>
        <v>171</v>
      </c>
      <c r="BG508" s="383">
        <f>IF($BE508&gt;$R$66-3+($BR$335*12),171,0)</f>
        <v>171</v>
      </c>
      <c r="BH508" s="1754">
        <f t="shared" si="197"/>
        <v>0</v>
      </c>
      <c r="BI508" s="1754"/>
      <c r="BJ508" s="1754"/>
      <c r="BK508" s="1754"/>
      <c r="BL508" s="1754">
        <f t="shared" si="155"/>
        <v>0</v>
      </c>
      <c r="BM508" s="1754"/>
      <c r="BN508" s="1754"/>
      <c r="BO508" s="1754">
        <f t="shared" si="146"/>
        <v>0</v>
      </c>
      <c r="BP508" s="1754"/>
      <c r="BQ508" s="1754"/>
      <c r="BR508" s="1754">
        <f t="shared" si="198"/>
        <v>0</v>
      </c>
      <c r="BS508" s="1754"/>
      <c r="BT508" s="1754"/>
      <c r="BU508" s="1754"/>
      <c r="BW508" s="383">
        <f>IF($BE508&gt;$R$66-3+($CH$335*12),171,0)</f>
        <v>171</v>
      </c>
      <c r="BX508" s="1754">
        <f t="shared" si="137"/>
        <v>0</v>
      </c>
      <c r="BY508" s="1754"/>
      <c r="BZ508" s="1754"/>
      <c r="CA508" s="1754"/>
      <c r="CB508" s="1754">
        <f t="shared" si="156"/>
        <v>0</v>
      </c>
      <c r="CC508" s="1754"/>
      <c r="CD508" s="1754"/>
      <c r="CE508" s="1754">
        <f t="shared" si="147"/>
        <v>0</v>
      </c>
      <c r="CF508" s="1754"/>
      <c r="CG508" s="1754"/>
      <c r="CH508" s="1754">
        <f t="shared" si="148"/>
        <v>0</v>
      </c>
      <c r="CI508" s="1754"/>
      <c r="CJ508" s="1754"/>
      <c r="CK508" s="1754"/>
      <c r="CM508" s="383">
        <f>IF($BE508&gt;$R$66-3+($CX$335*12),171,0)</f>
        <v>171</v>
      </c>
      <c r="CN508" s="1754">
        <f t="shared" si="138"/>
        <v>0</v>
      </c>
      <c r="CO508" s="1754"/>
      <c r="CP508" s="1754"/>
      <c r="CQ508" s="1754"/>
      <c r="CR508" s="1754">
        <f t="shared" si="157"/>
        <v>0</v>
      </c>
      <c r="CS508" s="1754"/>
      <c r="CT508" s="1754"/>
      <c r="CU508" s="1754">
        <f t="shared" si="149"/>
        <v>0</v>
      </c>
      <c r="CV508" s="1754"/>
      <c r="CW508" s="1754"/>
      <c r="CX508" s="1754">
        <f t="shared" si="150"/>
        <v>0</v>
      </c>
      <c r="CY508" s="1754"/>
      <c r="CZ508" s="1754"/>
      <c r="DA508" s="1754"/>
      <c r="DC508" s="383">
        <f>IF($BE508&gt;$R$66-3,171,0)</f>
        <v>171</v>
      </c>
      <c r="DD508" s="1754">
        <f t="shared" si="139"/>
        <v>0</v>
      </c>
      <c r="DE508" s="1754"/>
      <c r="DF508" s="1754"/>
      <c r="DG508" s="1754"/>
      <c r="DH508" s="1754">
        <f t="shared" si="158"/>
        <v>0</v>
      </c>
      <c r="DI508" s="1754"/>
      <c r="DJ508" s="1754"/>
      <c r="DK508" s="1754">
        <f t="shared" si="151"/>
        <v>0</v>
      </c>
      <c r="DL508" s="1754"/>
      <c r="DM508" s="1754"/>
      <c r="DN508" s="1754"/>
      <c r="DP508" s="383">
        <f t="shared" si="159"/>
        <v>171</v>
      </c>
      <c r="DQ508" s="1754">
        <f t="shared" si="160"/>
        <v>0</v>
      </c>
      <c r="DR508" s="1754"/>
      <c r="DS508" s="1754"/>
      <c r="DT508" s="1754"/>
      <c r="DU508" s="1754">
        <f t="shared" si="177"/>
        <v>0</v>
      </c>
      <c r="DV508" s="1754"/>
      <c r="DW508" s="1754"/>
      <c r="DX508" s="1754">
        <f t="shared" si="179"/>
        <v>0</v>
      </c>
      <c r="DY508" s="1754"/>
      <c r="DZ508" s="1754"/>
      <c r="EA508" s="1754">
        <f t="shared" si="180"/>
        <v>0</v>
      </c>
      <c r="EB508" s="1754"/>
      <c r="EC508" s="1754"/>
      <c r="ED508" s="1754"/>
      <c r="EE508" s="384"/>
      <c r="EF508" s="1750">
        <f t="shared" si="152"/>
        <v>0</v>
      </c>
      <c r="EG508" s="1751"/>
      <c r="EH508" s="1751"/>
      <c r="EI508" s="1751"/>
      <c r="EJ508" s="1752"/>
      <c r="EL508" s="1750">
        <f t="shared" si="181"/>
        <v>0</v>
      </c>
      <c r="EM508" s="1751"/>
      <c r="EN508" s="1751"/>
      <c r="EO508" s="1751"/>
      <c r="EP508" s="1752"/>
      <c r="ER508" s="1750">
        <f t="shared" si="153"/>
        <v>0</v>
      </c>
      <c r="ES508" s="1751"/>
      <c r="ET508" s="1751"/>
      <c r="EU508" s="1751"/>
      <c r="EV508" s="1752"/>
      <c r="EX508" s="1750">
        <f>IF(BE508&gt;0,Einstrahlung!$K$14*Kalkulation!$P$62/100*$AY$29*POWER((100-$P$64)/100,BD508-1),0)</f>
        <v>0</v>
      </c>
      <c r="EY508" s="1751"/>
      <c r="EZ508" s="1751"/>
      <c r="FA508" s="1751"/>
      <c r="FB508" s="1752"/>
      <c r="FD508" s="1750">
        <f t="shared" si="161"/>
        <v>0</v>
      </c>
      <c r="FE508" s="1751"/>
      <c r="FF508" s="1751"/>
      <c r="FG508" s="1751"/>
      <c r="FH508" s="1752"/>
      <c r="FI508" s="385"/>
      <c r="FJ508" s="380">
        <f t="shared" si="173"/>
        <v>0</v>
      </c>
      <c r="FK508" s="385"/>
      <c r="FL508" s="380">
        <f t="shared" si="199"/>
        <v>0</v>
      </c>
      <c r="FM508" s="385"/>
      <c r="FN508" s="380">
        <f t="shared" si="162"/>
        <v>0</v>
      </c>
      <c r="FO508" s="962">
        <f t="shared" si="167"/>
        <v>300</v>
      </c>
      <c r="FP508" s="956">
        <f t="shared" si="154"/>
        <v>0.4</v>
      </c>
      <c r="FQ508" s="380">
        <f t="shared" si="178"/>
        <v>0</v>
      </c>
      <c r="FR508" s="626">
        <f t="shared" si="200"/>
        <v>1</v>
      </c>
      <c r="FT508" s="1819">
        <f t="shared" si="168"/>
        <v>0</v>
      </c>
      <c r="FU508" s="1820"/>
      <c r="FV508" s="1820"/>
      <c r="FW508" s="1820"/>
      <c r="FX508" s="1821"/>
      <c r="FY508" s="1819">
        <f t="shared" si="163"/>
        <v>0</v>
      </c>
      <c r="FZ508" s="1820"/>
      <c r="GA508" s="1820"/>
      <c r="GB508" s="1821"/>
      <c r="GC508" s="1825">
        <f t="shared" si="182"/>
        <v>0</v>
      </c>
      <c r="GD508" s="1826"/>
      <c r="GE508" s="1826"/>
      <c r="GF508" s="1827"/>
      <c r="GH508" s="1750">
        <f t="shared" si="164"/>
        <v>0</v>
      </c>
      <c r="GI508" s="1751"/>
      <c r="GJ508" s="1751"/>
      <c r="GK508" s="1752"/>
      <c r="GL508" s="1750">
        <f t="shared" si="165"/>
        <v>0</v>
      </c>
      <c r="GM508" s="1751"/>
      <c r="GN508" s="1751"/>
      <c r="GO508" s="1752"/>
      <c r="GP508" s="385"/>
      <c r="GQ508" s="1750">
        <f t="shared" si="166"/>
        <v>0</v>
      </c>
      <c r="GR508" s="1751"/>
      <c r="GS508" s="1751"/>
      <c r="GT508" s="1752"/>
      <c r="GU508" s="192">
        <f t="shared" si="176"/>
        <v>1</v>
      </c>
      <c r="GV508" s="192">
        <f>SUM($GU$337:GU508)</f>
        <v>164</v>
      </c>
      <c r="GW508" s="318"/>
      <c r="HJ508" s="380">
        <f t="shared" si="195"/>
        <v>0</v>
      </c>
      <c r="HX508" s="380"/>
    </row>
    <row r="509" spans="4:232">
      <c r="D509" s="313"/>
      <c r="E509" s="247"/>
      <c r="F509" s="247"/>
      <c r="G509" s="247"/>
      <c r="H509" s="247"/>
      <c r="I509" s="428">
        <f>'Endfälliges Darlehen'!AG27</f>
        <v>0</v>
      </c>
      <c r="J509" s="247"/>
      <c r="K509" s="429"/>
      <c r="L509" s="429"/>
      <c r="M509" s="429"/>
      <c r="N509" s="429"/>
      <c r="O509" s="430">
        <f>IF(AND(I509&gt;0,I512=0),$D508,0)</f>
        <v>0</v>
      </c>
      <c r="P509" s="436"/>
      <c r="Q509" s="433" t="str">
        <f>IF(Q476&lt;1,"",IF(X476&gt;0,R518,R510))</f>
        <v/>
      </c>
      <c r="BD509" s="387">
        <f t="shared" si="196"/>
        <v>14</v>
      </c>
      <c r="BE509" s="382">
        <f>IF(BD509&gt;0,172,0)</f>
        <v>172</v>
      </c>
      <c r="BG509" s="383">
        <f>IF($BE509&gt;$R$66-3+($BR$335*12),172,0)</f>
        <v>172</v>
      </c>
      <c r="BH509" s="1754">
        <f t="shared" si="197"/>
        <v>0</v>
      </c>
      <c r="BI509" s="1754"/>
      <c r="BJ509" s="1754"/>
      <c r="BK509" s="1754"/>
      <c r="BL509" s="1754">
        <f t="shared" si="155"/>
        <v>0</v>
      </c>
      <c r="BM509" s="1754"/>
      <c r="BN509" s="1754"/>
      <c r="BO509" s="1754">
        <f t="shared" si="146"/>
        <v>0</v>
      </c>
      <c r="BP509" s="1754"/>
      <c r="BQ509" s="1754"/>
      <c r="BR509" s="1754">
        <f t="shared" si="198"/>
        <v>0</v>
      </c>
      <c r="BS509" s="1754"/>
      <c r="BT509" s="1754"/>
      <c r="BU509" s="1754"/>
      <c r="BW509" s="383">
        <f>IF($BE509&gt;$R$66-3+($CH$335*12),172,0)</f>
        <v>172</v>
      </c>
      <c r="BX509" s="1754">
        <f t="shared" si="137"/>
        <v>0</v>
      </c>
      <c r="BY509" s="1754"/>
      <c r="BZ509" s="1754"/>
      <c r="CA509" s="1754"/>
      <c r="CB509" s="1754">
        <f t="shared" si="156"/>
        <v>0</v>
      </c>
      <c r="CC509" s="1754"/>
      <c r="CD509" s="1754"/>
      <c r="CE509" s="1754">
        <f t="shared" si="147"/>
        <v>0</v>
      </c>
      <c r="CF509" s="1754"/>
      <c r="CG509" s="1754"/>
      <c r="CH509" s="1754">
        <f t="shared" si="148"/>
        <v>0</v>
      </c>
      <c r="CI509" s="1754"/>
      <c r="CJ509" s="1754"/>
      <c r="CK509" s="1754"/>
      <c r="CM509" s="383">
        <f>IF($BE509&gt;$R$66-3+($CX$335*12),172,0)</f>
        <v>172</v>
      </c>
      <c r="CN509" s="1754">
        <f t="shared" si="138"/>
        <v>0</v>
      </c>
      <c r="CO509" s="1754"/>
      <c r="CP509" s="1754"/>
      <c r="CQ509" s="1754"/>
      <c r="CR509" s="1754">
        <f t="shared" si="157"/>
        <v>0</v>
      </c>
      <c r="CS509" s="1754"/>
      <c r="CT509" s="1754"/>
      <c r="CU509" s="1754">
        <f t="shared" si="149"/>
        <v>0</v>
      </c>
      <c r="CV509" s="1754"/>
      <c r="CW509" s="1754"/>
      <c r="CX509" s="1754">
        <f t="shared" si="150"/>
        <v>0</v>
      </c>
      <c r="CY509" s="1754"/>
      <c r="CZ509" s="1754"/>
      <c r="DA509" s="1754"/>
      <c r="DC509" s="383">
        <f>IF($BE509&gt;$R$66-3,172,0)</f>
        <v>172</v>
      </c>
      <c r="DD509" s="1754">
        <f t="shared" si="139"/>
        <v>0</v>
      </c>
      <c r="DE509" s="1754"/>
      <c r="DF509" s="1754"/>
      <c r="DG509" s="1754"/>
      <c r="DH509" s="1754">
        <f t="shared" si="158"/>
        <v>0</v>
      </c>
      <c r="DI509" s="1754"/>
      <c r="DJ509" s="1754"/>
      <c r="DK509" s="1754">
        <f t="shared" si="151"/>
        <v>0</v>
      </c>
      <c r="DL509" s="1754"/>
      <c r="DM509" s="1754"/>
      <c r="DN509" s="1754"/>
      <c r="DP509" s="383">
        <f t="shared" si="159"/>
        <v>172</v>
      </c>
      <c r="DQ509" s="1754">
        <f t="shared" si="160"/>
        <v>0</v>
      </c>
      <c r="DR509" s="1754"/>
      <c r="DS509" s="1754"/>
      <c r="DT509" s="1754"/>
      <c r="DU509" s="1754">
        <f t="shared" si="177"/>
        <v>0</v>
      </c>
      <c r="DV509" s="1754"/>
      <c r="DW509" s="1754"/>
      <c r="DX509" s="1754">
        <f t="shared" si="179"/>
        <v>0</v>
      </c>
      <c r="DY509" s="1754"/>
      <c r="DZ509" s="1754"/>
      <c r="EA509" s="1754">
        <f t="shared" si="180"/>
        <v>0</v>
      </c>
      <c r="EB509" s="1754"/>
      <c r="EC509" s="1754"/>
      <c r="ED509" s="1754"/>
      <c r="EE509" s="384"/>
      <c r="EF509" s="1750">
        <f t="shared" si="152"/>
        <v>0</v>
      </c>
      <c r="EG509" s="1751"/>
      <c r="EH509" s="1751"/>
      <c r="EI509" s="1751"/>
      <c r="EJ509" s="1752"/>
      <c r="EL509" s="1750">
        <f t="shared" si="181"/>
        <v>0</v>
      </c>
      <c r="EM509" s="1751"/>
      <c r="EN509" s="1751"/>
      <c r="EO509" s="1751"/>
      <c r="EP509" s="1752"/>
      <c r="ER509" s="1750">
        <f t="shared" si="153"/>
        <v>0</v>
      </c>
      <c r="ES509" s="1751"/>
      <c r="ET509" s="1751"/>
      <c r="EU509" s="1751"/>
      <c r="EV509" s="1752"/>
      <c r="EX509" s="1750">
        <f>IF(BE509&gt;0,Einstrahlung!$K$16*Kalkulation!$P$62/100*$AY$29*POWER((100-$P$64)/100,BD509-1),0)</f>
        <v>0</v>
      </c>
      <c r="EY509" s="1751"/>
      <c r="EZ509" s="1751"/>
      <c r="FA509" s="1751"/>
      <c r="FB509" s="1752"/>
      <c r="FD509" s="1750">
        <f t="shared" si="161"/>
        <v>0</v>
      </c>
      <c r="FE509" s="1751"/>
      <c r="FF509" s="1751"/>
      <c r="FG509" s="1751"/>
      <c r="FH509" s="1752"/>
      <c r="FI509" s="385"/>
      <c r="FJ509" s="380">
        <f t="shared" si="173"/>
        <v>0</v>
      </c>
      <c r="FK509" s="385"/>
      <c r="FL509" s="380">
        <f t="shared" si="199"/>
        <v>0</v>
      </c>
      <c r="FM509" s="385"/>
      <c r="FN509" s="380">
        <f t="shared" si="162"/>
        <v>0</v>
      </c>
      <c r="FO509" s="962">
        <f t="shared" si="167"/>
        <v>301</v>
      </c>
      <c r="FP509" s="956">
        <f t="shared" si="154"/>
        <v>0.4</v>
      </c>
      <c r="FQ509" s="380">
        <f t="shared" si="178"/>
        <v>0</v>
      </c>
      <c r="FR509" s="626">
        <f t="shared" si="200"/>
        <v>1</v>
      </c>
      <c r="FT509" s="1819">
        <f t="shared" si="168"/>
        <v>0</v>
      </c>
      <c r="FU509" s="1820"/>
      <c r="FV509" s="1820"/>
      <c r="FW509" s="1820"/>
      <c r="FX509" s="1821"/>
      <c r="FY509" s="1819">
        <f t="shared" si="163"/>
        <v>0</v>
      </c>
      <c r="FZ509" s="1820"/>
      <c r="GA509" s="1820"/>
      <c r="GB509" s="1821"/>
      <c r="GC509" s="1825">
        <f t="shared" si="182"/>
        <v>0</v>
      </c>
      <c r="GD509" s="1826"/>
      <c r="GE509" s="1826"/>
      <c r="GF509" s="1827"/>
      <c r="GH509" s="1750">
        <f t="shared" si="164"/>
        <v>0</v>
      </c>
      <c r="GI509" s="1751"/>
      <c r="GJ509" s="1751"/>
      <c r="GK509" s="1752"/>
      <c r="GL509" s="1750">
        <f t="shared" si="165"/>
        <v>0</v>
      </c>
      <c r="GM509" s="1751"/>
      <c r="GN509" s="1751"/>
      <c r="GO509" s="1752"/>
      <c r="GP509" s="385"/>
      <c r="GQ509" s="1750">
        <f t="shared" si="166"/>
        <v>0</v>
      </c>
      <c r="GR509" s="1751"/>
      <c r="GS509" s="1751"/>
      <c r="GT509" s="1752"/>
      <c r="GU509" s="192">
        <f t="shared" si="176"/>
        <v>1</v>
      </c>
      <c r="GV509" s="192">
        <f>SUM($GU$337:GU509)</f>
        <v>165</v>
      </c>
      <c r="GW509" s="318"/>
      <c r="HJ509" s="380">
        <f t="shared" si="195"/>
        <v>0</v>
      </c>
      <c r="HX509" s="380"/>
    </row>
    <row r="510" spans="4:232">
      <c r="D510" s="313"/>
      <c r="E510" s="247"/>
      <c r="F510" s="247"/>
      <c r="G510" s="247"/>
      <c r="H510" s="247"/>
      <c r="I510" s="247"/>
      <c r="J510" s="428">
        <f>'Endfälliges Darlehen'!AV27</f>
        <v>0</v>
      </c>
      <c r="K510" s="429"/>
      <c r="L510" s="429"/>
      <c r="M510" s="429"/>
      <c r="N510" s="429"/>
      <c r="O510" s="430"/>
      <c r="P510" s="436"/>
      <c r="R510" s="434" t="str">
        <f>"  "&amp;F94&amp;": "&amp;S511&amp;" "&amp;S512&amp;" "&amp;S513&amp;" "&amp;S514&amp;" "&amp;S515&amp;" "&amp;S516&amp;" "&amp;S517&amp;""</f>
        <v xml:space="preserve">  Darlehen 2:  Höhe: 0,- €; Auszahl. 100%;  Zins: % p.a.;   Das Darl. läuft nach rd. 0 Jahren aus.</v>
      </c>
      <c r="BD510" s="387">
        <f t="shared" si="196"/>
        <v>14</v>
      </c>
      <c r="BE510" s="382">
        <f>IF(BD510&gt;0,173,0)</f>
        <v>173</v>
      </c>
      <c r="BG510" s="383">
        <f>IF($BE510&gt;$R$66-3+($BR$335*12),173,0)</f>
        <v>173</v>
      </c>
      <c r="BH510" s="1754">
        <f t="shared" si="197"/>
        <v>0</v>
      </c>
      <c r="BI510" s="1754"/>
      <c r="BJ510" s="1754"/>
      <c r="BK510" s="1754"/>
      <c r="BL510" s="1754">
        <f t="shared" si="155"/>
        <v>0</v>
      </c>
      <c r="BM510" s="1754"/>
      <c r="BN510" s="1754"/>
      <c r="BO510" s="1754">
        <f t="shared" si="146"/>
        <v>0</v>
      </c>
      <c r="BP510" s="1754"/>
      <c r="BQ510" s="1754"/>
      <c r="BR510" s="1754">
        <f t="shared" si="198"/>
        <v>0</v>
      </c>
      <c r="BS510" s="1754"/>
      <c r="BT510" s="1754"/>
      <c r="BU510" s="1754"/>
      <c r="BW510" s="383">
        <f>IF($BE510&gt;$R$66-3+($CH$335*12),173,0)</f>
        <v>173</v>
      </c>
      <c r="BX510" s="1754">
        <f t="shared" si="137"/>
        <v>0</v>
      </c>
      <c r="BY510" s="1754"/>
      <c r="BZ510" s="1754"/>
      <c r="CA510" s="1754"/>
      <c r="CB510" s="1754">
        <f t="shared" si="156"/>
        <v>0</v>
      </c>
      <c r="CC510" s="1754"/>
      <c r="CD510" s="1754"/>
      <c r="CE510" s="1754">
        <f t="shared" si="147"/>
        <v>0</v>
      </c>
      <c r="CF510" s="1754"/>
      <c r="CG510" s="1754"/>
      <c r="CH510" s="1754">
        <f t="shared" si="148"/>
        <v>0</v>
      </c>
      <c r="CI510" s="1754"/>
      <c r="CJ510" s="1754"/>
      <c r="CK510" s="1754"/>
      <c r="CM510" s="383">
        <f>IF($BE510&gt;$R$66-3+($CX$335*12),173,0)</f>
        <v>173</v>
      </c>
      <c r="CN510" s="1754">
        <f t="shared" si="138"/>
        <v>0</v>
      </c>
      <c r="CO510" s="1754"/>
      <c r="CP510" s="1754"/>
      <c r="CQ510" s="1754"/>
      <c r="CR510" s="1754">
        <f t="shared" si="157"/>
        <v>0</v>
      </c>
      <c r="CS510" s="1754"/>
      <c r="CT510" s="1754"/>
      <c r="CU510" s="1754">
        <f t="shared" si="149"/>
        <v>0</v>
      </c>
      <c r="CV510" s="1754"/>
      <c r="CW510" s="1754"/>
      <c r="CX510" s="1754">
        <f t="shared" si="150"/>
        <v>0</v>
      </c>
      <c r="CY510" s="1754"/>
      <c r="CZ510" s="1754"/>
      <c r="DA510" s="1754"/>
      <c r="DC510" s="383">
        <f>IF($BE510&gt;$R$66-3,173,0)</f>
        <v>173</v>
      </c>
      <c r="DD510" s="1754">
        <f t="shared" si="139"/>
        <v>0</v>
      </c>
      <c r="DE510" s="1754"/>
      <c r="DF510" s="1754"/>
      <c r="DG510" s="1754"/>
      <c r="DH510" s="1754">
        <f t="shared" si="158"/>
        <v>0</v>
      </c>
      <c r="DI510" s="1754"/>
      <c r="DJ510" s="1754"/>
      <c r="DK510" s="1754">
        <f t="shared" si="151"/>
        <v>0</v>
      </c>
      <c r="DL510" s="1754"/>
      <c r="DM510" s="1754"/>
      <c r="DN510" s="1754"/>
      <c r="DP510" s="383">
        <f t="shared" si="159"/>
        <v>173</v>
      </c>
      <c r="DQ510" s="1754">
        <f t="shared" si="160"/>
        <v>0</v>
      </c>
      <c r="DR510" s="1754"/>
      <c r="DS510" s="1754"/>
      <c r="DT510" s="1754"/>
      <c r="DU510" s="1754">
        <f t="shared" si="177"/>
        <v>0</v>
      </c>
      <c r="DV510" s="1754"/>
      <c r="DW510" s="1754"/>
      <c r="DX510" s="1754">
        <f t="shared" si="179"/>
        <v>0</v>
      </c>
      <c r="DY510" s="1754"/>
      <c r="DZ510" s="1754"/>
      <c r="EA510" s="1754">
        <f t="shared" si="180"/>
        <v>0</v>
      </c>
      <c r="EB510" s="1754"/>
      <c r="EC510" s="1754"/>
      <c r="ED510" s="1754"/>
      <c r="EE510" s="384"/>
      <c r="EF510" s="1750">
        <f t="shared" si="152"/>
        <v>0</v>
      </c>
      <c r="EG510" s="1751"/>
      <c r="EH510" s="1751"/>
      <c r="EI510" s="1751"/>
      <c r="EJ510" s="1752"/>
      <c r="EL510" s="1750">
        <f t="shared" si="181"/>
        <v>0</v>
      </c>
      <c r="EM510" s="1751"/>
      <c r="EN510" s="1751"/>
      <c r="EO510" s="1751"/>
      <c r="EP510" s="1752"/>
      <c r="ER510" s="1750">
        <f t="shared" si="153"/>
        <v>0</v>
      </c>
      <c r="ES510" s="1751"/>
      <c r="ET510" s="1751"/>
      <c r="EU510" s="1751"/>
      <c r="EV510" s="1752"/>
      <c r="EX510" s="1750">
        <f>IF(BE510&gt;0,Einstrahlung!$K$18*Kalkulation!$P$62/100*$AY$29*POWER((100-$P$64)/100,BD510-1),0)</f>
        <v>0</v>
      </c>
      <c r="EY510" s="1751"/>
      <c r="EZ510" s="1751"/>
      <c r="FA510" s="1751"/>
      <c r="FB510" s="1752"/>
      <c r="FD510" s="1750">
        <f t="shared" si="161"/>
        <v>0</v>
      </c>
      <c r="FE510" s="1751"/>
      <c r="FF510" s="1751"/>
      <c r="FG510" s="1751"/>
      <c r="FH510" s="1752"/>
      <c r="FI510" s="385"/>
      <c r="FJ510" s="380">
        <f t="shared" si="173"/>
        <v>0</v>
      </c>
      <c r="FK510" s="385"/>
      <c r="FL510" s="380">
        <f t="shared" si="199"/>
        <v>0</v>
      </c>
      <c r="FM510" s="385"/>
      <c r="FN510" s="380">
        <f t="shared" si="162"/>
        <v>0</v>
      </c>
      <c r="FO510" s="962">
        <f t="shared" si="167"/>
        <v>302</v>
      </c>
      <c r="FP510" s="956">
        <f t="shared" si="154"/>
        <v>0.4</v>
      </c>
      <c r="FQ510" s="380">
        <f t="shared" si="178"/>
        <v>0</v>
      </c>
      <c r="FR510" s="626">
        <f t="shared" si="200"/>
        <v>1</v>
      </c>
      <c r="FT510" s="1819">
        <f t="shared" si="168"/>
        <v>0</v>
      </c>
      <c r="FU510" s="1820"/>
      <c r="FV510" s="1820"/>
      <c r="FW510" s="1820"/>
      <c r="FX510" s="1821"/>
      <c r="FY510" s="1819">
        <f t="shared" si="163"/>
        <v>0</v>
      </c>
      <c r="FZ510" s="1820"/>
      <c r="GA510" s="1820"/>
      <c r="GB510" s="1821"/>
      <c r="GC510" s="1825">
        <f t="shared" si="182"/>
        <v>0</v>
      </c>
      <c r="GD510" s="1826"/>
      <c r="GE510" s="1826"/>
      <c r="GF510" s="1827"/>
      <c r="GH510" s="1750">
        <f t="shared" si="164"/>
        <v>0</v>
      </c>
      <c r="GI510" s="1751"/>
      <c r="GJ510" s="1751"/>
      <c r="GK510" s="1752"/>
      <c r="GL510" s="1750">
        <f t="shared" si="165"/>
        <v>0</v>
      </c>
      <c r="GM510" s="1751"/>
      <c r="GN510" s="1751"/>
      <c r="GO510" s="1752"/>
      <c r="GP510" s="385"/>
      <c r="GQ510" s="1750">
        <f t="shared" si="166"/>
        <v>0</v>
      </c>
      <c r="GR510" s="1751"/>
      <c r="GS510" s="1751"/>
      <c r="GT510" s="1752"/>
      <c r="GU510" s="192">
        <f t="shared" si="176"/>
        <v>1</v>
      </c>
      <c r="GV510" s="192">
        <f>SUM($GU$337:GU510)</f>
        <v>166</v>
      </c>
      <c r="GW510" s="318"/>
      <c r="HJ510" s="380">
        <f t="shared" si="195"/>
        <v>0</v>
      </c>
      <c r="HX510" s="380"/>
    </row>
    <row r="511" spans="4:232">
      <c r="D511" s="409">
        <v>9</v>
      </c>
      <c r="E511" s="318"/>
      <c r="F511" s="428">
        <f>BR457</f>
        <v>0</v>
      </c>
      <c r="G511" s="428">
        <f>CH457</f>
        <v>0</v>
      </c>
      <c r="H511" s="428">
        <f>CX457</f>
        <v>0</v>
      </c>
      <c r="I511" s="247"/>
      <c r="J511" s="247"/>
      <c r="K511" s="429">
        <f>IF(AND(F511&gt;0,F514=0),$D511,0)</f>
        <v>0</v>
      </c>
      <c r="L511" s="429">
        <f>IF(AND(G511&gt;0,G514=0),$D511,0)</f>
        <v>0</v>
      </c>
      <c r="N511" s="429">
        <f>IF(AND(H511&gt;0,H514=0),$D511,0)</f>
        <v>0</v>
      </c>
      <c r="O511" s="430"/>
      <c r="P511" s="436"/>
      <c r="S511" s="435" t="str">
        <f>IF(AA476="A","Annuitätendarl.;",IF(AA476="R","Ratendarl.;",""))</f>
        <v/>
      </c>
      <c r="BD511" s="387">
        <f t="shared" si="196"/>
        <v>14</v>
      </c>
      <c r="BE511" s="382">
        <f>IF(BD511&gt;0,174,0)</f>
        <v>174</v>
      </c>
      <c r="BG511" s="383">
        <f>IF($BE511&gt;$R$66-3+($BR$335*12),174,0)</f>
        <v>174</v>
      </c>
      <c r="BH511" s="1754">
        <f t="shared" si="197"/>
        <v>0</v>
      </c>
      <c r="BI511" s="1754"/>
      <c r="BJ511" s="1754"/>
      <c r="BK511" s="1754"/>
      <c r="BL511" s="1754">
        <f t="shared" si="155"/>
        <v>0</v>
      </c>
      <c r="BM511" s="1754"/>
      <c r="BN511" s="1754"/>
      <c r="BO511" s="1754">
        <f t="shared" si="146"/>
        <v>0</v>
      </c>
      <c r="BP511" s="1754"/>
      <c r="BQ511" s="1754"/>
      <c r="BR511" s="1754">
        <f t="shared" si="198"/>
        <v>0</v>
      </c>
      <c r="BS511" s="1754"/>
      <c r="BT511" s="1754"/>
      <c r="BU511" s="1754"/>
      <c r="BW511" s="383">
        <f>IF($BE511&gt;$R$66-3+($CH$335*12),174,0)</f>
        <v>174</v>
      </c>
      <c r="BX511" s="1754">
        <f t="shared" si="137"/>
        <v>0</v>
      </c>
      <c r="BY511" s="1754"/>
      <c r="BZ511" s="1754"/>
      <c r="CA511" s="1754"/>
      <c r="CB511" s="1754">
        <f t="shared" si="156"/>
        <v>0</v>
      </c>
      <c r="CC511" s="1754"/>
      <c r="CD511" s="1754"/>
      <c r="CE511" s="1754">
        <f t="shared" si="147"/>
        <v>0</v>
      </c>
      <c r="CF511" s="1754"/>
      <c r="CG511" s="1754"/>
      <c r="CH511" s="1754">
        <f t="shared" si="148"/>
        <v>0</v>
      </c>
      <c r="CI511" s="1754"/>
      <c r="CJ511" s="1754"/>
      <c r="CK511" s="1754"/>
      <c r="CM511" s="383">
        <f>IF($BE511&gt;$R$66-3+($CX$335*12),174,0)</f>
        <v>174</v>
      </c>
      <c r="CN511" s="1754">
        <f t="shared" si="138"/>
        <v>0</v>
      </c>
      <c r="CO511" s="1754"/>
      <c r="CP511" s="1754"/>
      <c r="CQ511" s="1754"/>
      <c r="CR511" s="1754">
        <f t="shared" si="157"/>
        <v>0</v>
      </c>
      <c r="CS511" s="1754"/>
      <c r="CT511" s="1754"/>
      <c r="CU511" s="1754">
        <f t="shared" si="149"/>
        <v>0</v>
      </c>
      <c r="CV511" s="1754"/>
      <c r="CW511" s="1754"/>
      <c r="CX511" s="1754">
        <f t="shared" si="150"/>
        <v>0</v>
      </c>
      <c r="CY511" s="1754"/>
      <c r="CZ511" s="1754"/>
      <c r="DA511" s="1754"/>
      <c r="DC511" s="383">
        <f>IF($BE511&gt;$R$66-3,174,0)</f>
        <v>174</v>
      </c>
      <c r="DD511" s="1754">
        <f t="shared" si="139"/>
        <v>0</v>
      </c>
      <c r="DE511" s="1754"/>
      <c r="DF511" s="1754"/>
      <c r="DG511" s="1754"/>
      <c r="DH511" s="1754">
        <f t="shared" si="158"/>
        <v>0</v>
      </c>
      <c r="DI511" s="1754"/>
      <c r="DJ511" s="1754"/>
      <c r="DK511" s="1754">
        <f t="shared" si="151"/>
        <v>0</v>
      </c>
      <c r="DL511" s="1754"/>
      <c r="DM511" s="1754"/>
      <c r="DN511" s="1754"/>
      <c r="DP511" s="383">
        <f t="shared" si="159"/>
        <v>174</v>
      </c>
      <c r="DQ511" s="1754">
        <f t="shared" si="160"/>
        <v>0</v>
      </c>
      <c r="DR511" s="1754"/>
      <c r="DS511" s="1754"/>
      <c r="DT511" s="1754"/>
      <c r="DU511" s="1754">
        <f t="shared" si="177"/>
        <v>0</v>
      </c>
      <c r="DV511" s="1754"/>
      <c r="DW511" s="1754"/>
      <c r="DX511" s="1754">
        <f t="shared" si="179"/>
        <v>0</v>
      </c>
      <c r="DY511" s="1754"/>
      <c r="DZ511" s="1754"/>
      <c r="EA511" s="1754">
        <f t="shared" si="180"/>
        <v>0</v>
      </c>
      <c r="EB511" s="1754"/>
      <c r="EC511" s="1754"/>
      <c r="ED511" s="1754"/>
      <c r="EE511" s="384"/>
      <c r="EF511" s="1750">
        <f t="shared" si="152"/>
        <v>0</v>
      </c>
      <c r="EG511" s="1751"/>
      <c r="EH511" s="1751"/>
      <c r="EI511" s="1751"/>
      <c r="EJ511" s="1752"/>
      <c r="EL511" s="1750">
        <f t="shared" si="181"/>
        <v>0</v>
      </c>
      <c r="EM511" s="1751"/>
      <c r="EN511" s="1751"/>
      <c r="EO511" s="1751"/>
      <c r="EP511" s="1752"/>
      <c r="ER511" s="1750">
        <f t="shared" si="153"/>
        <v>0</v>
      </c>
      <c r="ES511" s="1751"/>
      <c r="ET511" s="1751"/>
      <c r="EU511" s="1751"/>
      <c r="EV511" s="1752"/>
      <c r="EX511" s="1750">
        <f>IF(BE511&gt;0,Einstrahlung!$K$20*Kalkulation!$P$62/100*$AY$29*POWER((100-$P$64)/100,BD511-1),0)</f>
        <v>0</v>
      </c>
      <c r="EY511" s="1751"/>
      <c r="EZ511" s="1751"/>
      <c r="FA511" s="1751"/>
      <c r="FB511" s="1752"/>
      <c r="FD511" s="1750">
        <f t="shared" si="161"/>
        <v>0</v>
      </c>
      <c r="FE511" s="1751"/>
      <c r="FF511" s="1751"/>
      <c r="FG511" s="1751"/>
      <c r="FH511" s="1752"/>
      <c r="FI511" s="385"/>
      <c r="FJ511" s="380">
        <f t="shared" si="173"/>
        <v>0</v>
      </c>
      <c r="FK511" s="385"/>
      <c r="FL511" s="380">
        <f t="shared" si="199"/>
        <v>0</v>
      </c>
      <c r="FM511" s="385"/>
      <c r="FN511" s="380">
        <f t="shared" si="162"/>
        <v>0</v>
      </c>
      <c r="FO511" s="962">
        <f t="shared" si="167"/>
        <v>303</v>
      </c>
      <c r="FP511" s="956">
        <f t="shared" si="154"/>
        <v>0.4</v>
      </c>
      <c r="FQ511" s="380">
        <f t="shared" si="178"/>
        <v>0</v>
      </c>
      <c r="FR511" s="626">
        <f t="shared" si="200"/>
        <v>1</v>
      </c>
      <c r="FT511" s="1819">
        <f t="shared" si="168"/>
        <v>0</v>
      </c>
      <c r="FU511" s="1820"/>
      <c r="FV511" s="1820"/>
      <c r="FW511" s="1820"/>
      <c r="FX511" s="1821"/>
      <c r="FY511" s="1819">
        <f t="shared" si="163"/>
        <v>0</v>
      </c>
      <c r="FZ511" s="1820"/>
      <c r="GA511" s="1820"/>
      <c r="GB511" s="1821"/>
      <c r="GC511" s="1825">
        <f t="shared" si="182"/>
        <v>0</v>
      </c>
      <c r="GD511" s="1826"/>
      <c r="GE511" s="1826"/>
      <c r="GF511" s="1827"/>
      <c r="GH511" s="1750">
        <f t="shared" si="164"/>
        <v>0</v>
      </c>
      <c r="GI511" s="1751"/>
      <c r="GJ511" s="1751"/>
      <c r="GK511" s="1752"/>
      <c r="GL511" s="1750">
        <f t="shared" si="165"/>
        <v>0</v>
      </c>
      <c r="GM511" s="1751"/>
      <c r="GN511" s="1751"/>
      <c r="GO511" s="1752"/>
      <c r="GP511" s="385"/>
      <c r="GQ511" s="1750">
        <f t="shared" si="166"/>
        <v>0</v>
      </c>
      <c r="GR511" s="1751"/>
      <c r="GS511" s="1751"/>
      <c r="GT511" s="1752"/>
      <c r="GU511" s="192">
        <f t="shared" si="176"/>
        <v>1</v>
      </c>
      <c r="GV511" s="192">
        <f>SUM($GU$337:GU511)</f>
        <v>167</v>
      </c>
      <c r="GW511" s="318"/>
      <c r="HJ511" s="380">
        <f t="shared" si="195"/>
        <v>0</v>
      </c>
      <c r="HX511" s="380"/>
    </row>
    <row r="512" spans="4:232">
      <c r="D512" s="313"/>
      <c r="E512" s="247"/>
      <c r="F512" s="247"/>
      <c r="G512" s="247"/>
      <c r="H512" s="247"/>
      <c r="I512" s="428">
        <f>'Endfälliges Darlehen'!AG29</f>
        <v>0</v>
      </c>
      <c r="J512" s="247"/>
      <c r="K512" s="429"/>
      <c r="L512" s="429"/>
      <c r="M512" s="429"/>
      <c r="N512" s="429"/>
      <c r="O512" s="430">
        <f>IF(AND(I512&gt;0,I515=0),$D511,0)</f>
        <v>0</v>
      </c>
      <c r="P512" s="436"/>
      <c r="S512" s="435" t="str">
        <f>"Höhe: "&amp;AY94&amp;",- €; Auszahl. "&amp;BB94*100&amp;"%;"</f>
        <v>Höhe: 0,- €; Auszahl. 100%;</v>
      </c>
      <c r="BD512" s="387">
        <f t="shared" si="196"/>
        <v>14</v>
      </c>
      <c r="BE512" s="382">
        <f>IF(BD512&gt;0,175,0)</f>
        <v>175</v>
      </c>
      <c r="BG512" s="383">
        <f>IF($BE512&gt;$R$66-3+($BR$335*12),175,0)</f>
        <v>175</v>
      </c>
      <c r="BH512" s="1754">
        <f t="shared" si="197"/>
        <v>0</v>
      </c>
      <c r="BI512" s="1754"/>
      <c r="BJ512" s="1754"/>
      <c r="BK512" s="1754"/>
      <c r="BL512" s="1754">
        <f t="shared" si="155"/>
        <v>0</v>
      </c>
      <c r="BM512" s="1754"/>
      <c r="BN512" s="1754"/>
      <c r="BO512" s="1754">
        <f t="shared" si="146"/>
        <v>0</v>
      </c>
      <c r="BP512" s="1754"/>
      <c r="BQ512" s="1754"/>
      <c r="BR512" s="1754">
        <f t="shared" si="198"/>
        <v>0</v>
      </c>
      <c r="BS512" s="1754"/>
      <c r="BT512" s="1754"/>
      <c r="BU512" s="1754"/>
      <c r="BW512" s="383">
        <f>IF($BE512&gt;$R$66-3+($CH$335*12),175,0)</f>
        <v>175</v>
      </c>
      <c r="BX512" s="1754">
        <f t="shared" si="137"/>
        <v>0</v>
      </c>
      <c r="BY512" s="1754"/>
      <c r="BZ512" s="1754"/>
      <c r="CA512" s="1754"/>
      <c r="CB512" s="1754">
        <f t="shared" si="156"/>
        <v>0</v>
      </c>
      <c r="CC512" s="1754"/>
      <c r="CD512" s="1754"/>
      <c r="CE512" s="1754">
        <f t="shared" si="147"/>
        <v>0</v>
      </c>
      <c r="CF512" s="1754"/>
      <c r="CG512" s="1754"/>
      <c r="CH512" s="1754">
        <f t="shared" si="148"/>
        <v>0</v>
      </c>
      <c r="CI512" s="1754"/>
      <c r="CJ512" s="1754"/>
      <c r="CK512" s="1754"/>
      <c r="CM512" s="383">
        <f>IF($BE512&gt;$R$66-3+($CX$335*12),175,0)</f>
        <v>175</v>
      </c>
      <c r="CN512" s="1754">
        <f t="shared" si="138"/>
        <v>0</v>
      </c>
      <c r="CO512" s="1754"/>
      <c r="CP512" s="1754"/>
      <c r="CQ512" s="1754"/>
      <c r="CR512" s="1754">
        <f t="shared" si="157"/>
        <v>0</v>
      </c>
      <c r="CS512" s="1754"/>
      <c r="CT512" s="1754"/>
      <c r="CU512" s="1754">
        <f t="shared" si="149"/>
        <v>0</v>
      </c>
      <c r="CV512" s="1754"/>
      <c r="CW512" s="1754"/>
      <c r="CX512" s="1754">
        <f t="shared" si="150"/>
        <v>0</v>
      </c>
      <c r="CY512" s="1754"/>
      <c r="CZ512" s="1754"/>
      <c r="DA512" s="1754"/>
      <c r="DC512" s="383">
        <f>IF($BE512&gt;$R$66-3,175,0)</f>
        <v>175</v>
      </c>
      <c r="DD512" s="1754">
        <f t="shared" si="139"/>
        <v>0</v>
      </c>
      <c r="DE512" s="1754"/>
      <c r="DF512" s="1754"/>
      <c r="DG512" s="1754"/>
      <c r="DH512" s="1754">
        <f t="shared" si="158"/>
        <v>0</v>
      </c>
      <c r="DI512" s="1754"/>
      <c r="DJ512" s="1754"/>
      <c r="DK512" s="1754">
        <f t="shared" si="151"/>
        <v>0</v>
      </c>
      <c r="DL512" s="1754"/>
      <c r="DM512" s="1754"/>
      <c r="DN512" s="1754"/>
      <c r="DP512" s="383">
        <f t="shared" si="159"/>
        <v>175</v>
      </c>
      <c r="DQ512" s="1754">
        <f t="shared" si="160"/>
        <v>0</v>
      </c>
      <c r="DR512" s="1754"/>
      <c r="DS512" s="1754"/>
      <c r="DT512" s="1754"/>
      <c r="DU512" s="1754">
        <f t="shared" si="177"/>
        <v>0</v>
      </c>
      <c r="DV512" s="1754"/>
      <c r="DW512" s="1754"/>
      <c r="DX512" s="1754">
        <f t="shared" si="179"/>
        <v>0</v>
      </c>
      <c r="DY512" s="1754"/>
      <c r="DZ512" s="1754"/>
      <c r="EA512" s="1754">
        <f t="shared" si="180"/>
        <v>0</v>
      </c>
      <c r="EB512" s="1754"/>
      <c r="EC512" s="1754"/>
      <c r="ED512" s="1754"/>
      <c r="EE512" s="384"/>
      <c r="EF512" s="1750">
        <f t="shared" si="152"/>
        <v>0</v>
      </c>
      <c r="EG512" s="1751"/>
      <c r="EH512" s="1751"/>
      <c r="EI512" s="1751"/>
      <c r="EJ512" s="1752"/>
      <c r="EL512" s="1750">
        <f t="shared" si="181"/>
        <v>0</v>
      </c>
      <c r="EM512" s="1751"/>
      <c r="EN512" s="1751"/>
      <c r="EO512" s="1751"/>
      <c r="EP512" s="1752"/>
      <c r="ER512" s="1750">
        <f t="shared" si="153"/>
        <v>0</v>
      </c>
      <c r="ES512" s="1751"/>
      <c r="ET512" s="1751"/>
      <c r="EU512" s="1751"/>
      <c r="EV512" s="1752"/>
      <c r="EX512" s="1750">
        <f>IF(BE512&gt;0,Einstrahlung!$K$22*Kalkulation!$P$62/100*$AY$29*POWER((100-$P$64)/100,BD512-1),0)</f>
        <v>0</v>
      </c>
      <c r="EY512" s="1751"/>
      <c r="EZ512" s="1751"/>
      <c r="FA512" s="1751"/>
      <c r="FB512" s="1752"/>
      <c r="FD512" s="1750">
        <f t="shared" si="161"/>
        <v>0</v>
      </c>
      <c r="FE512" s="1751"/>
      <c r="FF512" s="1751"/>
      <c r="FG512" s="1751"/>
      <c r="FH512" s="1752"/>
      <c r="FI512" s="385"/>
      <c r="FJ512" s="380">
        <f t="shared" si="173"/>
        <v>0</v>
      </c>
      <c r="FK512" s="385"/>
      <c r="FL512" s="380">
        <f t="shared" si="199"/>
        <v>0</v>
      </c>
      <c r="FM512" s="385"/>
      <c r="FN512" s="380">
        <f t="shared" si="162"/>
        <v>0</v>
      </c>
      <c r="FO512" s="962">
        <f t="shared" si="167"/>
        <v>304</v>
      </c>
      <c r="FP512" s="956">
        <f t="shared" si="154"/>
        <v>0.4</v>
      </c>
      <c r="FQ512" s="380">
        <f t="shared" si="178"/>
        <v>0</v>
      </c>
      <c r="FR512" s="626">
        <f t="shared" si="200"/>
        <v>1</v>
      </c>
      <c r="FT512" s="1819">
        <f t="shared" si="168"/>
        <v>0</v>
      </c>
      <c r="FU512" s="1820"/>
      <c r="FV512" s="1820"/>
      <c r="FW512" s="1820"/>
      <c r="FX512" s="1821"/>
      <c r="FY512" s="1819">
        <f t="shared" si="163"/>
        <v>0</v>
      </c>
      <c r="FZ512" s="1820"/>
      <c r="GA512" s="1820"/>
      <c r="GB512" s="1821"/>
      <c r="GC512" s="1825">
        <f t="shared" si="182"/>
        <v>0</v>
      </c>
      <c r="GD512" s="1826"/>
      <c r="GE512" s="1826"/>
      <c r="GF512" s="1827"/>
      <c r="GH512" s="1750">
        <f t="shared" si="164"/>
        <v>0</v>
      </c>
      <c r="GI512" s="1751"/>
      <c r="GJ512" s="1751"/>
      <c r="GK512" s="1752"/>
      <c r="GL512" s="1750">
        <f t="shared" si="165"/>
        <v>0</v>
      </c>
      <c r="GM512" s="1751"/>
      <c r="GN512" s="1751"/>
      <c r="GO512" s="1752"/>
      <c r="GP512" s="385"/>
      <c r="GQ512" s="1750">
        <f t="shared" si="166"/>
        <v>0</v>
      </c>
      <c r="GR512" s="1751"/>
      <c r="GS512" s="1751"/>
      <c r="GT512" s="1752"/>
      <c r="GU512" s="192">
        <f t="shared" si="176"/>
        <v>1</v>
      </c>
      <c r="GV512" s="192">
        <f>SUM($GU$337:GU512)</f>
        <v>168</v>
      </c>
      <c r="GW512" s="318"/>
      <c r="HJ512" s="380">
        <f t="shared" si="195"/>
        <v>0</v>
      </c>
      <c r="HX512" s="380"/>
    </row>
    <row r="513" spans="4:232">
      <c r="D513" s="313"/>
      <c r="E513" s="247"/>
      <c r="F513" s="247"/>
      <c r="G513" s="247"/>
      <c r="H513" s="247"/>
      <c r="I513" s="247"/>
      <c r="J513" s="428">
        <f>'Endfälliges Darlehen'!AV29</f>
        <v>0</v>
      </c>
      <c r="K513" s="429"/>
      <c r="L513" s="429"/>
      <c r="M513" s="429"/>
      <c r="N513" s="429"/>
      <c r="O513" s="430"/>
      <c r="P513" s="436"/>
      <c r="S513" s="435" t="str">
        <f>IF(AA476="R","Laufzeit: "&amp;S94&amp;" J.;","")</f>
        <v/>
      </c>
      <c r="BD513" s="387">
        <f t="shared" si="196"/>
        <v>14</v>
      </c>
      <c r="BE513" s="382">
        <f>IF(BD513&gt;0,176,0)</f>
        <v>176</v>
      </c>
      <c r="BG513" s="383">
        <f>IF($BE513&gt;$R$66-3+($BR$335*12),176,0)</f>
        <v>176</v>
      </c>
      <c r="BH513" s="1754">
        <f t="shared" si="197"/>
        <v>0</v>
      </c>
      <c r="BI513" s="1754"/>
      <c r="BJ513" s="1754"/>
      <c r="BK513" s="1754"/>
      <c r="BL513" s="1754">
        <f t="shared" si="155"/>
        <v>0</v>
      </c>
      <c r="BM513" s="1754"/>
      <c r="BN513" s="1754"/>
      <c r="BO513" s="1754">
        <f t="shared" si="146"/>
        <v>0</v>
      </c>
      <c r="BP513" s="1754"/>
      <c r="BQ513" s="1754"/>
      <c r="BR513" s="1754">
        <f t="shared" si="198"/>
        <v>0</v>
      </c>
      <c r="BS513" s="1754"/>
      <c r="BT513" s="1754"/>
      <c r="BU513" s="1754"/>
      <c r="BW513" s="383">
        <f>IF($BE513&gt;$R$66-3+($CH$335*12),176,0)</f>
        <v>176</v>
      </c>
      <c r="BX513" s="1754">
        <f t="shared" si="137"/>
        <v>0</v>
      </c>
      <c r="BY513" s="1754"/>
      <c r="BZ513" s="1754"/>
      <c r="CA513" s="1754"/>
      <c r="CB513" s="1754">
        <f t="shared" si="156"/>
        <v>0</v>
      </c>
      <c r="CC513" s="1754"/>
      <c r="CD513" s="1754"/>
      <c r="CE513" s="1754">
        <f t="shared" si="147"/>
        <v>0</v>
      </c>
      <c r="CF513" s="1754"/>
      <c r="CG513" s="1754"/>
      <c r="CH513" s="1754">
        <f t="shared" si="148"/>
        <v>0</v>
      </c>
      <c r="CI513" s="1754"/>
      <c r="CJ513" s="1754"/>
      <c r="CK513" s="1754"/>
      <c r="CM513" s="383">
        <f>IF($BE513&gt;$R$66-3+($CX$335*12),176,0)</f>
        <v>176</v>
      </c>
      <c r="CN513" s="1754">
        <f t="shared" si="138"/>
        <v>0</v>
      </c>
      <c r="CO513" s="1754"/>
      <c r="CP513" s="1754"/>
      <c r="CQ513" s="1754"/>
      <c r="CR513" s="1754">
        <f t="shared" si="157"/>
        <v>0</v>
      </c>
      <c r="CS513" s="1754"/>
      <c r="CT513" s="1754"/>
      <c r="CU513" s="1754">
        <f t="shared" si="149"/>
        <v>0</v>
      </c>
      <c r="CV513" s="1754"/>
      <c r="CW513" s="1754"/>
      <c r="CX513" s="1754">
        <f t="shared" si="150"/>
        <v>0</v>
      </c>
      <c r="CY513" s="1754"/>
      <c r="CZ513" s="1754"/>
      <c r="DA513" s="1754"/>
      <c r="DC513" s="383">
        <f>IF($BE513&gt;$R$66-3,176,0)</f>
        <v>176</v>
      </c>
      <c r="DD513" s="1754">
        <f t="shared" si="139"/>
        <v>0</v>
      </c>
      <c r="DE513" s="1754"/>
      <c r="DF513" s="1754"/>
      <c r="DG513" s="1754"/>
      <c r="DH513" s="1754">
        <f t="shared" si="158"/>
        <v>0</v>
      </c>
      <c r="DI513" s="1754"/>
      <c r="DJ513" s="1754"/>
      <c r="DK513" s="1754">
        <f t="shared" si="151"/>
        <v>0</v>
      </c>
      <c r="DL513" s="1754"/>
      <c r="DM513" s="1754"/>
      <c r="DN513" s="1754"/>
      <c r="DP513" s="383">
        <f t="shared" si="159"/>
        <v>176</v>
      </c>
      <c r="DQ513" s="1754">
        <f t="shared" si="160"/>
        <v>0</v>
      </c>
      <c r="DR513" s="1754"/>
      <c r="DS513" s="1754"/>
      <c r="DT513" s="1754"/>
      <c r="DU513" s="1754">
        <f t="shared" si="177"/>
        <v>0</v>
      </c>
      <c r="DV513" s="1754"/>
      <c r="DW513" s="1754"/>
      <c r="DX513" s="1754">
        <f t="shared" si="179"/>
        <v>0</v>
      </c>
      <c r="DY513" s="1754"/>
      <c r="DZ513" s="1754"/>
      <c r="EA513" s="1754">
        <f t="shared" si="180"/>
        <v>0</v>
      </c>
      <c r="EB513" s="1754"/>
      <c r="EC513" s="1754"/>
      <c r="ED513" s="1754"/>
      <c r="EE513" s="384"/>
      <c r="EF513" s="1750">
        <f t="shared" si="152"/>
        <v>0</v>
      </c>
      <c r="EG513" s="1751"/>
      <c r="EH513" s="1751"/>
      <c r="EI513" s="1751"/>
      <c r="EJ513" s="1752"/>
      <c r="EL513" s="1750">
        <f t="shared" si="181"/>
        <v>0</v>
      </c>
      <c r="EM513" s="1751"/>
      <c r="EN513" s="1751"/>
      <c r="EO513" s="1751"/>
      <c r="EP513" s="1752"/>
      <c r="ER513" s="1750">
        <f t="shared" si="153"/>
        <v>0</v>
      </c>
      <c r="ES513" s="1751"/>
      <c r="ET513" s="1751"/>
      <c r="EU513" s="1751"/>
      <c r="EV513" s="1752"/>
      <c r="EX513" s="1750">
        <f>IF(BE513&gt;0,Einstrahlung!$K$24*Kalkulation!$P$62/100*$AY$29*POWER((100-$P$64)/100,BD513-1),0)</f>
        <v>0</v>
      </c>
      <c r="EY513" s="1751"/>
      <c r="EZ513" s="1751"/>
      <c r="FA513" s="1751"/>
      <c r="FB513" s="1752"/>
      <c r="FD513" s="1750">
        <f t="shared" si="161"/>
        <v>0</v>
      </c>
      <c r="FE513" s="1751"/>
      <c r="FF513" s="1751"/>
      <c r="FG513" s="1751"/>
      <c r="FH513" s="1752"/>
      <c r="FI513" s="385"/>
      <c r="FJ513" s="380">
        <f t="shared" si="173"/>
        <v>0</v>
      </c>
      <c r="FK513" s="385"/>
      <c r="FL513" s="380">
        <f t="shared" si="199"/>
        <v>0</v>
      </c>
      <c r="FM513" s="385"/>
      <c r="FN513" s="380">
        <f t="shared" si="162"/>
        <v>0</v>
      </c>
      <c r="FO513" s="962">
        <f t="shared" si="167"/>
        <v>305</v>
      </c>
      <c r="FP513" s="956">
        <f t="shared" si="154"/>
        <v>0.4</v>
      </c>
      <c r="FQ513" s="380">
        <f t="shared" si="178"/>
        <v>0</v>
      </c>
      <c r="FR513" s="626">
        <f t="shared" si="200"/>
        <v>1</v>
      </c>
      <c r="FT513" s="1819">
        <f t="shared" si="168"/>
        <v>0</v>
      </c>
      <c r="FU513" s="1820"/>
      <c r="FV513" s="1820"/>
      <c r="FW513" s="1820"/>
      <c r="FX513" s="1821"/>
      <c r="FY513" s="1819">
        <f t="shared" si="163"/>
        <v>0</v>
      </c>
      <c r="FZ513" s="1820"/>
      <c r="GA513" s="1820"/>
      <c r="GB513" s="1821"/>
      <c r="GC513" s="1825">
        <f t="shared" si="182"/>
        <v>0</v>
      </c>
      <c r="GD513" s="1826"/>
      <c r="GE513" s="1826"/>
      <c r="GF513" s="1827"/>
      <c r="GH513" s="1750">
        <f t="shared" si="164"/>
        <v>0</v>
      </c>
      <c r="GI513" s="1751"/>
      <c r="GJ513" s="1751"/>
      <c r="GK513" s="1752"/>
      <c r="GL513" s="1750">
        <f t="shared" si="165"/>
        <v>0</v>
      </c>
      <c r="GM513" s="1751"/>
      <c r="GN513" s="1751"/>
      <c r="GO513" s="1752"/>
      <c r="GP513" s="385"/>
      <c r="GQ513" s="1750">
        <f t="shared" si="166"/>
        <v>0</v>
      </c>
      <c r="GR513" s="1751"/>
      <c r="GS513" s="1751"/>
      <c r="GT513" s="1752"/>
      <c r="GU513" s="192">
        <f t="shared" si="176"/>
        <v>1</v>
      </c>
      <c r="GV513" s="192">
        <f>SUM($GU$337:GU513)</f>
        <v>169</v>
      </c>
      <c r="GW513" s="318"/>
      <c r="HJ513" s="380">
        <f t="shared" si="195"/>
        <v>0</v>
      </c>
      <c r="HX513" s="380"/>
    </row>
    <row r="514" spans="4:232">
      <c r="D514" s="409">
        <v>10</v>
      </c>
      <c r="E514" s="318"/>
      <c r="F514" s="428">
        <f>BR469</f>
        <v>0</v>
      </c>
      <c r="G514" s="428">
        <f>CH469</f>
        <v>0</v>
      </c>
      <c r="H514" s="428">
        <f>CX469</f>
        <v>0</v>
      </c>
      <c r="I514" s="247"/>
      <c r="J514" s="247"/>
      <c r="K514" s="429">
        <f>IF(AND(F514&gt;0,F517=0),$D514,0)</f>
        <v>0</v>
      </c>
      <c r="L514" s="429">
        <f>IF(AND(G514&gt;0,G517=0),$D514,0)</f>
        <v>0</v>
      </c>
      <c r="N514" s="429">
        <f>IF(AND(H514&gt;0,H517=0),$D514,0)</f>
        <v>0</v>
      </c>
      <c r="O514" s="430"/>
      <c r="P514" s="436"/>
      <c r="S514" s="435" t="str">
        <f>"Zins: "&amp;T94&amp;"% p.a.;"</f>
        <v>Zins: % p.a.;</v>
      </c>
      <c r="BD514" s="387">
        <f t="shared" si="196"/>
        <v>14</v>
      </c>
      <c r="BE514" s="382">
        <f>IF(BD514&gt;0,177,0)</f>
        <v>177</v>
      </c>
      <c r="BG514" s="383">
        <f>IF($BE514&gt;$R$66-3+($BR$335*12),177,0)</f>
        <v>177</v>
      </c>
      <c r="BH514" s="1754">
        <f t="shared" si="197"/>
        <v>0</v>
      </c>
      <c r="BI514" s="1754"/>
      <c r="BJ514" s="1754"/>
      <c r="BK514" s="1754"/>
      <c r="BL514" s="1754">
        <f t="shared" si="155"/>
        <v>0</v>
      </c>
      <c r="BM514" s="1754"/>
      <c r="BN514" s="1754"/>
      <c r="BO514" s="1754">
        <f t="shared" si="146"/>
        <v>0</v>
      </c>
      <c r="BP514" s="1754"/>
      <c r="BQ514" s="1754"/>
      <c r="BR514" s="1754">
        <f t="shared" si="198"/>
        <v>0</v>
      </c>
      <c r="BS514" s="1754"/>
      <c r="BT514" s="1754"/>
      <c r="BU514" s="1754"/>
      <c r="BW514" s="383">
        <f>IF($BE514&gt;$R$66-3+($CH$335*12),177,0)</f>
        <v>177</v>
      </c>
      <c r="BX514" s="1754">
        <f t="shared" si="137"/>
        <v>0</v>
      </c>
      <c r="BY514" s="1754"/>
      <c r="BZ514" s="1754"/>
      <c r="CA514" s="1754"/>
      <c r="CB514" s="1754">
        <f t="shared" si="156"/>
        <v>0</v>
      </c>
      <c r="CC514" s="1754"/>
      <c r="CD514" s="1754"/>
      <c r="CE514" s="1754">
        <f t="shared" si="147"/>
        <v>0</v>
      </c>
      <c r="CF514" s="1754"/>
      <c r="CG514" s="1754"/>
      <c r="CH514" s="1754">
        <f t="shared" si="148"/>
        <v>0</v>
      </c>
      <c r="CI514" s="1754"/>
      <c r="CJ514" s="1754"/>
      <c r="CK514" s="1754"/>
      <c r="CM514" s="383">
        <f>IF($BE514&gt;$R$66-3+($CX$335*12),177,0)</f>
        <v>177</v>
      </c>
      <c r="CN514" s="1754">
        <f t="shared" si="138"/>
        <v>0</v>
      </c>
      <c r="CO514" s="1754"/>
      <c r="CP514" s="1754"/>
      <c r="CQ514" s="1754"/>
      <c r="CR514" s="1754">
        <f t="shared" si="157"/>
        <v>0</v>
      </c>
      <c r="CS514" s="1754"/>
      <c r="CT514" s="1754"/>
      <c r="CU514" s="1754">
        <f t="shared" si="149"/>
        <v>0</v>
      </c>
      <c r="CV514" s="1754"/>
      <c r="CW514" s="1754"/>
      <c r="CX514" s="1754">
        <f t="shared" si="150"/>
        <v>0</v>
      </c>
      <c r="CY514" s="1754"/>
      <c r="CZ514" s="1754"/>
      <c r="DA514" s="1754"/>
      <c r="DC514" s="383">
        <f>IF($BE514&gt;$R$66-3,177,0)</f>
        <v>177</v>
      </c>
      <c r="DD514" s="1754">
        <f t="shared" si="139"/>
        <v>0</v>
      </c>
      <c r="DE514" s="1754"/>
      <c r="DF514" s="1754"/>
      <c r="DG514" s="1754"/>
      <c r="DH514" s="1754">
        <f t="shared" si="158"/>
        <v>0</v>
      </c>
      <c r="DI514" s="1754"/>
      <c r="DJ514" s="1754"/>
      <c r="DK514" s="1754">
        <f t="shared" si="151"/>
        <v>0</v>
      </c>
      <c r="DL514" s="1754"/>
      <c r="DM514" s="1754"/>
      <c r="DN514" s="1754"/>
      <c r="DP514" s="383">
        <f t="shared" si="159"/>
        <v>177</v>
      </c>
      <c r="DQ514" s="1754">
        <f t="shared" si="160"/>
        <v>0</v>
      </c>
      <c r="DR514" s="1754"/>
      <c r="DS514" s="1754"/>
      <c r="DT514" s="1754"/>
      <c r="DU514" s="1754">
        <f t="shared" si="177"/>
        <v>0</v>
      </c>
      <c r="DV514" s="1754"/>
      <c r="DW514" s="1754"/>
      <c r="DX514" s="1754">
        <f t="shared" si="179"/>
        <v>0</v>
      </c>
      <c r="DY514" s="1754"/>
      <c r="DZ514" s="1754"/>
      <c r="EA514" s="1754">
        <f t="shared" si="180"/>
        <v>0</v>
      </c>
      <c r="EB514" s="1754"/>
      <c r="EC514" s="1754"/>
      <c r="ED514" s="1754"/>
      <c r="EE514" s="384"/>
      <c r="EF514" s="1750">
        <f t="shared" si="152"/>
        <v>0</v>
      </c>
      <c r="EG514" s="1751"/>
      <c r="EH514" s="1751"/>
      <c r="EI514" s="1751"/>
      <c r="EJ514" s="1752"/>
      <c r="EL514" s="1750">
        <f t="shared" si="181"/>
        <v>0</v>
      </c>
      <c r="EM514" s="1751"/>
      <c r="EN514" s="1751"/>
      <c r="EO514" s="1751"/>
      <c r="EP514" s="1752"/>
      <c r="ER514" s="1750">
        <f t="shared" si="153"/>
        <v>0</v>
      </c>
      <c r="ES514" s="1751"/>
      <c r="ET514" s="1751"/>
      <c r="EU514" s="1751"/>
      <c r="EV514" s="1752"/>
      <c r="EX514" s="1750">
        <f>IF(BE514&gt;0,Einstrahlung!$K$26*Kalkulation!$P$62/100*$AY$29*POWER((100-$P$64)/100,BD514-1),0)</f>
        <v>0</v>
      </c>
      <c r="EY514" s="1751"/>
      <c r="EZ514" s="1751"/>
      <c r="FA514" s="1751"/>
      <c r="FB514" s="1752"/>
      <c r="FD514" s="1750">
        <f t="shared" si="161"/>
        <v>0</v>
      </c>
      <c r="FE514" s="1751"/>
      <c r="FF514" s="1751"/>
      <c r="FG514" s="1751"/>
      <c r="FH514" s="1752"/>
      <c r="FI514" s="385"/>
      <c r="FJ514" s="380">
        <f t="shared" si="173"/>
        <v>0</v>
      </c>
      <c r="FK514" s="385"/>
      <c r="FL514" s="380">
        <f t="shared" si="199"/>
        <v>0</v>
      </c>
      <c r="FM514" s="385"/>
      <c r="FN514" s="380">
        <f t="shared" si="162"/>
        <v>0</v>
      </c>
      <c r="FO514" s="962">
        <f t="shared" si="167"/>
        <v>306</v>
      </c>
      <c r="FP514" s="956">
        <f t="shared" si="154"/>
        <v>0.4</v>
      </c>
      <c r="FQ514" s="380">
        <f t="shared" si="178"/>
        <v>0</v>
      </c>
      <c r="FR514" s="626">
        <f t="shared" si="200"/>
        <v>1</v>
      </c>
      <c r="FT514" s="1819">
        <f t="shared" si="168"/>
        <v>0</v>
      </c>
      <c r="FU514" s="1820"/>
      <c r="FV514" s="1820"/>
      <c r="FW514" s="1820"/>
      <c r="FX514" s="1821"/>
      <c r="FY514" s="1819">
        <f t="shared" si="163"/>
        <v>0</v>
      </c>
      <c r="FZ514" s="1820"/>
      <c r="GA514" s="1820"/>
      <c r="GB514" s="1821"/>
      <c r="GC514" s="1825">
        <f t="shared" si="182"/>
        <v>0</v>
      </c>
      <c r="GD514" s="1826"/>
      <c r="GE514" s="1826"/>
      <c r="GF514" s="1827"/>
      <c r="GH514" s="1750">
        <f t="shared" si="164"/>
        <v>0</v>
      </c>
      <c r="GI514" s="1751"/>
      <c r="GJ514" s="1751"/>
      <c r="GK514" s="1752"/>
      <c r="GL514" s="1750">
        <f t="shared" si="165"/>
        <v>0</v>
      </c>
      <c r="GM514" s="1751"/>
      <c r="GN514" s="1751"/>
      <c r="GO514" s="1752"/>
      <c r="GP514" s="385"/>
      <c r="GQ514" s="1750">
        <f t="shared" si="166"/>
        <v>0</v>
      </c>
      <c r="GR514" s="1751"/>
      <c r="GS514" s="1751"/>
      <c r="GT514" s="1752"/>
      <c r="GU514" s="192">
        <f t="shared" si="176"/>
        <v>1</v>
      </c>
      <c r="GV514" s="192">
        <f>SUM($GU$337:GU514)</f>
        <v>170</v>
      </c>
      <c r="GW514" s="318"/>
      <c r="HJ514" s="380">
        <f t="shared" si="195"/>
        <v>0</v>
      </c>
      <c r="HX514" s="380"/>
    </row>
    <row r="515" spans="4:232">
      <c r="D515" s="313"/>
      <c r="E515" s="247"/>
      <c r="F515" s="247"/>
      <c r="G515" s="247"/>
      <c r="H515" s="247"/>
      <c r="I515" s="428">
        <f>'Endfälliges Darlehen'!AG31</f>
        <v>0</v>
      </c>
      <c r="J515" s="247"/>
      <c r="K515" s="429"/>
      <c r="L515" s="429"/>
      <c r="M515" s="429"/>
      <c r="N515" s="429"/>
      <c r="O515" s="430">
        <f>IF(AND(I515&gt;0,I518=0),$D514,0)</f>
        <v>0</v>
      </c>
      <c r="P515" s="436"/>
      <c r="S515" s="435" t="str">
        <f>IF(AA476="a","Annuität: "&amp;V94&amp;"% p.a.;","")</f>
        <v/>
      </c>
      <c r="BD515" s="387">
        <f t="shared" si="196"/>
        <v>14</v>
      </c>
      <c r="BE515" s="382">
        <f>IF(BD515&gt;0,178,0)</f>
        <v>178</v>
      </c>
      <c r="BG515" s="383">
        <f>IF($BE515&gt;$R$66-3+($BR$335*12),178,0)</f>
        <v>178</v>
      </c>
      <c r="BH515" s="1754">
        <f t="shared" si="197"/>
        <v>0</v>
      </c>
      <c r="BI515" s="1754"/>
      <c r="BJ515" s="1754"/>
      <c r="BK515" s="1754"/>
      <c r="BL515" s="1754">
        <f t="shared" si="155"/>
        <v>0</v>
      </c>
      <c r="BM515" s="1754"/>
      <c r="BN515" s="1754"/>
      <c r="BO515" s="1754">
        <f t="shared" si="146"/>
        <v>0</v>
      </c>
      <c r="BP515" s="1754"/>
      <c r="BQ515" s="1754"/>
      <c r="BR515" s="1754">
        <f t="shared" si="198"/>
        <v>0</v>
      </c>
      <c r="BS515" s="1754"/>
      <c r="BT515" s="1754"/>
      <c r="BU515" s="1754"/>
      <c r="BW515" s="383">
        <f>IF($BE515&gt;$R$66-3+($CH$335*12),178,0)</f>
        <v>178</v>
      </c>
      <c r="BX515" s="1754">
        <f t="shared" si="137"/>
        <v>0</v>
      </c>
      <c r="BY515" s="1754"/>
      <c r="BZ515" s="1754"/>
      <c r="CA515" s="1754"/>
      <c r="CB515" s="1754">
        <f t="shared" si="156"/>
        <v>0</v>
      </c>
      <c r="CC515" s="1754"/>
      <c r="CD515" s="1754"/>
      <c r="CE515" s="1754">
        <f t="shared" si="147"/>
        <v>0</v>
      </c>
      <c r="CF515" s="1754"/>
      <c r="CG515" s="1754"/>
      <c r="CH515" s="1754">
        <f t="shared" si="148"/>
        <v>0</v>
      </c>
      <c r="CI515" s="1754"/>
      <c r="CJ515" s="1754"/>
      <c r="CK515" s="1754"/>
      <c r="CM515" s="383">
        <f>IF($BE515&gt;$R$66-3+($CX$335*12),178,0)</f>
        <v>178</v>
      </c>
      <c r="CN515" s="1754">
        <f t="shared" si="138"/>
        <v>0</v>
      </c>
      <c r="CO515" s="1754"/>
      <c r="CP515" s="1754"/>
      <c r="CQ515" s="1754"/>
      <c r="CR515" s="1754">
        <f t="shared" si="157"/>
        <v>0</v>
      </c>
      <c r="CS515" s="1754"/>
      <c r="CT515" s="1754"/>
      <c r="CU515" s="1754">
        <f t="shared" si="149"/>
        <v>0</v>
      </c>
      <c r="CV515" s="1754"/>
      <c r="CW515" s="1754"/>
      <c r="CX515" s="1754">
        <f t="shared" si="150"/>
        <v>0</v>
      </c>
      <c r="CY515" s="1754"/>
      <c r="CZ515" s="1754"/>
      <c r="DA515" s="1754"/>
      <c r="DC515" s="383">
        <f>IF($BE515&gt;$R$66-3,178,0)</f>
        <v>178</v>
      </c>
      <c r="DD515" s="1754">
        <f t="shared" si="139"/>
        <v>0</v>
      </c>
      <c r="DE515" s="1754"/>
      <c r="DF515" s="1754"/>
      <c r="DG515" s="1754"/>
      <c r="DH515" s="1754">
        <f t="shared" si="158"/>
        <v>0</v>
      </c>
      <c r="DI515" s="1754"/>
      <c r="DJ515" s="1754"/>
      <c r="DK515" s="1754">
        <f t="shared" si="151"/>
        <v>0</v>
      </c>
      <c r="DL515" s="1754"/>
      <c r="DM515" s="1754"/>
      <c r="DN515" s="1754"/>
      <c r="DP515" s="383">
        <f t="shared" si="159"/>
        <v>178</v>
      </c>
      <c r="DQ515" s="1754">
        <f t="shared" si="160"/>
        <v>0</v>
      </c>
      <c r="DR515" s="1754"/>
      <c r="DS515" s="1754"/>
      <c r="DT515" s="1754"/>
      <c r="DU515" s="1754">
        <f t="shared" si="177"/>
        <v>0</v>
      </c>
      <c r="DV515" s="1754"/>
      <c r="DW515" s="1754"/>
      <c r="DX515" s="1754">
        <f t="shared" si="179"/>
        <v>0</v>
      </c>
      <c r="DY515" s="1754"/>
      <c r="DZ515" s="1754"/>
      <c r="EA515" s="1754">
        <f t="shared" si="180"/>
        <v>0</v>
      </c>
      <c r="EB515" s="1754"/>
      <c r="EC515" s="1754"/>
      <c r="ED515" s="1754"/>
      <c r="EE515" s="384"/>
      <c r="EF515" s="1750">
        <f t="shared" si="152"/>
        <v>0</v>
      </c>
      <c r="EG515" s="1751"/>
      <c r="EH515" s="1751"/>
      <c r="EI515" s="1751"/>
      <c r="EJ515" s="1752"/>
      <c r="EL515" s="1750">
        <f t="shared" si="181"/>
        <v>0</v>
      </c>
      <c r="EM515" s="1751"/>
      <c r="EN515" s="1751"/>
      <c r="EO515" s="1751"/>
      <c r="EP515" s="1752"/>
      <c r="ER515" s="1750">
        <f t="shared" si="153"/>
        <v>0</v>
      </c>
      <c r="ES515" s="1751"/>
      <c r="ET515" s="1751"/>
      <c r="EU515" s="1751"/>
      <c r="EV515" s="1752"/>
      <c r="EX515" s="1750">
        <f>IF(BE515&gt;0,Einstrahlung!$K$28*Kalkulation!$P$62/100*$AY$29*POWER((100-$P$64)/100,BD515-1),0)</f>
        <v>0</v>
      </c>
      <c r="EY515" s="1751"/>
      <c r="EZ515" s="1751"/>
      <c r="FA515" s="1751"/>
      <c r="FB515" s="1752"/>
      <c r="FD515" s="1750">
        <f t="shared" si="161"/>
        <v>0</v>
      </c>
      <c r="FE515" s="1751"/>
      <c r="FF515" s="1751"/>
      <c r="FG515" s="1751"/>
      <c r="FH515" s="1752"/>
      <c r="FI515" s="385"/>
      <c r="FJ515" s="380">
        <f t="shared" si="173"/>
        <v>0</v>
      </c>
      <c r="FK515" s="385"/>
      <c r="FL515" s="380">
        <f t="shared" si="199"/>
        <v>0</v>
      </c>
      <c r="FM515" s="385"/>
      <c r="FN515" s="380">
        <f t="shared" si="162"/>
        <v>0</v>
      </c>
      <c r="FO515" s="962">
        <f t="shared" si="167"/>
        <v>307</v>
      </c>
      <c r="FP515" s="956">
        <f t="shared" si="154"/>
        <v>0.4</v>
      </c>
      <c r="FQ515" s="380">
        <f t="shared" si="178"/>
        <v>0</v>
      </c>
      <c r="FR515" s="626">
        <f t="shared" si="200"/>
        <v>1</v>
      </c>
      <c r="FT515" s="1819">
        <f t="shared" si="168"/>
        <v>0</v>
      </c>
      <c r="FU515" s="1820"/>
      <c r="FV515" s="1820"/>
      <c r="FW515" s="1820"/>
      <c r="FX515" s="1821"/>
      <c r="FY515" s="1819">
        <f t="shared" si="163"/>
        <v>0</v>
      </c>
      <c r="FZ515" s="1820"/>
      <c r="GA515" s="1820"/>
      <c r="GB515" s="1821"/>
      <c r="GC515" s="1825">
        <f t="shared" si="182"/>
        <v>0</v>
      </c>
      <c r="GD515" s="1826"/>
      <c r="GE515" s="1826"/>
      <c r="GF515" s="1827"/>
      <c r="GH515" s="1750">
        <f t="shared" si="164"/>
        <v>0</v>
      </c>
      <c r="GI515" s="1751"/>
      <c r="GJ515" s="1751"/>
      <c r="GK515" s="1752"/>
      <c r="GL515" s="1750">
        <f t="shared" si="165"/>
        <v>0</v>
      </c>
      <c r="GM515" s="1751"/>
      <c r="GN515" s="1751"/>
      <c r="GO515" s="1752"/>
      <c r="GP515" s="385"/>
      <c r="GQ515" s="1750">
        <f t="shared" si="166"/>
        <v>0</v>
      </c>
      <c r="GR515" s="1751"/>
      <c r="GS515" s="1751"/>
      <c r="GT515" s="1752"/>
      <c r="GU515" s="192">
        <f t="shared" si="176"/>
        <v>1</v>
      </c>
      <c r="GV515" s="192">
        <f>SUM($GU$337:GU515)</f>
        <v>171</v>
      </c>
      <c r="GW515" s="318"/>
      <c r="HJ515" s="380">
        <f t="shared" si="195"/>
        <v>0</v>
      </c>
      <c r="HX515" s="380"/>
    </row>
    <row r="516" spans="4:232">
      <c r="D516" s="313"/>
      <c r="E516" s="247"/>
      <c r="F516" s="247"/>
      <c r="G516" s="247"/>
      <c r="H516" s="247"/>
      <c r="I516" s="247"/>
      <c r="J516" s="428">
        <f>'Endfälliges Darlehen'!AV31</f>
        <v>0</v>
      </c>
      <c r="K516" s="429"/>
      <c r="L516" s="429"/>
      <c r="M516" s="429"/>
      <c r="N516" s="429"/>
      <c r="O516" s="430"/>
      <c r="P516" s="436"/>
      <c r="S516" s="435" t="str">
        <f>IF(X94=0,"",""&amp;X94&amp;" tilgungsfreie J.;")</f>
        <v/>
      </c>
      <c r="BD516" s="387">
        <f t="shared" si="196"/>
        <v>14</v>
      </c>
      <c r="BE516" s="382">
        <f>IF(BD516&gt;0,179,0)</f>
        <v>179</v>
      </c>
      <c r="BG516" s="383">
        <f>IF($BE516&gt;$R$66-3+($BR$335*12),179,0)</f>
        <v>179</v>
      </c>
      <c r="BH516" s="1754">
        <f t="shared" si="197"/>
        <v>0</v>
      </c>
      <c r="BI516" s="1754"/>
      <c r="BJ516" s="1754"/>
      <c r="BK516" s="1754"/>
      <c r="BL516" s="1754">
        <f t="shared" si="155"/>
        <v>0</v>
      </c>
      <c r="BM516" s="1754"/>
      <c r="BN516" s="1754"/>
      <c r="BO516" s="1754">
        <f t="shared" si="146"/>
        <v>0</v>
      </c>
      <c r="BP516" s="1754"/>
      <c r="BQ516" s="1754"/>
      <c r="BR516" s="1754">
        <f t="shared" si="198"/>
        <v>0</v>
      </c>
      <c r="BS516" s="1754"/>
      <c r="BT516" s="1754"/>
      <c r="BU516" s="1754"/>
      <c r="BW516" s="383">
        <f>IF($BE516&gt;$R$66-3+($CH$335*12),179,0)</f>
        <v>179</v>
      </c>
      <c r="BX516" s="1754">
        <f t="shared" si="137"/>
        <v>0</v>
      </c>
      <c r="BY516" s="1754"/>
      <c r="BZ516" s="1754"/>
      <c r="CA516" s="1754"/>
      <c r="CB516" s="1754">
        <f t="shared" si="156"/>
        <v>0</v>
      </c>
      <c r="CC516" s="1754"/>
      <c r="CD516" s="1754"/>
      <c r="CE516" s="1754">
        <f t="shared" si="147"/>
        <v>0</v>
      </c>
      <c r="CF516" s="1754"/>
      <c r="CG516" s="1754"/>
      <c r="CH516" s="1754">
        <f t="shared" si="148"/>
        <v>0</v>
      </c>
      <c r="CI516" s="1754"/>
      <c r="CJ516" s="1754"/>
      <c r="CK516" s="1754"/>
      <c r="CM516" s="383">
        <f>IF($BE516&gt;$R$66-3+($CX$335*12),179,0)</f>
        <v>179</v>
      </c>
      <c r="CN516" s="1754">
        <f t="shared" si="138"/>
        <v>0</v>
      </c>
      <c r="CO516" s="1754"/>
      <c r="CP516" s="1754"/>
      <c r="CQ516" s="1754"/>
      <c r="CR516" s="1754">
        <f t="shared" si="157"/>
        <v>0</v>
      </c>
      <c r="CS516" s="1754"/>
      <c r="CT516" s="1754"/>
      <c r="CU516" s="1754">
        <f t="shared" si="149"/>
        <v>0</v>
      </c>
      <c r="CV516" s="1754"/>
      <c r="CW516" s="1754"/>
      <c r="CX516" s="1754">
        <f t="shared" si="150"/>
        <v>0</v>
      </c>
      <c r="CY516" s="1754"/>
      <c r="CZ516" s="1754"/>
      <c r="DA516" s="1754"/>
      <c r="DC516" s="383">
        <f>IF($BE516&gt;$R$66-3,179,0)</f>
        <v>179</v>
      </c>
      <c r="DD516" s="1754">
        <f t="shared" si="139"/>
        <v>0</v>
      </c>
      <c r="DE516" s="1754"/>
      <c r="DF516" s="1754"/>
      <c r="DG516" s="1754"/>
      <c r="DH516" s="1754">
        <f t="shared" si="158"/>
        <v>0</v>
      </c>
      <c r="DI516" s="1754"/>
      <c r="DJ516" s="1754"/>
      <c r="DK516" s="1754">
        <f t="shared" si="151"/>
        <v>0</v>
      </c>
      <c r="DL516" s="1754"/>
      <c r="DM516" s="1754"/>
      <c r="DN516" s="1754"/>
      <c r="DP516" s="383">
        <f t="shared" si="159"/>
        <v>179</v>
      </c>
      <c r="DQ516" s="1754">
        <f t="shared" si="160"/>
        <v>0</v>
      </c>
      <c r="DR516" s="1754"/>
      <c r="DS516" s="1754"/>
      <c r="DT516" s="1754"/>
      <c r="DU516" s="1754">
        <f t="shared" si="177"/>
        <v>0</v>
      </c>
      <c r="DV516" s="1754"/>
      <c r="DW516" s="1754"/>
      <c r="DX516" s="1754">
        <f t="shared" si="179"/>
        <v>0</v>
      </c>
      <c r="DY516" s="1754"/>
      <c r="DZ516" s="1754"/>
      <c r="EA516" s="1754">
        <f t="shared" si="180"/>
        <v>0</v>
      </c>
      <c r="EB516" s="1754"/>
      <c r="EC516" s="1754"/>
      <c r="ED516" s="1754"/>
      <c r="EE516" s="384"/>
      <c r="EF516" s="1750">
        <f t="shared" si="152"/>
        <v>0</v>
      </c>
      <c r="EG516" s="1751"/>
      <c r="EH516" s="1751"/>
      <c r="EI516" s="1751"/>
      <c r="EJ516" s="1752"/>
      <c r="EL516" s="1750">
        <f t="shared" si="181"/>
        <v>0</v>
      </c>
      <c r="EM516" s="1751"/>
      <c r="EN516" s="1751"/>
      <c r="EO516" s="1751"/>
      <c r="EP516" s="1752"/>
      <c r="ER516" s="1750">
        <f t="shared" si="153"/>
        <v>0</v>
      </c>
      <c r="ES516" s="1751"/>
      <c r="ET516" s="1751"/>
      <c r="EU516" s="1751"/>
      <c r="EV516" s="1752"/>
      <c r="EX516" s="1750">
        <f>IF(BE516&gt;0,Einstrahlung!$K$30*Kalkulation!$P$62/100*$AY$29*POWER((100-$P$64)/100,BD516-1),0)</f>
        <v>0</v>
      </c>
      <c r="EY516" s="1751"/>
      <c r="EZ516" s="1751"/>
      <c r="FA516" s="1751"/>
      <c r="FB516" s="1752"/>
      <c r="FD516" s="1750">
        <f t="shared" si="161"/>
        <v>0</v>
      </c>
      <c r="FE516" s="1751"/>
      <c r="FF516" s="1751"/>
      <c r="FG516" s="1751"/>
      <c r="FH516" s="1752"/>
      <c r="FI516" s="385"/>
      <c r="FJ516" s="380">
        <f t="shared" si="173"/>
        <v>0</v>
      </c>
      <c r="FK516" s="385"/>
      <c r="FL516" s="380">
        <f t="shared" si="199"/>
        <v>0</v>
      </c>
      <c r="FM516" s="385"/>
      <c r="FN516" s="380">
        <f t="shared" si="162"/>
        <v>0</v>
      </c>
      <c r="FO516" s="962">
        <f t="shared" si="167"/>
        <v>308</v>
      </c>
      <c r="FP516" s="956">
        <f t="shared" si="154"/>
        <v>0.4</v>
      </c>
      <c r="FQ516" s="380">
        <f t="shared" si="178"/>
        <v>0</v>
      </c>
      <c r="FR516" s="626">
        <f t="shared" si="200"/>
        <v>1</v>
      </c>
      <c r="FT516" s="1819">
        <f t="shared" si="168"/>
        <v>0</v>
      </c>
      <c r="FU516" s="1820"/>
      <c r="FV516" s="1820"/>
      <c r="FW516" s="1820"/>
      <c r="FX516" s="1821"/>
      <c r="FY516" s="1819">
        <f t="shared" si="163"/>
        <v>0</v>
      </c>
      <c r="FZ516" s="1820"/>
      <c r="GA516" s="1820"/>
      <c r="GB516" s="1821"/>
      <c r="GC516" s="1825">
        <f t="shared" si="182"/>
        <v>0</v>
      </c>
      <c r="GD516" s="1826"/>
      <c r="GE516" s="1826"/>
      <c r="GF516" s="1827"/>
      <c r="GH516" s="1750">
        <f t="shared" si="164"/>
        <v>0</v>
      </c>
      <c r="GI516" s="1751"/>
      <c r="GJ516" s="1751"/>
      <c r="GK516" s="1752"/>
      <c r="GL516" s="1750">
        <f t="shared" si="165"/>
        <v>0</v>
      </c>
      <c r="GM516" s="1751"/>
      <c r="GN516" s="1751"/>
      <c r="GO516" s="1752"/>
      <c r="GP516" s="385"/>
      <c r="GQ516" s="1750">
        <f t="shared" si="166"/>
        <v>0</v>
      </c>
      <c r="GR516" s="1751"/>
      <c r="GS516" s="1751"/>
      <c r="GT516" s="1752"/>
      <c r="GU516" s="192">
        <f t="shared" si="176"/>
        <v>1</v>
      </c>
      <c r="GV516" s="192">
        <f>SUM($GU$337:GU516)</f>
        <v>172</v>
      </c>
      <c r="GW516" s="318"/>
      <c r="HJ516" s="380">
        <f t="shared" si="195"/>
        <v>0</v>
      </c>
      <c r="HX516" s="380"/>
    </row>
    <row r="517" spans="4:232" ht="13.5" thickBot="1">
      <c r="D517" s="409">
        <v>11</v>
      </c>
      <c r="E517" s="318"/>
      <c r="F517" s="428">
        <f>BR481</f>
        <v>0</v>
      </c>
      <c r="G517" s="428">
        <f>CH481</f>
        <v>0</v>
      </c>
      <c r="H517" s="428">
        <f>CX481</f>
        <v>0</v>
      </c>
      <c r="I517" s="247"/>
      <c r="J517" s="247"/>
      <c r="K517" s="429">
        <f>IF(AND(F517&gt;0,F520=0),$D517,0)</f>
        <v>0</v>
      </c>
      <c r="L517" s="429">
        <f>IF(AND(G517&gt;0,G520=0),$D517,0)</f>
        <v>0</v>
      </c>
      <c r="N517" s="429">
        <f>IF(AND(H517&gt;0,H520=0),$D517,0)</f>
        <v>0</v>
      </c>
      <c r="O517" s="430"/>
      <c r="P517" s="436"/>
      <c r="S517" s="435" t="str">
        <f>"Das Darl. läuft nach rd. "&amp;L481&amp;" Jahren aus."</f>
        <v>Das Darl. läuft nach rd. 0 Jahren aus.</v>
      </c>
      <c r="BD517" s="389">
        <f t="shared" si="196"/>
        <v>14</v>
      </c>
      <c r="BE517" s="390">
        <f>IF(BD517&gt;0,180,0)</f>
        <v>180</v>
      </c>
      <c r="BG517" s="391">
        <f>IF($BE517&gt;$R$66-3+($BR$335*12),180,0)</f>
        <v>180</v>
      </c>
      <c r="BH517" s="1753">
        <f t="shared" si="197"/>
        <v>0</v>
      </c>
      <c r="BI517" s="1753"/>
      <c r="BJ517" s="1753"/>
      <c r="BK517" s="1753"/>
      <c r="BL517" s="1753">
        <f t="shared" si="155"/>
        <v>0</v>
      </c>
      <c r="BM517" s="1753"/>
      <c r="BN517" s="1753"/>
      <c r="BO517" s="1753">
        <f t="shared" si="146"/>
        <v>0</v>
      </c>
      <c r="BP517" s="1753"/>
      <c r="BQ517" s="1753"/>
      <c r="BR517" s="1753">
        <f t="shared" si="198"/>
        <v>0</v>
      </c>
      <c r="BS517" s="1753"/>
      <c r="BT517" s="1753"/>
      <c r="BU517" s="1753"/>
      <c r="BW517" s="391">
        <f>IF($BE517&gt;$R$66-3+($CH$335*12),180,0)</f>
        <v>180</v>
      </c>
      <c r="BX517" s="1753">
        <f t="shared" si="137"/>
        <v>0</v>
      </c>
      <c r="BY517" s="1753"/>
      <c r="BZ517" s="1753"/>
      <c r="CA517" s="1753"/>
      <c r="CB517" s="1753">
        <f t="shared" si="156"/>
        <v>0</v>
      </c>
      <c r="CC517" s="1753"/>
      <c r="CD517" s="1753"/>
      <c r="CE517" s="1753">
        <f t="shared" si="147"/>
        <v>0</v>
      </c>
      <c r="CF517" s="1753"/>
      <c r="CG517" s="1753"/>
      <c r="CH517" s="1753">
        <f t="shared" si="148"/>
        <v>0</v>
      </c>
      <c r="CI517" s="1753"/>
      <c r="CJ517" s="1753"/>
      <c r="CK517" s="1753"/>
      <c r="CM517" s="391">
        <f>IF($BE517&gt;$R$66-3+($CX$335*12),180,0)</f>
        <v>180</v>
      </c>
      <c r="CN517" s="1753">
        <f t="shared" si="138"/>
        <v>0</v>
      </c>
      <c r="CO517" s="1753"/>
      <c r="CP517" s="1753"/>
      <c r="CQ517" s="1753"/>
      <c r="CR517" s="1753">
        <f t="shared" si="157"/>
        <v>0</v>
      </c>
      <c r="CS517" s="1753"/>
      <c r="CT517" s="1753"/>
      <c r="CU517" s="1753">
        <f t="shared" si="149"/>
        <v>0</v>
      </c>
      <c r="CV517" s="1753"/>
      <c r="CW517" s="1753"/>
      <c r="CX517" s="1753">
        <f t="shared" si="150"/>
        <v>0</v>
      </c>
      <c r="CY517" s="1753"/>
      <c r="CZ517" s="1753"/>
      <c r="DA517" s="1753"/>
      <c r="DC517" s="391">
        <f>IF($BE517&gt;$R$66-3,180,0)</f>
        <v>180</v>
      </c>
      <c r="DD517" s="1753">
        <f t="shared" si="139"/>
        <v>0</v>
      </c>
      <c r="DE517" s="1753"/>
      <c r="DF517" s="1753"/>
      <c r="DG517" s="1753"/>
      <c r="DH517" s="1753">
        <f t="shared" si="158"/>
        <v>0</v>
      </c>
      <c r="DI517" s="1753"/>
      <c r="DJ517" s="1753"/>
      <c r="DK517" s="1753">
        <f t="shared" si="151"/>
        <v>0</v>
      </c>
      <c r="DL517" s="1753"/>
      <c r="DM517" s="1753"/>
      <c r="DN517" s="1753"/>
      <c r="DP517" s="391">
        <f t="shared" si="159"/>
        <v>180</v>
      </c>
      <c r="DQ517" s="1753">
        <f t="shared" si="160"/>
        <v>0</v>
      </c>
      <c r="DR517" s="1753"/>
      <c r="DS517" s="1753"/>
      <c r="DT517" s="1753"/>
      <c r="DU517" s="1753">
        <f t="shared" si="177"/>
        <v>0</v>
      </c>
      <c r="DV517" s="1753"/>
      <c r="DW517" s="1753"/>
      <c r="DX517" s="1753">
        <f t="shared" si="179"/>
        <v>0</v>
      </c>
      <c r="DY517" s="1753"/>
      <c r="DZ517" s="1753"/>
      <c r="EA517" s="1753">
        <f t="shared" si="180"/>
        <v>0</v>
      </c>
      <c r="EB517" s="1753"/>
      <c r="EC517" s="1753"/>
      <c r="ED517" s="1753"/>
      <c r="EE517" s="384"/>
      <c r="EF517" s="1744">
        <f t="shared" si="152"/>
        <v>0</v>
      </c>
      <c r="EG517" s="1745"/>
      <c r="EH517" s="1745"/>
      <c r="EI517" s="1745"/>
      <c r="EJ517" s="1746"/>
      <c r="EL517" s="1744">
        <f t="shared" si="181"/>
        <v>0</v>
      </c>
      <c r="EM517" s="1745"/>
      <c r="EN517" s="1745"/>
      <c r="EO517" s="1745"/>
      <c r="EP517" s="1746"/>
      <c r="ER517" s="1744">
        <f t="shared" si="153"/>
        <v>0</v>
      </c>
      <c r="ES517" s="1745"/>
      <c r="ET517" s="1745"/>
      <c r="EU517" s="1745"/>
      <c r="EV517" s="1746"/>
      <c r="EX517" s="1744">
        <f>IF(BE517&gt;0,Einstrahlung!$K$32*Kalkulation!$P$62/100*$AY$29*POWER((100-$P$64)/100,BD517-1),0)</f>
        <v>0</v>
      </c>
      <c r="EY517" s="1745"/>
      <c r="EZ517" s="1745"/>
      <c r="FA517" s="1745"/>
      <c r="FB517" s="1746"/>
      <c r="FD517" s="1744">
        <f t="shared" si="161"/>
        <v>0</v>
      </c>
      <c r="FE517" s="1745"/>
      <c r="FF517" s="1745"/>
      <c r="FG517" s="1745"/>
      <c r="FH517" s="1746"/>
      <c r="FI517" s="385"/>
      <c r="FJ517" s="453">
        <f t="shared" si="173"/>
        <v>0</v>
      </c>
      <c r="FK517" s="385"/>
      <c r="FL517" s="453">
        <f t="shared" si="199"/>
        <v>0</v>
      </c>
      <c r="FM517" s="385"/>
      <c r="FN517" s="453">
        <f t="shared" si="162"/>
        <v>0</v>
      </c>
      <c r="FO517" s="962">
        <f t="shared" si="167"/>
        <v>309</v>
      </c>
      <c r="FP517" s="956">
        <f t="shared" si="154"/>
        <v>0.4</v>
      </c>
      <c r="FQ517" s="453">
        <f t="shared" si="178"/>
        <v>0</v>
      </c>
      <c r="FR517" s="957">
        <f>POWER(1+$FQ$333,FS517)</f>
        <v>1</v>
      </c>
      <c r="FS517" s="617">
        <f>FS505+1</f>
        <v>14</v>
      </c>
      <c r="FT517" s="1822">
        <f t="shared" si="168"/>
        <v>0</v>
      </c>
      <c r="FU517" s="1823"/>
      <c r="FV517" s="1823"/>
      <c r="FW517" s="1823"/>
      <c r="FX517" s="1824"/>
      <c r="FY517" s="1822">
        <f t="shared" si="163"/>
        <v>0</v>
      </c>
      <c r="FZ517" s="1823"/>
      <c r="GA517" s="1823"/>
      <c r="GB517" s="1824"/>
      <c r="GC517" s="1831">
        <f t="shared" si="182"/>
        <v>0</v>
      </c>
      <c r="GD517" s="1832"/>
      <c r="GE517" s="1832"/>
      <c r="GF517" s="1833"/>
      <c r="GH517" s="1744">
        <f t="shared" si="164"/>
        <v>0</v>
      </c>
      <c r="GI517" s="1745"/>
      <c r="GJ517" s="1745"/>
      <c r="GK517" s="1746"/>
      <c r="GL517" s="1744">
        <f t="shared" si="165"/>
        <v>0</v>
      </c>
      <c r="GM517" s="1745"/>
      <c r="GN517" s="1745"/>
      <c r="GO517" s="1746"/>
      <c r="GP517" s="385"/>
      <c r="GQ517" s="1744">
        <f t="shared" si="166"/>
        <v>0</v>
      </c>
      <c r="GR517" s="1745"/>
      <c r="GS517" s="1745"/>
      <c r="GT517" s="1746"/>
      <c r="GU517" s="192">
        <f t="shared" si="176"/>
        <v>1</v>
      </c>
      <c r="GV517" s="192">
        <f>SUM($GU$337:GU517)</f>
        <v>173</v>
      </c>
      <c r="GW517" s="318"/>
      <c r="HK517" s="380">
        <f t="shared" ref="HK517:HK528" si="201">IF(GV517=180,SUM(GQ506:GT517),0)</f>
        <v>0</v>
      </c>
      <c r="HX517" s="380"/>
    </row>
    <row r="518" spans="4:232">
      <c r="D518" s="313"/>
      <c r="E518" s="247"/>
      <c r="F518" s="247"/>
      <c r="G518" s="247"/>
      <c r="H518" s="247"/>
      <c r="I518" s="428">
        <f>'Endfälliges Darlehen'!AG33</f>
        <v>0</v>
      </c>
      <c r="J518" s="247"/>
      <c r="K518" s="429"/>
      <c r="L518" s="429"/>
      <c r="M518" s="429"/>
      <c r="N518" s="429"/>
      <c r="O518" s="430">
        <f>IF(AND(I518&gt;0,I521=0),$D517,0)</f>
        <v>0</v>
      </c>
      <c r="P518" s="436"/>
      <c r="R518" s="434" t="str">
        <f>"  "&amp;F94&amp;" läuft länger als "&amp;V21&amp;" Jahre !!! Bitte prüfen !!! Ggf. Tilgung oder Annuität entsprechend anpassen !!!"</f>
        <v xml:space="preserve">  Darlehen 2 läuft länger als 20 Jahre !!! Bitte prüfen !!! Ggf. Tilgung oder Annuität entsprechend anpassen !!!</v>
      </c>
      <c r="BD518" s="381">
        <f t="shared" ref="BD518:BD529" si="202">IF(BH518&lt;0,0,IF($V$21&gt;0,15,0))</f>
        <v>15</v>
      </c>
      <c r="BE518" s="382">
        <f>IF(BD518&gt;0,181,0)</f>
        <v>181</v>
      </c>
      <c r="BG518" s="395">
        <f>IF($BE518&gt;$R$66-3+($BR$335*12),181,0)</f>
        <v>181</v>
      </c>
      <c r="BH518" s="1754">
        <f t="shared" ref="BH518:BH529" si="203">IF(BR517&lt;=0,0,BR517)</f>
        <v>0</v>
      </c>
      <c r="BI518" s="1754"/>
      <c r="BJ518" s="1754"/>
      <c r="BK518" s="1754"/>
      <c r="BL518" s="1754">
        <f t="shared" si="155"/>
        <v>0</v>
      </c>
      <c r="BM518" s="1754"/>
      <c r="BN518" s="1754"/>
      <c r="BO518" s="1754">
        <f t="shared" si="146"/>
        <v>0</v>
      </c>
      <c r="BP518" s="1754"/>
      <c r="BQ518" s="1754"/>
      <c r="BR518" s="1754">
        <f t="shared" ref="BR518:BR529" si="204">BH518-BL518</f>
        <v>0</v>
      </c>
      <c r="BS518" s="1754"/>
      <c r="BT518" s="1754"/>
      <c r="BU518" s="1754"/>
      <c r="BW518" s="395">
        <f>IF($BE518&gt;$R$66-3+($CH$335*12),181,0)</f>
        <v>181</v>
      </c>
      <c r="BX518" s="1754">
        <f t="shared" ref="BX518:BX581" si="205">IF(CH517&lt;=0,0,CH517)</f>
        <v>0</v>
      </c>
      <c r="BY518" s="1754"/>
      <c r="BZ518" s="1754"/>
      <c r="CA518" s="1754"/>
      <c r="CB518" s="1754">
        <f t="shared" si="156"/>
        <v>0</v>
      </c>
      <c r="CC518" s="1754"/>
      <c r="CD518" s="1754"/>
      <c r="CE518" s="1754">
        <f t="shared" si="147"/>
        <v>0</v>
      </c>
      <c r="CF518" s="1754"/>
      <c r="CG518" s="1754"/>
      <c r="CH518" s="1754">
        <f t="shared" si="148"/>
        <v>0</v>
      </c>
      <c r="CI518" s="1754"/>
      <c r="CJ518" s="1754"/>
      <c r="CK518" s="1754"/>
      <c r="CM518" s="395">
        <f>IF($BE518&gt;$R$66-3+($CX$335*12),181,0)</f>
        <v>181</v>
      </c>
      <c r="CN518" s="1754">
        <f t="shared" ref="CN518:CN581" si="206">IF(CX517&lt;=0,0,CX517)</f>
        <v>0</v>
      </c>
      <c r="CO518" s="1754"/>
      <c r="CP518" s="1754"/>
      <c r="CQ518" s="1754"/>
      <c r="CR518" s="1754">
        <f t="shared" si="157"/>
        <v>0</v>
      </c>
      <c r="CS518" s="1754"/>
      <c r="CT518" s="1754"/>
      <c r="CU518" s="1754">
        <f t="shared" si="149"/>
        <v>0</v>
      </c>
      <c r="CV518" s="1754"/>
      <c r="CW518" s="1754"/>
      <c r="CX518" s="1754">
        <f t="shared" si="150"/>
        <v>0</v>
      </c>
      <c r="CY518" s="1754"/>
      <c r="CZ518" s="1754"/>
      <c r="DA518" s="1754"/>
      <c r="DC518" s="395">
        <f>IF($BE518&gt;$R$66-3,181,0)</f>
        <v>181</v>
      </c>
      <c r="DD518" s="1754">
        <f t="shared" ref="DD518:DD581" si="207">IF(DK517&lt;=0,0,DK517)</f>
        <v>0</v>
      </c>
      <c r="DE518" s="1754"/>
      <c r="DF518" s="1754"/>
      <c r="DG518" s="1754"/>
      <c r="DH518" s="1754">
        <f t="shared" si="158"/>
        <v>0</v>
      </c>
      <c r="DI518" s="1754"/>
      <c r="DJ518" s="1754"/>
      <c r="DK518" s="1754">
        <f t="shared" si="151"/>
        <v>0</v>
      </c>
      <c r="DL518" s="1754"/>
      <c r="DM518" s="1754"/>
      <c r="DN518" s="1754"/>
      <c r="DP518" s="395">
        <f t="shared" si="159"/>
        <v>181</v>
      </c>
      <c r="DQ518" s="1754">
        <f t="shared" ref="DQ518:DQ534" si="208">IF(DD518=0,0,IF(EA517&lt;=0,0,EA517))</f>
        <v>0</v>
      </c>
      <c r="DR518" s="1754"/>
      <c r="DS518" s="1754"/>
      <c r="DT518" s="1754"/>
      <c r="DU518" s="1754">
        <f t="shared" si="177"/>
        <v>0</v>
      </c>
      <c r="DV518" s="1754"/>
      <c r="DW518" s="1754"/>
      <c r="DX518" s="1754">
        <f t="shared" si="179"/>
        <v>0</v>
      </c>
      <c r="DY518" s="1754"/>
      <c r="DZ518" s="1754"/>
      <c r="EA518" s="1754">
        <f t="shared" si="180"/>
        <v>0</v>
      </c>
      <c r="EB518" s="1754"/>
      <c r="EC518" s="1754"/>
      <c r="ED518" s="1754"/>
      <c r="EE518" s="384"/>
      <c r="EF518" s="1750">
        <f t="shared" si="152"/>
        <v>0</v>
      </c>
      <c r="EG518" s="1751"/>
      <c r="EH518" s="1751"/>
      <c r="EI518" s="1751"/>
      <c r="EJ518" s="1752"/>
      <c r="EL518" s="1750">
        <f t="shared" si="181"/>
        <v>0</v>
      </c>
      <c r="EM518" s="1751"/>
      <c r="EN518" s="1751"/>
      <c r="EO518" s="1751"/>
      <c r="EP518" s="1752"/>
      <c r="ER518" s="1750">
        <f t="shared" si="153"/>
        <v>0</v>
      </c>
      <c r="ES518" s="1751"/>
      <c r="ET518" s="1751"/>
      <c r="EU518" s="1751"/>
      <c r="EV518" s="1752"/>
      <c r="EX518" s="1750">
        <f>IF(BE518&gt;0,Einstrahlung!$K$10*Kalkulation!$P$62/100*$AY$29*POWER((100-$P$64)/100,BD518-1),0)</f>
        <v>0</v>
      </c>
      <c r="EY518" s="1751"/>
      <c r="EZ518" s="1751"/>
      <c r="FA518" s="1751"/>
      <c r="FB518" s="1752"/>
      <c r="FD518" s="1750">
        <f t="shared" si="161"/>
        <v>0</v>
      </c>
      <c r="FE518" s="1751"/>
      <c r="FF518" s="1751"/>
      <c r="FG518" s="1751"/>
      <c r="FH518" s="1752"/>
      <c r="FI518" s="385"/>
      <c r="FJ518" s="380">
        <f t="shared" si="173"/>
        <v>0</v>
      </c>
      <c r="FK518" s="385"/>
      <c r="FL518" s="380">
        <f>IF(BE518&gt;0,IF($FL$336&gt;SUM($EX$518:$FB$529),SUM($EX$518:$FB$529)/12,$FL$336/12),0)</f>
        <v>0</v>
      </c>
      <c r="FM518" s="385"/>
      <c r="FN518" s="380">
        <f t="shared" si="162"/>
        <v>0</v>
      </c>
      <c r="FO518" s="962">
        <f t="shared" si="167"/>
        <v>310</v>
      </c>
      <c r="FP518" s="956">
        <f t="shared" si="154"/>
        <v>0.4</v>
      </c>
      <c r="FQ518" s="380">
        <f t="shared" si="178"/>
        <v>0</v>
      </c>
      <c r="FR518" s="626">
        <f>IF(AND(GV518&gt;168,GV518&lt;=180),$FR$517,IF(AND(GV518&gt;180,GV518&lt;=192),$FR$529,0))</f>
        <v>1</v>
      </c>
      <c r="FT518" s="1819">
        <f t="shared" si="168"/>
        <v>0</v>
      </c>
      <c r="FU518" s="1820"/>
      <c r="FV518" s="1820"/>
      <c r="FW518" s="1820"/>
      <c r="FX518" s="1821"/>
      <c r="FY518" s="1819">
        <f t="shared" si="163"/>
        <v>0</v>
      </c>
      <c r="FZ518" s="1820"/>
      <c r="GA518" s="1820"/>
      <c r="GB518" s="1821"/>
      <c r="GC518" s="1825">
        <f t="shared" si="182"/>
        <v>0</v>
      </c>
      <c r="GD518" s="1826"/>
      <c r="GE518" s="1826"/>
      <c r="GF518" s="1827"/>
      <c r="GH518" s="1750">
        <f t="shared" si="164"/>
        <v>0</v>
      </c>
      <c r="GI518" s="1751"/>
      <c r="GJ518" s="1751"/>
      <c r="GK518" s="1751"/>
      <c r="GL518" s="1750">
        <f t="shared" si="165"/>
        <v>0</v>
      </c>
      <c r="GM518" s="1751"/>
      <c r="GN518" s="1751"/>
      <c r="GO518" s="1752"/>
      <c r="GP518" s="385"/>
      <c r="GQ518" s="1865">
        <f t="shared" si="166"/>
        <v>0</v>
      </c>
      <c r="GR518" s="1866"/>
      <c r="GS518" s="1866"/>
      <c r="GT518" s="1867"/>
      <c r="GU518" s="192">
        <f t="shared" si="176"/>
        <v>1</v>
      </c>
      <c r="GV518" s="192">
        <f>SUM($GU$337:GU518)</f>
        <v>174</v>
      </c>
      <c r="GW518" s="318"/>
      <c r="HK518" s="380">
        <f t="shared" si="201"/>
        <v>0</v>
      </c>
      <c r="HX518" s="380"/>
    </row>
    <row r="519" spans="4:232">
      <c r="D519" s="313"/>
      <c r="E519" s="247"/>
      <c r="F519" s="247"/>
      <c r="G519" s="247"/>
      <c r="H519" s="247"/>
      <c r="I519" s="247"/>
      <c r="J519" s="428">
        <f>'Endfälliges Darlehen'!AV33</f>
        <v>0</v>
      </c>
      <c r="K519" s="429"/>
      <c r="L519" s="429"/>
      <c r="M519" s="429"/>
      <c r="N519" s="429"/>
      <c r="O519" s="430"/>
      <c r="P519" s="436"/>
      <c r="Q519" s="433" t="str">
        <f>IF(Q477&lt;1,"",IF(X477&gt;0,R528,R520))</f>
        <v/>
      </c>
      <c r="BD519" s="387">
        <f t="shared" si="202"/>
        <v>15</v>
      </c>
      <c r="BE519" s="382">
        <f>IF(BD519&gt;0,182,0)</f>
        <v>182</v>
      </c>
      <c r="BG519" s="383">
        <f>IF($BE519&gt;$R$66-3+($BR$335*12),182,0)</f>
        <v>182</v>
      </c>
      <c r="BH519" s="1754">
        <f t="shared" si="203"/>
        <v>0</v>
      </c>
      <c r="BI519" s="1754"/>
      <c r="BJ519" s="1754"/>
      <c r="BK519" s="1754"/>
      <c r="BL519" s="1754">
        <f t="shared" si="155"/>
        <v>0</v>
      </c>
      <c r="BM519" s="1754"/>
      <c r="BN519" s="1754"/>
      <c r="BO519" s="1754">
        <f t="shared" si="146"/>
        <v>0</v>
      </c>
      <c r="BP519" s="1754"/>
      <c r="BQ519" s="1754"/>
      <c r="BR519" s="1754">
        <f t="shared" si="204"/>
        <v>0</v>
      </c>
      <c r="BS519" s="1754"/>
      <c r="BT519" s="1754"/>
      <c r="BU519" s="1754"/>
      <c r="BW519" s="383">
        <f>IF($BE519&gt;$R$66-3+($CH$335*12),182,0)</f>
        <v>182</v>
      </c>
      <c r="BX519" s="1754">
        <f t="shared" si="205"/>
        <v>0</v>
      </c>
      <c r="BY519" s="1754"/>
      <c r="BZ519" s="1754"/>
      <c r="CA519" s="1754"/>
      <c r="CB519" s="1754">
        <f t="shared" si="156"/>
        <v>0</v>
      </c>
      <c r="CC519" s="1754"/>
      <c r="CD519" s="1754"/>
      <c r="CE519" s="1754">
        <f t="shared" si="147"/>
        <v>0</v>
      </c>
      <c r="CF519" s="1754"/>
      <c r="CG519" s="1754"/>
      <c r="CH519" s="1754">
        <f t="shared" si="148"/>
        <v>0</v>
      </c>
      <c r="CI519" s="1754"/>
      <c r="CJ519" s="1754"/>
      <c r="CK519" s="1754"/>
      <c r="CM519" s="383">
        <f>IF($BE519&gt;$R$66-3+($CX$335*12),182,0)</f>
        <v>182</v>
      </c>
      <c r="CN519" s="1754">
        <f t="shared" si="206"/>
        <v>0</v>
      </c>
      <c r="CO519" s="1754"/>
      <c r="CP519" s="1754"/>
      <c r="CQ519" s="1754"/>
      <c r="CR519" s="1754">
        <f t="shared" si="157"/>
        <v>0</v>
      </c>
      <c r="CS519" s="1754"/>
      <c r="CT519" s="1754"/>
      <c r="CU519" s="1754">
        <f t="shared" si="149"/>
        <v>0</v>
      </c>
      <c r="CV519" s="1754"/>
      <c r="CW519" s="1754"/>
      <c r="CX519" s="1754">
        <f t="shared" si="150"/>
        <v>0</v>
      </c>
      <c r="CY519" s="1754"/>
      <c r="CZ519" s="1754"/>
      <c r="DA519" s="1754"/>
      <c r="DC519" s="383">
        <f>IF($BE519&gt;$R$66-3,182,0)</f>
        <v>182</v>
      </c>
      <c r="DD519" s="1754">
        <f t="shared" si="207"/>
        <v>0</v>
      </c>
      <c r="DE519" s="1754"/>
      <c r="DF519" s="1754"/>
      <c r="DG519" s="1754"/>
      <c r="DH519" s="1754">
        <f t="shared" si="158"/>
        <v>0</v>
      </c>
      <c r="DI519" s="1754"/>
      <c r="DJ519" s="1754"/>
      <c r="DK519" s="1754">
        <f t="shared" si="151"/>
        <v>0</v>
      </c>
      <c r="DL519" s="1754"/>
      <c r="DM519" s="1754"/>
      <c r="DN519" s="1754"/>
      <c r="DP519" s="383">
        <f t="shared" si="159"/>
        <v>182</v>
      </c>
      <c r="DQ519" s="1754">
        <f t="shared" si="208"/>
        <v>0</v>
      </c>
      <c r="DR519" s="1754"/>
      <c r="DS519" s="1754"/>
      <c r="DT519" s="1754"/>
      <c r="DU519" s="1754">
        <f t="shared" si="177"/>
        <v>0</v>
      </c>
      <c r="DV519" s="1754"/>
      <c r="DW519" s="1754"/>
      <c r="DX519" s="1754">
        <f t="shared" si="179"/>
        <v>0</v>
      </c>
      <c r="DY519" s="1754"/>
      <c r="DZ519" s="1754"/>
      <c r="EA519" s="1754">
        <f t="shared" si="180"/>
        <v>0</v>
      </c>
      <c r="EB519" s="1754"/>
      <c r="EC519" s="1754"/>
      <c r="ED519" s="1754"/>
      <c r="EE519" s="384"/>
      <c r="EF519" s="1750">
        <f t="shared" si="152"/>
        <v>0</v>
      </c>
      <c r="EG519" s="1751"/>
      <c r="EH519" s="1751"/>
      <c r="EI519" s="1751"/>
      <c r="EJ519" s="1752"/>
      <c r="EL519" s="1750">
        <f t="shared" si="181"/>
        <v>0</v>
      </c>
      <c r="EM519" s="1751"/>
      <c r="EN519" s="1751"/>
      <c r="EO519" s="1751"/>
      <c r="EP519" s="1752"/>
      <c r="ER519" s="1750">
        <f t="shared" si="153"/>
        <v>0</v>
      </c>
      <c r="ES519" s="1751"/>
      <c r="ET519" s="1751"/>
      <c r="EU519" s="1751"/>
      <c r="EV519" s="1752"/>
      <c r="EX519" s="1750">
        <f>IF(BE519&gt;0,Einstrahlung!$K$12*Kalkulation!$P$62/100*$AY$29*POWER((100-$P$64)/100,BD519-1),0)</f>
        <v>0</v>
      </c>
      <c r="EY519" s="1751"/>
      <c r="EZ519" s="1751"/>
      <c r="FA519" s="1751"/>
      <c r="FB519" s="1752"/>
      <c r="FD519" s="1750">
        <f t="shared" si="161"/>
        <v>0</v>
      </c>
      <c r="FE519" s="1751"/>
      <c r="FF519" s="1751"/>
      <c r="FG519" s="1751"/>
      <c r="FH519" s="1752"/>
      <c r="FI519" s="385"/>
      <c r="FJ519" s="380">
        <f t="shared" si="173"/>
        <v>0</v>
      </c>
      <c r="FK519" s="385"/>
      <c r="FL519" s="380">
        <f t="shared" ref="FL519:FL529" si="209">IF(BE519&gt;0,IF($FL$336&gt;SUM($EX$518:$FB$529),SUM($EX$518:$FB$529)/12,$FL$336/12),0)</f>
        <v>0</v>
      </c>
      <c r="FM519" s="385"/>
      <c r="FN519" s="380">
        <f t="shared" si="162"/>
        <v>0</v>
      </c>
      <c r="FO519" s="962">
        <f t="shared" si="167"/>
        <v>311</v>
      </c>
      <c r="FP519" s="956">
        <f t="shared" si="154"/>
        <v>0.4</v>
      </c>
      <c r="FQ519" s="380">
        <f t="shared" si="178"/>
        <v>0</v>
      </c>
      <c r="FR519" s="626">
        <f t="shared" ref="FR519:FR528" si="210">IF(AND(GV519&gt;168,GV519&lt;=180),$FR$517,IF(AND(GV519&gt;180,GV519&lt;=192),$FR$529,0))</f>
        <v>1</v>
      </c>
      <c r="FT519" s="1819">
        <f t="shared" si="168"/>
        <v>0</v>
      </c>
      <c r="FU519" s="1820"/>
      <c r="FV519" s="1820"/>
      <c r="FW519" s="1820"/>
      <c r="FX519" s="1821"/>
      <c r="FY519" s="1819">
        <f t="shared" si="163"/>
        <v>0</v>
      </c>
      <c r="FZ519" s="1820"/>
      <c r="GA519" s="1820"/>
      <c r="GB519" s="1821"/>
      <c r="GC519" s="1825">
        <f t="shared" si="182"/>
        <v>0</v>
      </c>
      <c r="GD519" s="1826"/>
      <c r="GE519" s="1826"/>
      <c r="GF519" s="1827"/>
      <c r="GH519" s="1750">
        <f t="shared" si="164"/>
        <v>0</v>
      </c>
      <c r="GI519" s="1751"/>
      <c r="GJ519" s="1751"/>
      <c r="GK519" s="1752"/>
      <c r="GL519" s="1750">
        <f t="shared" si="165"/>
        <v>0</v>
      </c>
      <c r="GM519" s="1751"/>
      <c r="GN519" s="1751"/>
      <c r="GO519" s="1752"/>
      <c r="GP519" s="385"/>
      <c r="GQ519" s="1750">
        <f t="shared" si="166"/>
        <v>0</v>
      </c>
      <c r="GR519" s="1751"/>
      <c r="GS519" s="1751"/>
      <c r="GT519" s="1752"/>
      <c r="GU519" s="192">
        <f t="shared" si="176"/>
        <v>1</v>
      </c>
      <c r="GV519" s="192">
        <f>SUM($GU$337:GU519)</f>
        <v>175</v>
      </c>
      <c r="GW519" s="318"/>
      <c r="HK519" s="380">
        <f t="shared" si="201"/>
        <v>0</v>
      </c>
      <c r="HX519" s="380"/>
    </row>
    <row r="520" spans="4:232">
      <c r="D520" s="409">
        <v>12</v>
      </c>
      <c r="E520" s="318"/>
      <c r="F520" s="428">
        <f>BR493</f>
        <v>0</v>
      </c>
      <c r="G520" s="428">
        <f>CH493</f>
        <v>0</v>
      </c>
      <c r="H520" s="428">
        <f>CX493</f>
        <v>0</v>
      </c>
      <c r="I520" s="247"/>
      <c r="J520" s="247"/>
      <c r="K520" s="429">
        <f>IF(AND(F520&gt;0,F523=0),$D520,0)</f>
        <v>0</v>
      </c>
      <c r="L520" s="429">
        <f>IF(AND(G520&gt;0,G523=0),$D520,0)</f>
        <v>0</v>
      </c>
      <c r="N520" s="429">
        <f>IF(AND(H520&gt;0,H523=0),$D520,0)</f>
        <v>0</v>
      </c>
      <c r="O520" s="430"/>
      <c r="P520" s="436"/>
      <c r="R520" s="434" t="str">
        <f>"  "&amp;F96&amp;": "&amp;S521&amp;" "&amp;S522&amp;" "&amp;S523&amp;" "&amp;S524&amp;" "&amp;S525&amp;" "&amp;S526&amp;" "&amp;S527&amp;""</f>
        <v xml:space="preserve">  Darlehen 3:  Höhe: 0,- €; Auszahl. 100%;  Zins: % p.a.;   Das Darl. läuft nach rd. 0 Jahren aus.</v>
      </c>
      <c r="BD520" s="387">
        <f t="shared" si="202"/>
        <v>15</v>
      </c>
      <c r="BE520" s="382">
        <f>IF(BD520&gt;0,183,0)</f>
        <v>183</v>
      </c>
      <c r="BG520" s="383">
        <f>IF($BE520&gt;$R$66-3+($BR$335*12),183,0)</f>
        <v>183</v>
      </c>
      <c r="BH520" s="1754">
        <f t="shared" si="203"/>
        <v>0</v>
      </c>
      <c r="BI520" s="1754"/>
      <c r="BJ520" s="1754"/>
      <c r="BK520" s="1754"/>
      <c r="BL520" s="1754">
        <f t="shared" si="155"/>
        <v>0</v>
      </c>
      <c r="BM520" s="1754"/>
      <c r="BN520" s="1754"/>
      <c r="BO520" s="1754">
        <f t="shared" si="146"/>
        <v>0</v>
      </c>
      <c r="BP520" s="1754"/>
      <c r="BQ520" s="1754"/>
      <c r="BR520" s="1754">
        <f t="shared" si="204"/>
        <v>0</v>
      </c>
      <c r="BS520" s="1754"/>
      <c r="BT520" s="1754"/>
      <c r="BU520" s="1754"/>
      <c r="BW520" s="383">
        <f>IF($BE520&gt;$R$66-3+($CH$335*12),183,0)</f>
        <v>183</v>
      </c>
      <c r="BX520" s="1754">
        <f t="shared" si="205"/>
        <v>0</v>
      </c>
      <c r="BY520" s="1754"/>
      <c r="BZ520" s="1754"/>
      <c r="CA520" s="1754"/>
      <c r="CB520" s="1754">
        <f t="shared" si="156"/>
        <v>0</v>
      </c>
      <c r="CC520" s="1754"/>
      <c r="CD520" s="1754"/>
      <c r="CE520" s="1754">
        <f t="shared" si="147"/>
        <v>0</v>
      </c>
      <c r="CF520" s="1754"/>
      <c r="CG520" s="1754"/>
      <c r="CH520" s="1754">
        <f t="shared" si="148"/>
        <v>0</v>
      </c>
      <c r="CI520" s="1754"/>
      <c r="CJ520" s="1754"/>
      <c r="CK520" s="1754"/>
      <c r="CM520" s="383">
        <f>IF($BE520&gt;$R$66-3+($CX$335*12),183,0)</f>
        <v>183</v>
      </c>
      <c r="CN520" s="1754">
        <f t="shared" si="206"/>
        <v>0</v>
      </c>
      <c r="CO520" s="1754"/>
      <c r="CP520" s="1754"/>
      <c r="CQ520" s="1754"/>
      <c r="CR520" s="1754">
        <f t="shared" si="157"/>
        <v>0</v>
      </c>
      <c r="CS520" s="1754"/>
      <c r="CT520" s="1754"/>
      <c r="CU520" s="1754">
        <f t="shared" si="149"/>
        <v>0</v>
      </c>
      <c r="CV520" s="1754"/>
      <c r="CW520" s="1754"/>
      <c r="CX520" s="1754">
        <f t="shared" si="150"/>
        <v>0</v>
      </c>
      <c r="CY520" s="1754"/>
      <c r="CZ520" s="1754"/>
      <c r="DA520" s="1754"/>
      <c r="DC520" s="383">
        <f>IF($BE520&gt;$R$66-3,183,0)</f>
        <v>183</v>
      </c>
      <c r="DD520" s="1754">
        <f t="shared" si="207"/>
        <v>0</v>
      </c>
      <c r="DE520" s="1754"/>
      <c r="DF520" s="1754"/>
      <c r="DG520" s="1754"/>
      <c r="DH520" s="1754">
        <f t="shared" si="158"/>
        <v>0</v>
      </c>
      <c r="DI520" s="1754"/>
      <c r="DJ520" s="1754"/>
      <c r="DK520" s="1754">
        <f t="shared" si="151"/>
        <v>0</v>
      </c>
      <c r="DL520" s="1754"/>
      <c r="DM520" s="1754"/>
      <c r="DN520" s="1754"/>
      <c r="DP520" s="383">
        <f t="shared" si="159"/>
        <v>183</v>
      </c>
      <c r="DQ520" s="1754">
        <f t="shared" si="208"/>
        <v>0</v>
      </c>
      <c r="DR520" s="1754"/>
      <c r="DS520" s="1754"/>
      <c r="DT520" s="1754"/>
      <c r="DU520" s="1754">
        <f t="shared" si="177"/>
        <v>0</v>
      </c>
      <c r="DV520" s="1754"/>
      <c r="DW520" s="1754"/>
      <c r="DX520" s="1754">
        <f t="shared" si="179"/>
        <v>0</v>
      </c>
      <c r="DY520" s="1754"/>
      <c r="DZ520" s="1754"/>
      <c r="EA520" s="1754">
        <f t="shared" si="180"/>
        <v>0</v>
      </c>
      <c r="EB520" s="1754"/>
      <c r="EC520" s="1754"/>
      <c r="ED520" s="1754"/>
      <c r="EE520" s="384"/>
      <c r="EF520" s="1750">
        <f t="shared" si="152"/>
        <v>0</v>
      </c>
      <c r="EG520" s="1751"/>
      <c r="EH520" s="1751"/>
      <c r="EI520" s="1751"/>
      <c r="EJ520" s="1752"/>
      <c r="EL520" s="1750">
        <f t="shared" si="181"/>
        <v>0</v>
      </c>
      <c r="EM520" s="1751"/>
      <c r="EN520" s="1751"/>
      <c r="EO520" s="1751"/>
      <c r="EP520" s="1752"/>
      <c r="ER520" s="1750">
        <f t="shared" si="153"/>
        <v>0</v>
      </c>
      <c r="ES520" s="1751"/>
      <c r="ET520" s="1751"/>
      <c r="EU520" s="1751"/>
      <c r="EV520" s="1752"/>
      <c r="EX520" s="1750">
        <f>IF(BE520&gt;0,Einstrahlung!$K$14*Kalkulation!$P$62/100*$AY$29*POWER((100-$P$64)/100,BD520-1),0)</f>
        <v>0</v>
      </c>
      <c r="EY520" s="1751"/>
      <c r="EZ520" s="1751"/>
      <c r="FA520" s="1751"/>
      <c r="FB520" s="1752"/>
      <c r="FD520" s="1750">
        <f t="shared" si="161"/>
        <v>0</v>
      </c>
      <c r="FE520" s="1751"/>
      <c r="FF520" s="1751"/>
      <c r="FG520" s="1751"/>
      <c r="FH520" s="1752"/>
      <c r="FI520" s="385"/>
      <c r="FJ520" s="380">
        <f t="shared" si="173"/>
        <v>0</v>
      </c>
      <c r="FK520" s="385"/>
      <c r="FL520" s="380">
        <f t="shared" si="209"/>
        <v>0</v>
      </c>
      <c r="FM520" s="385"/>
      <c r="FN520" s="380">
        <f t="shared" si="162"/>
        <v>0</v>
      </c>
      <c r="FO520" s="962">
        <f t="shared" si="167"/>
        <v>312</v>
      </c>
      <c r="FP520" s="956">
        <f t="shared" si="154"/>
        <v>0.4</v>
      </c>
      <c r="FQ520" s="380">
        <f t="shared" si="178"/>
        <v>0</v>
      </c>
      <c r="FR520" s="626">
        <f t="shared" si="210"/>
        <v>1</v>
      </c>
      <c r="FT520" s="1819">
        <f t="shared" si="168"/>
        <v>0</v>
      </c>
      <c r="FU520" s="1820"/>
      <c r="FV520" s="1820"/>
      <c r="FW520" s="1820"/>
      <c r="FX520" s="1821"/>
      <c r="FY520" s="1819">
        <f t="shared" si="163"/>
        <v>0</v>
      </c>
      <c r="FZ520" s="1820"/>
      <c r="GA520" s="1820"/>
      <c r="GB520" s="1821"/>
      <c r="GC520" s="1825">
        <f t="shared" si="182"/>
        <v>0</v>
      </c>
      <c r="GD520" s="1826"/>
      <c r="GE520" s="1826"/>
      <c r="GF520" s="1827"/>
      <c r="GH520" s="1750">
        <f t="shared" si="164"/>
        <v>0</v>
      </c>
      <c r="GI520" s="1751"/>
      <c r="GJ520" s="1751"/>
      <c r="GK520" s="1752"/>
      <c r="GL520" s="1750">
        <f t="shared" si="165"/>
        <v>0</v>
      </c>
      <c r="GM520" s="1751"/>
      <c r="GN520" s="1751"/>
      <c r="GO520" s="1752"/>
      <c r="GP520" s="385"/>
      <c r="GQ520" s="1750">
        <f t="shared" si="166"/>
        <v>0</v>
      </c>
      <c r="GR520" s="1751"/>
      <c r="GS520" s="1751"/>
      <c r="GT520" s="1752"/>
      <c r="GU520" s="192">
        <f t="shared" si="176"/>
        <v>1</v>
      </c>
      <c r="GV520" s="192">
        <f>SUM($GU$337:GU520)</f>
        <v>176</v>
      </c>
      <c r="GW520" s="318"/>
      <c r="HK520" s="380">
        <f t="shared" si="201"/>
        <v>0</v>
      </c>
      <c r="HX520" s="380"/>
    </row>
    <row r="521" spans="4:232">
      <c r="D521" s="313"/>
      <c r="E521" s="247"/>
      <c r="F521" s="247"/>
      <c r="G521" s="247"/>
      <c r="H521" s="247"/>
      <c r="I521" s="428">
        <f>'Endfälliges Darlehen'!AG35</f>
        <v>0</v>
      </c>
      <c r="J521" s="247"/>
      <c r="K521" s="429"/>
      <c r="L521" s="429"/>
      <c r="M521" s="429"/>
      <c r="N521" s="429"/>
      <c r="O521" s="430">
        <f>IF(AND(I521&gt;0,I524=0),$D520,0)</f>
        <v>0</v>
      </c>
      <c r="P521" s="436"/>
      <c r="S521" s="435" t="str">
        <f>IF(AA477="A","Annuitätendarl.;",IF(AA477="R","Ratendarl.;",""))</f>
        <v/>
      </c>
      <c r="BD521" s="387">
        <f t="shared" si="202"/>
        <v>15</v>
      </c>
      <c r="BE521" s="382">
        <f>IF(BD521&gt;0,184,0)</f>
        <v>184</v>
      </c>
      <c r="BG521" s="383">
        <f>IF($BE521&gt;$R$66-3+($BR$335*12),184,0)</f>
        <v>184</v>
      </c>
      <c r="BH521" s="1754">
        <f t="shared" si="203"/>
        <v>0</v>
      </c>
      <c r="BI521" s="1754"/>
      <c r="BJ521" s="1754"/>
      <c r="BK521" s="1754"/>
      <c r="BL521" s="1754">
        <f t="shared" si="155"/>
        <v>0</v>
      </c>
      <c r="BM521" s="1754"/>
      <c r="BN521" s="1754"/>
      <c r="BO521" s="1754">
        <f t="shared" si="146"/>
        <v>0</v>
      </c>
      <c r="BP521" s="1754"/>
      <c r="BQ521" s="1754"/>
      <c r="BR521" s="1754">
        <f t="shared" si="204"/>
        <v>0</v>
      </c>
      <c r="BS521" s="1754"/>
      <c r="BT521" s="1754"/>
      <c r="BU521" s="1754"/>
      <c r="BW521" s="383">
        <f>IF($BE521&gt;$R$66-3+($CH$335*12),184,0)</f>
        <v>184</v>
      </c>
      <c r="BX521" s="1754">
        <f t="shared" si="205"/>
        <v>0</v>
      </c>
      <c r="BY521" s="1754"/>
      <c r="BZ521" s="1754"/>
      <c r="CA521" s="1754"/>
      <c r="CB521" s="1754">
        <f t="shared" si="156"/>
        <v>0</v>
      </c>
      <c r="CC521" s="1754"/>
      <c r="CD521" s="1754"/>
      <c r="CE521" s="1754">
        <f t="shared" si="147"/>
        <v>0</v>
      </c>
      <c r="CF521" s="1754"/>
      <c r="CG521" s="1754"/>
      <c r="CH521" s="1754">
        <f t="shared" si="148"/>
        <v>0</v>
      </c>
      <c r="CI521" s="1754"/>
      <c r="CJ521" s="1754"/>
      <c r="CK521" s="1754"/>
      <c r="CM521" s="383">
        <f>IF($BE521&gt;$R$66-3+($CX$335*12),184,0)</f>
        <v>184</v>
      </c>
      <c r="CN521" s="1754">
        <f t="shared" si="206"/>
        <v>0</v>
      </c>
      <c r="CO521" s="1754"/>
      <c r="CP521" s="1754"/>
      <c r="CQ521" s="1754"/>
      <c r="CR521" s="1754">
        <f t="shared" si="157"/>
        <v>0</v>
      </c>
      <c r="CS521" s="1754"/>
      <c r="CT521" s="1754"/>
      <c r="CU521" s="1754">
        <f t="shared" si="149"/>
        <v>0</v>
      </c>
      <c r="CV521" s="1754"/>
      <c r="CW521" s="1754"/>
      <c r="CX521" s="1754">
        <f t="shared" si="150"/>
        <v>0</v>
      </c>
      <c r="CY521" s="1754"/>
      <c r="CZ521" s="1754"/>
      <c r="DA521" s="1754"/>
      <c r="DC521" s="383">
        <f>IF($BE521&gt;$R$66-3,184,0)</f>
        <v>184</v>
      </c>
      <c r="DD521" s="1754">
        <f t="shared" si="207"/>
        <v>0</v>
      </c>
      <c r="DE521" s="1754"/>
      <c r="DF521" s="1754"/>
      <c r="DG521" s="1754"/>
      <c r="DH521" s="1754">
        <f t="shared" si="158"/>
        <v>0</v>
      </c>
      <c r="DI521" s="1754"/>
      <c r="DJ521" s="1754"/>
      <c r="DK521" s="1754">
        <f t="shared" si="151"/>
        <v>0</v>
      </c>
      <c r="DL521" s="1754"/>
      <c r="DM521" s="1754"/>
      <c r="DN521" s="1754"/>
      <c r="DP521" s="383">
        <f t="shared" si="159"/>
        <v>184</v>
      </c>
      <c r="DQ521" s="1754">
        <f t="shared" si="208"/>
        <v>0</v>
      </c>
      <c r="DR521" s="1754"/>
      <c r="DS521" s="1754"/>
      <c r="DT521" s="1754"/>
      <c r="DU521" s="1754">
        <f t="shared" si="177"/>
        <v>0</v>
      </c>
      <c r="DV521" s="1754"/>
      <c r="DW521" s="1754"/>
      <c r="DX521" s="1754">
        <f t="shared" si="179"/>
        <v>0</v>
      </c>
      <c r="DY521" s="1754"/>
      <c r="DZ521" s="1754"/>
      <c r="EA521" s="1754">
        <f t="shared" si="180"/>
        <v>0</v>
      </c>
      <c r="EB521" s="1754"/>
      <c r="EC521" s="1754"/>
      <c r="ED521" s="1754"/>
      <c r="EE521" s="384"/>
      <c r="EF521" s="1750">
        <f t="shared" si="152"/>
        <v>0</v>
      </c>
      <c r="EG521" s="1751"/>
      <c r="EH521" s="1751"/>
      <c r="EI521" s="1751"/>
      <c r="EJ521" s="1752"/>
      <c r="EL521" s="1750">
        <f t="shared" si="181"/>
        <v>0</v>
      </c>
      <c r="EM521" s="1751"/>
      <c r="EN521" s="1751"/>
      <c r="EO521" s="1751"/>
      <c r="EP521" s="1752"/>
      <c r="ER521" s="1750">
        <f t="shared" si="153"/>
        <v>0</v>
      </c>
      <c r="ES521" s="1751"/>
      <c r="ET521" s="1751"/>
      <c r="EU521" s="1751"/>
      <c r="EV521" s="1752"/>
      <c r="EX521" s="1750">
        <f>IF(BE521&gt;0,Einstrahlung!$K$16*Kalkulation!$P$62/100*$AY$29*POWER((100-$P$64)/100,BD521-1),0)</f>
        <v>0</v>
      </c>
      <c r="EY521" s="1751"/>
      <c r="EZ521" s="1751"/>
      <c r="FA521" s="1751"/>
      <c r="FB521" s="1752"/>
      <c r="FD521" s="1750">
        <f t="shared" si="161"/>
        <v>0</v>
      </c>
      <c r="FE521" s="1751"/>
      <c r="FF521" s="1751"/>
      <c r="FG521" s="1751"/>
      <c r="FH521" s="1752"/>
      <c r="FI521" s="385"/>
      <c r="FJ521" s="380">
        <f t="shared" si="173"/>
        <v>0</v>
      </c>
      <c r="FK521" s="385"/>
      <c r="FL521" s="380">
        <f t="shared" si="209"/>
        <v>0</v>
      </c>
      <c r="FM521" s="385"/>
      <c r="FN521" s="380">
        <f t="shared" si="162"/>
        <v>0</v>
      </c>
      <c r="FO521" s="962">
        <f t="shared" si="167"/>
        <v>313</v>
      </c>
      <c r="FP521" s="956">
        <f t="shared" si="154"/>
        <v>0.4</v>
      </c>
      <c r="FQ521" s="380">
        <f t="shared" si="178"/>
        <v>0</v>
      </c>
      <c r="FR521" s="626">
        <f t="shared" si="210"/>
        <v>1</v>
      </c>
      <c r="FT521" s="1819">
        <f t="shared" si="168"/>
        <v>0</v>
      </c>
      <c r="FU521" s="1820"/>
      <c r="FV521" s="1820"/>
      <c r="FW521" s="1820"/>
      <c r="FX521" s="1821"/>
      <c r="FY521" s="1819">
        <f t="shared" si="163"/>
        <v>0</v>
      </c>
      <c r="FZ521" s="1820"/>
      <c r="GA521" s="1820"/>
      <c r="GB521" s="1821"/>
      <c r="GC521" s="1825">
        <f t="shared" si="182"/>
        <v>0</v>
      </c>
      <c r="GD521" s="1826"/>
      <c r="GE521" s="1826"/>
      <c r="GF521" s="1827"/>
      <c r="GH521" s="1750">
        <f t="shared" si="164"/>
        <v>0</v>
      </c>
      <c r="GI521" s="1751"/>
      <c r="GJ521" s="1751"/>
      <c r="GK521" s="1752"/>
      <c r="GL521" s="1750">
        <f t="shared" si="165"/>
        <v>0</v>
      </c>
      <c r="GM521" s="1751"/>
      <c r="GN521" s="1751"/>
      <c r="GO521" s="1752"/>
      <c r="GP521" s="385"/>
      <c r="GQ521" s="1750">
        <f t="shared" si="166"/>
        <v>0</v>
      </c>
      <c r="GR521" s="1751"/>
      <c r="GS521" s="1751"/>
      <c r="GT521" s="1752"/>
      <c r="GU521" s="192">
        <f t="shared" si="176"/>
        <v>1</v>
      </c>
      <c r="GV521" s="192">
        <f>SUM($GU$337:GU521)</f>
        <v>177</v>
      </c>
      <c r="GW521" s="318"/>
      <c r="HK521" s="380">
        <f t="shared" si="201"/>
        <v>0</v>
      </c>
      <c r="HX521" s="380"/>
    </row>
    <row r="522" spans="4:232">
      <c r="D522" s="313"/>
      <c r="E522" s="247"/>
      <c r="F522" s="247"/>
      <c r="G522" s="247"/>
      <c r="H522" s="247"/>
      <c r="I522" s="247"/>
      <c r="J522" s="428">
        <f>'Endfälliges Darlehen'!AV35</f>
        <v>0</v>
      </c>
      <c r="K522" s="429"/>
      <c r="L522" s="429"/>
      <c r="M522" s="429"/>
      <c r="N522" s="429"/>
      <c r="O522" s="430"/>
      <c r="P522" s="436"/>
      <c r="S522" s="435" t="str">
        <f>"Höhe: "&amp;AY96&amp;",- €; Auszahl. "&amp;BB96*100&amp;"%;"</f>
        <v>Höhe: 0,- €; Auszahl. 100%;</v>
      </c>
      <c r="BD522" s="387">
        <f t="shared" si="202"/>
        <v>15</v>
      </c>
      <c r="BE522" s="382">
        <f>IF(BD522&gt;0,185,0)</f>
        <v>185</v>
      </c>
      <c r="BG522" s="383">
        <f>IF($BE522&gt;$R$66-3+($BR$335*12),185,0)</f>
        <v>185</v>
      </c>
      <c r="BH522" s="1754">
        <f t="shared" si="203"/>
        <v>0</v>
      </c>
      <c r="BI522" s="1754"/>
      <c r="BJ522" s="1754"/>
      <c r="BK522" s="1754"/>
      <c r="BL522" s="1754">
        <f t="shared" si="155"/>
        <v>0</v>
      </c>
      <c r="BM522" s="1754"/>
      <c r="BN522" s="1754"/>
      <c r="BO522" s="1754">
        <f t="shared" si="146"/>
        <v>0</v>
      </c>
      <c r="BP522" s="1754"/>
      <c r="BQ522" s="1754"/>
      <c r="BR522" s="1754">
        <f t="shared" si="204"/>
        <v>0</v>
      </c>
      <c r="BS522" s="1754"/>
      <c r="BT522" s="1754"/>
      <c r="BU522" s="1754"/>
      <c r="BW522" s="383">
        <f>IF($BE522&gt;$R$66-3+($CH$335*12),185,0)</f>
        <v>185</v>
      </c>
      <c r="BX522" s="1754">
        <f t="shared" si="205"/>
        <v>0</v>
      </c>
      <c r="BY522" s="1754"/>
      <c r="BZ522" s="1754"/>
      <c r="CA522" s="1754"/>
      <c r="CB522" s="1754">
        <f t="shared" si="156"/>
        <v>0</v>
      </c>
      <c r="CC522" s="1754"/>
      <c r="CD522" s="1754"/>
      <c r="CE522" s="1754">
        <f t="shared" si="147"/>
        <v>0</v>
      </c>
      <c r="CF522" s="1754"/>
      <c r="CG522" s="1754"/>
      <c r="CH522" s="1754">
        <f t="shared" si="148"/>
        <v>0</v>
      </c>
      <c r="CI522" s="1754"/>
      <c r="CJ522" s="1754"/>
      <c r="CK522" s="1754"/>
      <c r="CM522" s="383">
        <f>IF($BE522&gt;$R$66-3+($CX$335*12),185,0)</f>
        <v>185</v>
      </c>
      <c r="CN522" s="1754">
        <f t="shared" si="206"/>
        <v>0</v>
      </c>
      <c r="CO522" s="1754"/>
      <c r="CP522" s="1754"/>
      <c r="CQ522" s="1754"/>
      <c r="CR522" s="1754">
        <f t="shared" si="157"/>
        <v>0</v>
      </c>
      <c r="CS522" s="1754"/>
      <c r="CT522" s="1754"/>
      <c r="CU522" s="1754">
        <f t="shared" si="149"/>
        <v>0</v>
      </c>
      <c r="CV522" s="1754"/>
      <c r="CW522" s="1754"/>
      <c r="CX522" s="1754">
        <f t="shared" si="150"/>
        <v>0</v>
      </c>
      <c r="CY522" s="1754"/>
      <c r="CZ522" s="1754"/>
      <c r="DA522" s="1754"/>
      <c r="DC522" s="383">
        <f>IF($BE522&gt;$R$66-3,185,0)</f>
        <v>185</v>
      </c>
      <c r="DD522" s="1754">
        <f t="shared" si="207"/>
        <v>0</v>
      </c>
      <c r="DE522" s="1754"/>
      <c r="DF522" s="1754"/>
      <c r="DG522" s="1754"/>
      <c r="DH522" s="1754">
        <f t="shared" si="158"/>
        <v>0</v>
      </c>
      <c r="DI522" s="1754"/>
      <c r="DJ522" s="1754"/>
      <c r="DK522" s="1754">
        <f t="shared" si="151"/>
        <v>0</v>
      </c>
      <c r="DL522" s="1754"/>
      <c r="DM522" s="1754"/>
      <c r="DN522" s="1754"/>
      <c r="DP522" s="383">
        <f t="shared" si="159"/>
        <v>185</v>
      </c>
      <c r="DQ522" s="1754">
        <f t="shared" si="208"/>
        <v>0</v>
      </c>
      <c r="DR522" s="1754"/>
      <c r="DS522" s="1754"/>
      <c r="DT522" s="1754"/>
      <c r="DU522" s="1754">
        <f t="shared" si="177"/>
        <v>0</v>
      </c>
      <c r="DV522" s="1754"/>
      <c r="DW522" s="1754"/>
      <c r="DX522" s="1754">
        <f t="shared" si="179"/>
        <v>0</v>
      </c>
      <c r="DY522" s="1754"/>
      <c r="DZ522" s="1754"/>
      <c r="EA522" s="1754">
        <f t="shared" si="180"/>
        <v>0</v>
      </c>
      <c r="EB522" s="1754"/>
      <c r="EC522" s="1754"/>
      <c r="ED522" s="1754"/>
      <c r="EE522" s="384"/>
      <c r="EF522" s="1750">
        <f t="shared" si="152"/>
        <v>0</v>
      </c>
      <c r="EG522" s="1751"/>
      <c r="EH522" s="1751"/>
      <c r="EI522" s="1751"/>
      <c r="EJ522" s="1752"/>
      <c r="EL522" s="1750">
        <f t="shared" si="181"/>
        <v>0</v>
      </c>
      <c r="EM522" s="1751"/>
      <c r="EN522" s="1751"/>
      <c r="EO522" s="1751"/>
      <c r="EP522" s="1752"/>
      <c r="ER522" s="1750">
        <f t="shared" si="153"/>
        <v>0</v>
      </c>
      <c r="ES522" s="1751"/>
      <c r="ET522" s="1751"/>
      <c r="EU522" s="1751"/>
      <c r="EV522" s="1752"/>
      <c r="EX522" s="1750">
        <f>IF(BE522&gt;0,Einstrahlung!$K$18*Kalkulation!$P$62/100*$AY$29*POWER((100-$P$64)/100,BD522-1),0)</f>
        <v>0</v>
      </c>
      <c r="EY522" s="1751"/>
      <c r="EZ522" s="1751"/>
      <c r="FA522" s="1751"/>
      <c r="FB522" s="1752"/>
      <c r="FD522" s="1750">
        <f t="shared" si="161"/>
        <v>0</v>
      </c>
      <c r="FE522" s="1751"/>
      <c r="FF522" s="1751"/>
      <c r="FG522" s="1751"/>
      <c r="FH522" s="1752"/>
      <c r="FI522" s="385"/>
      <c r="FJ522" s="380">
        <f t="shared" si="173"/>
        <v>0</v>
      </c>
      <c r="FK522" s="385"/>
      <c r="FL522" s="380">
        <f t="shared" si="209"/>
        <v>0</v>
      </c>
      <c r="FM522" s="385"/>
      <c r="FN522" s="380">
        <f t="shared" si="162"/>
        <v>0</v>
      </c>
      <c r="FO522" s="962">
        <f t="shared" si="167"/>
        <v>314</v>
      </c>
      <c r="FP522" s="956">
        <f t="shared" si="154"/>
        <v>0.4</v>
      </c>
      <c r="FQ522" s="380">
        <f t="shared" si="178"/>
        <v>0</v>
      </c>
      <c r="FR522" s="626">
        <f t="shared" si="210"/>
        <v>1</v>
      </c>
      <c r="FT522" s="1819">
        <f t="shared" si="168"/>
        <v>0</v>
      </c>
      <c r="FU522" s="1820"/>
      <c r="FV522" s="1820"/>
      <c r="FW522" s="1820"/>
      <c r="FX522" s="1821"/>
      <c r="FY522" s="1819">
        <f t="shared" si="163"/>
        <v>0</v>
      </c>
      <c r="FZ522" s="1820"/>
      <c r="GA522" s="1820"/>
      <c r="GB522" s="1821"/>
      <c r="GC522" s="1825">
        <f t="shared" si="182"/>
        <v>0</v>
      </c>
      <c r="GD522" s="1826"/>
      <c r="GE522" s="1826"/>
      <c r="GF522" s="1827"/>
      <c r="GH522" s="1750">
        <f t="shared" si="164"/>
        <v>0</v>
      </c>
      <c r="GI522" s="1751"/>
      <c r="GJ522" s="1751"/>
      <c r="GK522" s="1752"/>
      <c r="GL522" s="1750">
        <f t="shared" si="165"/>
        <v>0</v>
      </c>
      <c r="GM522" s="1751"/>
      <c r="GN522" s="1751"/>
      <c r="GO522" s="1752"/>
      <c r="GP522" s="385"/>
      <c r="GQ522" s="1750">
        <f t="shared" si="166"/>
        <v>0</v>
      </c>
      <c r="GR522" s="1751"/>
      <c r="GS522" s="1751"/>
      <c r="GT522" s="1752"/>
      <c r="GU522" s="192">
        <f t="shared" si="176"/>
        <v>1</v>
      </c>
      <c r="GV522" s="192">
        <f>SUM($GU$337:GU522)</f>
        <v>178</v>
      </c>
      <c r="GW522" s="318"/>
      <c r="HK522" s="380">
        <f t="shared" si="201"/>
        <v>0</v>
      </c>
      <c r="HX522" s="380"/>
    </row>
    <row r="523" spans="4:232">
      <c r="D523" s="409">
        <v>13</v>
      </c>
      <c r="E523" s="318"/>
      <c r="F523" s="428">
        <f>BR505</f>
        <v>0</v>
      </c>
      <c r="G523" s="428">
        <f>CH505</f>
        <v>0</v>
      </c>
      <c r="H523" s="428">
        <f>CX505</f>
        <v>0</v>
      </c>
      <c r="I523" s="247"/>
      <c r="J523" s="247"/>
      <c r="K523" s="429">
        <f>IF(AND(F523&gt;0,F526=0),$D523,0)</f>
        <v>0</v>
      </c>
      <c r="L523" s="429">
        <f>IF(AND(G523&gt;0,G526=0),$D523,0)</f>
        <v>0</v>
      </c>
      <c r="N523" s="429">
        <f>IF(AND(H523&gt;0,H526=0),$D523,0)</f>
        <v>0</v>
      </c>
      <c r="O523" s="430"/>
      <c r="P523" s="436"/>
      <c r="S523" s="435" t="str">
        <f>IF(AA477="R","Laufzeit: "&amp;S96&amp;" J.;","")</f>
        <v/>
      </c>
      <c r="BD523" s="387">
        <f t="shared" si="202"/>
        <v>15</v>
      </c>
      <c r="BE523" s="382">
        <f>IF(BD523&gt;0,186,0)</f>
        <v>186</v>
      </c>
      <c r="BG523" s="383">
        <f>IF($BE523&gt;$R$66-3+($BR$335*12),186,0)</f>
        <v>186</v>
      </c>
      <c r="BH523" s="1754">
        <f t="shared" si="203"/>
        <v>0</v>
      </c>
      <c r="BI523" s="1754"/>
      <c r="BJ523" s="1754"/>
      <c r="BK523" s="1754"/>
      <c r="BL523" s="1754">
        <f t="shared" si="155"/>
        <v>0</v>
      </c>
      <c r="BM523" s="1754"/>
      <c r="BN523" s="1754"/>
      <c r="BO523" s="1754">
        <f t="shared" si="146"/>
        <v>0</v>
      </c>
      <c r="BP523" s="1754"/>
      <c r="BQ523" s="1754"/>
      <c r="BR523" s="1754">
        <f t="shared" si="204"/>
        <v>0</v>
      </c>
      <c r="BS523" s="1754"/>
      <c r="BT523" s="1754"/>
      <c r="BU523" s="1754"/>
      <c r="BW523" s="383">
        <f>IF($BE523&gt;$R$66-3+($CH$335*12),186,0)</f>
        <v>186</v>
      </c>
      <c r="BX523" s="1754">
        <f t="shared" si="205"/>
        <v>0</v>
      </c>
      <c r="BY523" s="1754"/>
      <c r="BZ523" s="1754"/>
      <c r="CA523" s="1754"/>
      <c r="CB523" s="1754">
        <f t="shared" si="156"/>
        <v>0</v>
      </c>
      <c r="CC523" s="1754"/>
      <c r="CD523" s="1754"/>
      <c r="CE523" s="1754">
        <f t="shared" si="147"/>
        <v>0</v>
      </c>
      <c r="CF523" s="1754"/>
      <c r="CG523" s="1754"/>
      <c r="CH523" s="1754">
        <f t="shared" si="148"/>
        <v>0</v>
      </c>
      <c r="CI523" s="1754"/>
      <c r="CJ523" s="1754"/>
      <c r="CK523" s="1754"/>
      <c r="CM523" s="383">
        <f>IF($BE523&gt;$R$66-3+($CX$335*12),186,0)</f>
        <v>186</v>
      </c>
      <c r="CN523" s="1754">
        <f t="shared" si="206"/>
        <v>0</v>
      </c>
      <c r="CO523" s="1754"/>
      <c r="CP523" s="1754"/>
      <c r="CQ523" s="1754"/>
      <c r="CR523" s="1754">
        <f t="shared" si="157"/>
        <v>0</v>
      </c>
      <c r="CS523" s="1754"/>
      <c r="CT523" s="1754"/>
      <c r="CU523" s="1754">
        <f t="shared" si="149"/>
        <v>0</v>
      </c>
      <c r="CV523" s="1754"/>
      <c r="CW523" s="1754"/>
      <c r="CX523" s="1754">
        <f t="shared" si="150"/>
        <v>0</v>
      </c>
      <c r="CY523" s="1754"/>
      <c r="CZ523" s="1754"/>
      <c r="DA523" s="1754"/>
      <c r="DC523" s="383">
        <f>IF($BE523&gt;$R$66-3,186,0)</f>
        <v>186</v>
      </c>
      <c r="DD523" s="1754">
        <f t="shared" si="207"/>
        <v>0</v>
      </c>
      <c r="DE523" s="1754"/>
      <c r="DF523" s="1754"/>
      <c r="DG523" s="1754"/>
      <c r="DH523" s="1754">
        <f t="shared" si="158"/>
        <v>0</v>
      </c>
      <c r="DI523" s="1754"/>
      <c r="DJ523" s="1754"/>
      <c r="DK523" s="1754">
        <f t="shared" si="151"/>
        <v>0</v>
      </c>
      <c r="DL523" s="1754"/>
      <c r="DM523" s="1754"/>
      <c r="DN523" s="1754"/>
      <c r="DP523" s="383">
        <f t="shared" si="159"/>
        <v>186</v>
      </c>
      <c r="DQ523" s="1754">
        <f t="shared" si="208"/>
        <v>0</v>
      </c>
      <c r="DR523" s="1754"/>
      <c r="DS523" s="1754"/>
      <c r="DT523" s="1754"/>
      <c r="DU523" s="1754">
        <f t="shared" si="177"/>
        <v>0</v>
      </c>
      <c r="DV523" s="1754"/>
      <c r="DW523" s="1754"/>
      <c r="DX523" s="1754">
        <f t="shared" si="179"/>
        <v>0</v>
      </c>
      <c r="DY523" s="1754"/>
      <c r="DZ523" s="1754"/>
      <c r="EA523" s="1754">
        <f t="shared" si="180"/>
        <v>0</v>
      </c>
      <c r="EB523" s="1754"/>
      <c r="EC523" s="1754"/>
      <c r="ED523" s="1754"/>
      <c r="EE523" s="384"/>
      <c r="EF523" s="1750">
        <f t="shared" si="152"/>
        <v>0</v>
      </c>
      <c r="EG523" s="1751"/>
      <c r="EH523" s="1751"/>
      <c r="EI523" s="1751"/>
      <c r="EJ523" s="1752"/>
      <c r="EL523" s="1750">
        <f t="shared" si="181"/>
        <v>0</v>
      </c>
      <c r="EM523" s="1751"/>
      <c r="EN523" s="1751"/>
      <c r="EO523" s="1751"/>
      <c r="EP523" s="1752"/>
      <c r="ER523" s="1750">
        <f t="shared" si="153"/>
        <v>0</v>
      </c>
      <c r="ES523" s="1751"/>
      <c r="ET523" s="1751"/>
      <c r="EU523" s="1751"/>
      <c r="EV523" s="1752"/>
      <c r="EX523" s="1750">
        <f>IF(BE523&gt;0,Einstrahlung!$K$20*Kalkulation!$P$62/100*$AY$29*POWER((100-$P$64)/100,BD523-1),0)</f>
        <v>0</v>
      </c>
      <c r="EY523" s="1751"/>
      <c r="EZ523" s="1751"/>
      <c r="FA523" s="1751"/>
      <c r="FB523" s="1752"/>
      <c r="FD523" s="1750">
        <f t="shared" si="161"/>
        <v>0</v>
      </c>
      <c r="FE523" s="1751"/>
      <c r="FF523" s="1751"/>
      <c r="FG523" s="1751"/>
      <c r="FH523" s="1752"/>
      <c r="FI523" s="385"/>
      <c r="FJ523" s="380">
        <f t="shared" si="173"/>
        <v>0</v>
      </c>
      <c r="FK523" s="385"/>
      <c r="FL523" s="380">
        <f t="shared" si="209"/>
        <v>0</v>
      </c>
      <c r="FM523" s="385"/>
      <c r="FN523" s="380">
        <f t="shared" si="162"/>
        <v>0</v>
      </c>
      <c r="FO523" s="962">
        <f t="shared" si="167"/>
        <v>315</v>
      </c>
      <c r="FP523" s="956">
        <f t="shared" si="154"/>
        <v>0.4</v>
      </c>
      <c r="FQ523" s="380">
        <f t="shared" si="178"/>
        <v>0</v>
      </c>
      <c r="FR523" s="626">
        <f t="shared" si="210"/>
        <v>1</v>
      </c>
      <c r="FT523" s="1819">
        <f t="shared" si="168"/>
        <v>0</v>
      </c>
      <c r="FU523" s="1820"/>
      <c r="FV523" s="1820"/>
      <c r="FW523" s="1820"/>
      <c r="FX523" s="1821"/>
      <c r="FY523" s="1819">
        <f t="shared" si="163"/>
        <v>0</v>
      </c>
      <c r="FZ523" s="1820"/>
      <c r="GA523" s="1820"/>
      <c r="GB523" s="1821"/>
      <c r="GC523" s="1825">
        <f t="shared" si="182"/>
        <v>0</v>
      </c>
      <c r="GD523" s="1826"/>
      <c r="GE523" s="1826"/>
      <c r="GF523" s="1827"/>
      <c r="GH523" s="1750">
        <f t="shared" si="164"/>
        <v>0</v>
      </c>
      <c r="GI523" s="1751"/>
      <c r="GJ523" s="1751"/>
      <c r="GK523" s="1752"/>
      <c r="GL523" s="1750">
        <f t="shared" si="165"/>
        <v>0</v>
      </c>
      <c r="GM523" s="1751"/>
      <c r="GN523" s="1751"/>
      <c r="GO523" s="1752"/>
      <c r="GP523" s="385"/>
      <c r="GQ523" s="1750">
        <f t="shared" si="166"/>
        <v>0</v>
      </c>
      <c r="GR523" s="1751"/>
      <c r="GS523" s="1751"/>
      <c r="GT523" s="1752"/>
      <c r="GU523" s="192">
        <f t="shared" si="176"/>
        <v>1</v>
      </c>
      <c r="GV523" s="192">
        <f>SUM($GU$337:GU523)</f>
        <v>179</v>
      </c>
      <c r="GW523" s="318"/>
      <c r="HK523" s="380">
        <f t="shared" si="201"/>
        <v>0</v>
      </c>
      <c r="HX523" s="380"/>
    </row>
    <row r="524" spans="4:232">
      <c r="D524" s="313"/>
      <c r="E524" s="247"/>
      <c r="F524" s="247"/>
      <c r="G524" s="247"/>
      <c r="H524" s="247"/>
      <c r="I524" s="428">
        <f>'Endfälliges Darlehen'!AG37</f>
        <v>0</v>
      </c>
      <c r="J524" s="247"/>
      <c r="K524" s="429"/>
      <c r="L524" s="429"/>
      <c r="M524" s="429"/>
      <c r="N524" s="429"/>
      <c r="O524" s="430">
        <f>IF(AND(I524&gt;0,I527=0),$D523,0)</f>
        <v>0</v>
      </c>
      <c r="P524" s="436"/>
      <c r="S524" s="435" t="str">
        <f>"Zins: "&amp;T96&amp;"% p.a.;"</f>
        <v>Zins: % p.a.;</v>
      </c>
      <c r="BD524" s="387">
        <f t="shared" si="202"/>
        <v>15</v>
      </c>
      <c r="BE524" s="382">
        <f>IF(BD524&gt;0,187,0)</f>
        <v>187</v>
      </c>
      <c r="BG524" s="383">
        <f>IF($BE524&gt;$R$66-3+($BR$335*12),187,0)</f>
        <v>187</v>
      </c>
      <c r="BH524" s="1754">
        <f t="shared" si="203"/>
        <v>0</v>
      </c>
      <c r="BI524" s="1754"/>
      <c r="BJ524" s="1754"/>
      <c r="BK524" s="1754"/>
      <c r="BL524" s="1754">
        <f t="shared" si="155"/>
        <v>0</v>
      </c>
      <c r="BM524" s="1754"/>
      <c r="BN524" s="1754"/>
      <c r="BO524" s="1754">
        <f t="shared" si="146"/>
        <v>0</v>
      </c>
      <c r="BP524" s="1754"/>
      <c r="BQ524" s="1754"/>
      <c r="BR524" s="1754">
        <f t="shared" si="204"/>
        <v>0</v>
      </c>
      <c r="BS524" s="1754"/>
      <c r="BT524" s="1754"/>
      <c r="BU524" s="1754"/>
      <c r="BW524" s="383">
        <f>IF($BE524&gt;$R$66-3+($CH$335*12),187,0)</f>
        <v>187</v>
      </c>
      <c r="BX524" s="1754">
        <f t="shared" si="205"/>
        <v>0</v>
      </c>
      <c r="BY524" s="1754"/>
      <c r="BZ524" s="1754"/>
      <c r="CA524" s="1754"/>
      <c r="CB524" s="1754">
        <f t="shared" si="156"/>
        <v>0</v>
      </c>
      <c r="CC524" s="1754"/>
      <c r="CD524" s="1754"/>
      <c r="CE524" s="1754">
        <f t="shared" si="147"/>
        <v>0</v>
      </c>
      <c r="CF524" s="1754"/>
      <c r="CG524" s="1754"/>
      <c r="CH524" s="1754">
        <f t="shared" si="148"/>
        <v>0</v>
      </c>
      <c r="CI524" s="1754"/>
      <c r="CJ524" s="1754"/>
      <c r="CK524" s="1754"/>
      <c r="CM524" s="383">
        <f>IF($BE524&gt;$R$66-3+($CX$335*12),187,0)</f>
        <v>187</v>
      </c>
      <c r="CN524" s="1754">
        <f t="shared" si="206"/>
        <v>0</v>
      </c>
      <c r="CO524" s="1754"/>
      <c r="CP524" s="1754"/>
      <c r="CQ524" s="1754"/>
      <c r="CR524" s="1754">
        <f t="shared" si="157"/>
        <v>0</v>
      </c>
      <c r="CS524" s="1754"/>
      <c r="CT524" s="1754"/>
      <c r="CU524" s="1754">
        <f t="shared" si="149"/>
        <v>0</v>
      </c>
      <c r="CV524" s="1754"/>
      <c r="CW524" s="1754"/>
      <c r="CX524" s="1754">
        <f t="shared" si="150"/>
        <v>0</v>
      </c>
      <c r="CY524" s="1754"/>
      <c r="CZ524" s="1754"/>
      <c r="DA524" s="1754"/>
      <c r="DC524" s="383">
        <f>IF($BE524&gt;$R$66-3,187,0)</f>
        <v>187</v>
      </c>
      <c r="DD524" s="1754">
        <f t="shared" si="207"/>
        <v>0</v>
      </c>
      <c r="DE524" s="1754"/>
      <c r="DF524" s="1754"/>
      <c r="DG524" s="1754"/>
      <c r="DH524" s="1754">
        <f t="shared" si="158"/>
        <v>0</v>
      </c>
      <c r="DI524" s="1754"/>
      <c r="DJ524" s="1754"/>
      <c r="DK524" s="1754">
        <f t="shared" si="151"/>
        <v>0</v>
      </c>
      <c r="DL524" s="1754"/>
      <c r="DM524" s="1754"/>
      <c r="DN524" s="1754"/>
      <c r="DP524" s="383">
        <f t="shared" si="159"/>
        <v>187</v>
      </c>
      <c r="DQ524" s="1754">
        <f t="shared" si="208"/>
        <v>0</v>
      </c>
      <c r="DR524" s="1754"/>
      <c r="DS524" s="1754"/>
      <c r="DT524" s="1754"/>
      <c r="DU524" s="1754">
        <f t="shared" si="177"/>
        <v>0</v>
      </c>
      <c r="DV524" s="1754"/>
      <c r="DW524" s="1754"/>
      <c r="DX524" s="1754">
        <f t="shared" si="179"/>
        <v>0</v>
      </c>
      <c r="DY524" s="1754"/>
      <c r="DZ524" s="1754"/>
      <c r="EA524" s="1754">
        <f t="shared" si="180"/>
        <v>0</v>
      </c>
      <c r="EB524" s="1754"/>
      <c r="EC524" s="1754"/>
      <c r="ED524" s="1754"/>
      <c r="EE524" s="384"/>
      <c r="EF524" s="1750">
        <f t="shared" si="152"/>
        <v>0</v>
      </c>
      <c r="EG524" s="1751"/>
      <c r="EH524" s="1751"/>
      <c r="EI524" s="1751"/>
      <c r="EJ524" s="1752"/>
      <c r="EL524" s="1750">
        <f t="shared" si="181"/>
        <v>0</v>
      </c>
      <c r="EM524" s="1751"/>
      <c r="EN524" s="1751"/>
      <c r="EO524" s="1751"/>
      <c r="EP524" s="1752"/>
      <c r="ER524" s="1750">
        <f t="shared" si="153"/>
        <v>0</v>
      </c>
      <c r="ES524" s="1751"/>
      <c r="ET524" s="1751"/>
      <c r="EU524" s="1751"/>
      <c r="EV524" s="1752"/>
      <c r="EX524" s="1750">
        <f>IF(BE524&gt;0,Einstrahlung!$K$22*Kalkulation!$P$62/100*$AY$29*POWER((100-$P$64)/100,BD524-1),0)</f>
        <v>0</v>
      </c>
      <c r="EY524" s="1751"/>
      <c r="EZ524" s="1751"/>
      <c r="FA524" s="1751"/>
      <c r="FB524" s="1752"/>
      <c r="FD524" s="1750">
        <f t="shared" si="161"/>
        <v>0</v>
      </c>
      <c r="FE524" s="1751"/>
      <c r="FF524" s="1751"/>
      <c r="FG524" s="1751"/>
      <c r="FH524" s="1752"/>
      <c r="FI524" s="385"/>
      <c r="FJ524" s="380">
        <f t="shared" si="173"/>
        <v>0</v>
      </c>
      <c r="FK524" s="385"/>
      <c r="FL524" s="380">
        <f t="shared" si="209"/>
        <v>0</v>
      </c>
      <c r="FM524" s="385"/>
      <c r="FN524" s="380">
        <f t="shared" si="162"/>
        <v>0</v>
      </c>
      <c r="FO524" s="962">
        <f t="shared" si="167"/>
        <v>316</v>
      </c>
      <c r="FP524" s="956">
        <f t="shared" si="154"/>
        <v>0.4</v>
      </c>
      <c r="FQ524" s="380">
        <f t="shared" si="178"/>
        <v>0</v>
      </c>
      <c r="FR524" s="626">
        <f t="shared" si="210"/>
        <v>1</v>
      </c>
      <c r="FT524" s="1819">
        <f t="shared" si="168"/>
        <v>0</v>
      </c>
      <c r="FU524" s="1820"/>
      <c r="FV524" s="1820"/>
      <c r="FW524" s="1820"/>
      <c r="FX524" s="1821"/>
      <c r="FY524" s="1819">
        <f t="shared" si="163"/>
        <v>0</v>
      </c>
      <c r="FZ524" s="1820"/>
      <c r="GA524" s="1820"/>
      <c r="GB524" s="1821"/>
      <c r="GC524" s="1825">
        <f t="shared" si="182"/>
        <v>0</v>
      </c>
      <c r="GD524" s="1826"/>
      <c r="GE524" s="1826"/>
      <c r="GF524" s="1827"/>
      <c r="GH524" s="1750">
        <f t="shared" si="164"/>
        <v>0</v>
      </c>
      <c r="GI524" s="1751"/>
      <c r="GJ524" s="1751"/>
      <c r="GK524" s="1752"/>
      <c r="GL524" s="1750">
        <f t="shared" si="165"/>
        <v>0</v>
      </c>
      <c r="GM524" s="1751"/>
      <c r="GN524" s="1751"/>
      <c r="GO524" s="1752"/>
      <c r="GP524" s="385"/>
      <c r="GQ524" s="1750">
        <f t="shared" si="166"/>
        <v>0</v>
      </c>
      <c r="GR524" s="1751"/>
      <c r="GS524" s="1751"/>
      <c r="GT524" s="1752"/>
      <c r="GU524" s="192">
        <f t="shared" si="176"/>
        <v>1</v>
      </c>
      <c r="GV524" s="192">
        <f>SUM($GU$337:GU524)</f>
        <v>180</v>
      </c>
      <c r="GW524" s="318"/>
      <c r="HK524" s="380">
        <f t="shared" si="201"/>
        <v>0</v>
      </c>
      <c r="HX524" s="380"/>
    </row>
    <row r="525" spans="4:232">
      <c r="D525" s="313"/>
      <c r="E525" s="247"/>
      <c r="F525" s="247"/>
      <c r="G525" s="247"/>
      <c r="H525" s="247"/>
      <c r="I525" s="247"/>
      <c r="J525" s="428">
        <f>'Endfälliges Darlehen'!AV37</f>
        <v>0</v>
      </c>
      <c r="K525" s="429"/>
      <c r="L525" s="429"/>
      <c r="M525" s="429"/>
      <c r="N525" s="429"/>
      <c r="O525" s="430"/>
      <c r="P525" s="436"/>
      <c r="S525" s="435" t="str">
        <f>IF(AA477="a","Annuität: "&amp;V96&amp;"% p.a.;","")</f>
        <v/>
      </c>
      <c r="BD525" s="387">
        <f t="shared" si="202"/>
        <v>15</v>
      </c>
      <c r="BE525" s="382">
        <f>IF(BD525&gt;0,188,0)</f>
        <v>188</v>
      </c>
      <c r="BG525" s="383">
        <f>IF($BE525&gt;$R$66-3+($BR$335*12),188,0)</f>
        <v>188</v>
      </c>
      <c r="BH525" s="1754">
        <f t="shared" si="203"/>
        <v>0</v>
      </c>
      <c r="BI525" s="1754"/>
      <c r="BJ525" s="1754"/>
      <c r="BK525" s="1754"/>
      <c r="BL525" s="1754">
        <f t="shared" si="155"/>
        <v>0</v>
      </c>
      <c r="BM525" s="1754"/>
      <c r="BN525" s="1754"/>
      <c r="BO525" s="1754">
        <f t="shared" si="146"/>
        <v>0</v>
      </c>
      <c r="BP525" s="1754"/>
      <c r="BQ525" s="1754"/>
      <c r="BR525" s="1754">
        <f t="shared" si="204"/>
        <v>0</v>
      </c>
      <c r="BS525" s="1754"/>
      <c r="BT525" s="1754"/>
      <c r="BU525" s="1754"/>
      <c r="BW525" s="383">
        <f>IF($BE525&gt;$R$66-3+($CH$335*12),188,0)</f>
        <v>188</v>
      </c>
      <c r="BX525" s="1754">
        <f t="shared" si="205"/>
        <v>0</v>
      </c>
      <c r="BY525" s="1754"/>
      <c r="BZ525" s="1754"/>
      <c r="CA525" s="1754"/>
      <c r="CB525" s="1754">
        <f t="shared" si="156"/>
        <v>0</v>
      </c>
      <c r="CC525" s="1754"/>
      <c r="CD525" s="1754"/>
      <c r="CE525" s="1754">
        <f t="shared" si="147"/>
        <v>0</v>
      </c>
      <c r="CF525" s="1754"/>
      <c r="CG525" s="1754"/>
      <c r="CH525" s="1754">
        <f t="shared" si="148"/>
        <v>0</v>
      </c>
      <c r="CI525" s="1754"/>
      <c r="CJ525" s="1754"/>
      <c r="CK525" s="1754"/>
      <c r="CM525" s="383">
        <f>IF($BE525&gt;$R$66-3+($CX$335*12),188,0)</f>
        <v>188</v>
      </c>
      <c r="CN525" s="1754">
        <f t="shared" si="206"/>
        <v>0</v>
      </c>
      <c r="CO525" s="1754"/>
      <c r="CP525" s="1754"/>
      <c r="CQ525" s="1754"/>
      <c r="CR525" s="1754">
        <f t="shared" si="157"/>
        <v>0</v>
      </c>
      <c r="CS525" s="1754"/>
      <c r="CT525" s="1754"/>
      <c r="CU525" s="1754">
        <f t="shared" si="149"/>
        <v>0</v>
      </c>
      <c r="CV525" s="1754"/>
      <c r="CW525" s="1754"/>
      <c r="CX525" s="1754">
        <f t="shared" si="150"/>
        <v>0</v>
      </c>
      <c r="CY525" s="1754"/>
      <c r="CZ525" s="1754"/>
      <c r="DA525" s="1754"/>
      <c r="DC525" s="383">
        <f>IF($BE525&gt;$R$66-3,188,0)</f>
        <v>188</v>
      </c>
      <c r="DD525" s="1754">
        <f t="shared" si="207"/>
        <v>0</v>
      </c>
      <c r="DE525" s="1754"/>
      <c r="DF525" s="1754"/>
      <c r="DG525" s="1754"/>
      <c r="DH525" s="1754">
        <f t="shared" si="158"/>
        <v>0</v>
      </c>
      <c r="DI525" s="1754"/>
      <c r="DJ525" s="1754"/>
      <c r="DK525" s="1754">
        <f t="shared" si="151"/>
        <v>0</v>
      </c>
      <c r="DL525" s="1754"/>
      <c r="DM525" s="1754"/>
      <c r="DN525" s="1754"/>
      <c r="DP525" s="383">
        <f t="shared" si="159"/>
        <v>188</v>
      </c>
      <c r="DQ525" s="1754">
        <f t="shared" si="208"/>
        <v>0</v>
      </c>
      <c r="DR525" s="1754"/>
      <c r="DS525" s="1754"/>
      <c r="DT525" s="1754"/>
      <c r="DU525" s="1754">
        <f t="shared" si="177"/>
        <v>0</v>
      </c>
      <c r="DV525" s="1754"/>
      <c r="DW525" s="1754"/>
      <c r="DX525" s="1754">
        <f t="shared" si="179"/>
        <v>0</v>
      </c>
      <c r="DY525" s="1754"/>
      <c r="DZ525" s="1754"/>
      <c r="EA525" s="1754">
        <f t="shared" si="180"/>
        <v>0</v>
      </c>
      <c r="EB525" s="1754"/>
      <c r="EC525" s="1754"/>
      <c r="ED525" s="1754"/>
      <c r="EE525" s="384"/>
      <c r="EF525" s="1750">
        <f t="shared" si="152"/>
        <v>0</v>
      </c>
      <c r="EG525" s="1751"/>
      <c r="EH525" s="1751"/>
      <c r="EI525" s="1751"/>
      <c r="EJ525" s="1752"/>
      <c r="EL525" s="1750">
        <f t="shared" si="181"/>
        <v>0</v>
      </c>
      <c r="EM525" s="1751"/>
      <c r="EN525" s="1751"/>
      <c r="EO525" s="1751"/>
      <c r="EP525" s="1752"/>
      <c r="ER525" s="1750">
        <f t="shared" si="153"/>
        <v>0</v>
      </c>
      <c r="ES525" s="1751"/>
      <c r="ET525" s="1751"/>
      <c r="EU525" s="1751"/>
      <c r="EV525" s="1752"/>
      <c r="EX525" s="1750">
        <f>IF(BE525&gt;0,Einstrahlung!$K$24*Kalkulation!$P$62/100*$AY$29*POWER((100-$P$64)/100,BD525-1),0)</f>
        <v>0</v>
      </c>
      <c r="EY525" s="1751"/>
      <c r="EZ525" s="1751"/>
      <c r="FA525" s="1751"/>
      <c r="FB525" s="1752"/>
      <c r="FD525" s="1750">
        <f t="shared" si="161"/>
        <v>0</v>
      </c>
      <c r="FE525" s="1751"/>
      <c r="FF525" s="1751"/>
      <c r="FG525" s="1751"/>
      <c r="FH525" s="1752"/>
      <c r="FI525" s="385"/>
      <c r="FJ525" s="380">
        <f t="shared" si="173"/>
        <v>0</v>
      </c>
      <c r="FK525" s="385"/>
      <c r="FL525" s="380">
        <f t="shared" si="209"/>
        <v>0</v>
      </c>
      <c r="FM525" s="385"/>
      <c r="FN525" s="380">
        <f t="shared" si="162"/>
        <v>0</v>
      </c>
      <c r="FO525" s="962">
        <f t="shared" si="167"/>
        <v>317</v>
      </c>
      <c r="FP525" s="956">
        <f t="shared" si="154"/>
        <v>0.4</v>
      </c>
      <c r="FQ525" s="380">
        <f t="shared" si="178"/>
        <v>0</v>
      </c>
      <c r="FR525" s="626">
        <f t="shared" si="210"/>
        <v>1</v>
      </c>
      <c r="FT525" s="1819">
        <f t="shared" si="168"/>
        <v>0</v>
      </c>
      <c r="FU525" s="1820"/>
      <c r="FV525" s="1820"/>
      <c r="FW525" s="1820"/>
      <c r="FX525" s="1821"/>
      <c r="FY525" s="1819">
        <f t="shared" si="163"/>
        <v>0</v>
      </c>
      <c r="FZ525" s="1820"/>
      <c r="GA525" s="1820"/>
      <c r="GB525" s="1821"/>
      <c r="GC525" s="1825">
        <f t="shared" si="182"/>
        <v>0</v>
      </c>
      <c r="GD525" s="1826"/>
      <c r="GE525" s="1826"/>
      <c r="GF525" s="1827"/>
      <c r="GH525" s="1750">
        <f t="shared" si="164"/>
        <v>0</v>
      </c>
      <c r="GI525" s="1751"/>
      <c r="GJ525" s="1751"/>
      <c r="GK525" s="1752"/>
      <c r="GL525" s="1750">
        <f t="shared" si="165"/>
        <v>0</v>
      </c>
      <c r="GM525" s="1751"/>
      <c r="GN525" s="1751"/>
      <c r="GO525" s="1752"/>
      <c r="GP525" s="385"/>
      <c r="GQ525" s="1750">
        <f t="shared" si="166"/>
        <v>0</v>
      </c>
      <c r="GR525" s="1751"/>
      <c r="GS525" s="1751"/>
      <c r="GT525" s="1752"/>
      <c r="GU525" s="192">
        <f t="shared" si="176"/>
        <v>1</v>
      </c>
      <c r="GV525" s="192">
        <f>SUM($GU$337:GU525)</f>
        <v>181</v>
      </c>
      <c r="GW525" s="318"/>
      <c r="HK525" s="380">
        <f t="shared" si="201"/>
        <v>0</v>
      </c>
      <c r="HX525" s="380"/>
    </row>
    <row r="526" spans="4:232">
      <c r="D526" s="409">
        <v>14</v>
      </c>
      <c r="E526" s="318"/>
      <c r="F526" s="428">
        <f>BR517</f>
        <v>0</v>
      </c>
      <c r="G526" s="428">
        <f>CH517</f>
        <v>0</v>
      </c>
      <c r="H526" s="428">
        <f>CX517</f>
        <v>0</v>
      </c>
      <c r="I526" s="247"/>
      <c r="J526" s="247"/>
      <c r="K526" s="429">
        <f>IF(AND(F526&gt;0,F529=0),$D526,0)</f>
        <v>0</v>
      </c>
      <c r="L526" s="429">
        <f>IF(AND(G526&gt;0,G529=0),$D526,0)</f>
        <v>0</v>
      </c>
      <c r="N526" s="429">
        <f>IF(AND(H526&gt;0,H529=0),$D526,0)</f>
        <v>0</v>
      </c>
      <c r="O526" s="430"/>
      <c r="P526" s="436"/>
      <c r="S526" s="435" t="str">
        <f>IF(X96=0,"",""&amp;X96&amp;" tilgungsfreie J.;")</f>
        <v/>
      </c>
      <c r="BD526" s="387">
        <f t="shared" si="202"/>
        <v>15</v>
      </c>
      <c r="BE526" s="382">
        <f>IF(BD526&gt;0,189,0)</f>
        <v>189</v>
      </c>
      <c r="BG526" s="383">
        <f>IF($BE526&gt;$R$66-3+($BR$335*12),189,0)</f>
        <v>189</v>
      </c>
      <c r="BH526" s="1754">
        <f t="shared" si="203"/>
        <v>0</v>
      </c>
      <c r="BI526" s="1754"/>
      <c r="BJ526" s="1754"/>
      <c r="BK526" s="1754"/>
      <c r="BL526" s="1754">
        <f t="shared" si="155"/>
        <v>0</v>
      </c>
      <c r="BM526" s="1754"/>
      <c r="BN526" s="1754"/>
      <c r="BO526" s="1754">
        <f t="shared" si="146"/>
        <v>0</v>
      </c>
      <c r="BP526" s="1754"/>
      <c r="BQ526" s="1754"/>
      <c r="BR526" s="1754">
        <f t="shared" si="204"/>
        <v>0</v>
      </c>
      <c r="BS526" s="1754"/>
      <c r="BT526" s="1754"/>
      <c r="BU526" s="1754"/>
      <c r="BW526" s="383">
        <f>IF($BE526&gt;$R$66-3+($CH$335*12),189,0)</f>
        <v>189</v>
      </c>
      <c r="BX526" s="1754">
        <f t="shared" si="205"/>
        <v>0</v>
      </c>
      <c r="BY526" s="1754"/>
      <c r="BZ526" s="1754"/>
      <c r="CA526" s="1754"/>
      <c r="CB526" s="1754">
        <f t="shared" si="156"/>
        <v>0</v>
      </c>
      <c r="CC526" s="1754"/>
      <c r="CD526" s="1754"/>
      <c r="CE526" s="1754">
        <f t="shared" si="147"/>
        <v>0</v>
      </c>
      <c r="CF526" s="1754"/>
      <c r="CG526" s="1754"/>
      <c r="CH526" s="1754">
        <f t="shared" si="148"/>
        <v>0</v>
      </c>
      <c r="CI526" s="1754"/>
      <c r="CJ526" s="1754"/>
      <c r="CK526" s="1754"/>
      <c r="CM526" s="383">
        <f>IF($BE526&gt;$R$66-3+($CX$335*12),189,0)</f>
        <v>189</v>
      </c>
      <c r="CN526" s="1754">
        <f t="shared" si="206"/>
        <v>0</v>
      </c>
      <c r="CO526" s="1754"/>
      <c r="CP526" s="1754"/>
      <c r="CQ526" s="1754"/>
      <c r="CR526" s="1754">
        <f t="shared" si="157"/>
        <v>0</v>
      </c>
      <c r="CS526" s="1754"/>
      <c r="CT526" s="1754"/>
      <c r="CU526" s="1754">
        <f t="shared" si="149"/>
        <v>0</v>
      </c>
      <c r="CV526" s="1754"/>
      <c r="CW526" s="1754"/>
      <c r="CX526" s="1754">
        <f t="shared" si="150"/>
        <v>0</v>
      </c>
      <c r="CY526" s="1754"/>
      <c r="CZ526" s="1754"/>
      <c r="DA526" s="1754"/>
      <c r="DC526" s="383">
        <f>IF($BE526&gt;$R$66-3,189,0)</f>
        <v>189</v>
      </c>
      <c r="DD526" s="1754">
        <f t="shared" si="207"/>
        <v>0</v>
      </c>
      <c r="DE526" s="1754"/>
      <c r="DF526" s="1754"/>
      <c r="DG526" s="1754"/>
      <c r="DH526" s="1754">
        <f t="shared" si="158"/>
        <v>0</v>
      </c>
      <c r="DI526" s="1754"/>
      <c r="DJ526" s="1754"/>
      <c r="DK526" s="1754">
        <f t="shared" si="151"/>
        <v>0</v>
      </c>
      <c r="DL526" s="1754"/>
      <c r="DM526" s="1754"/>
      <c r="DN526" s="1754"/>
      <c r="DP526" s="383">
        <f t="shared" si="159"/>
        <v>189</v>
      </c>
      <c r="DQ526" s="1754">
        <f t="shared" si="208"/>
        <v>0</v>
      </c>
      <c r="DR526" s="1754"/>
      <c r="DS526" s="1754"/>
      <c r="DT526" s="1754"/>
      <c r="DU526" s="1754">
        <f t="shared" si="177"/>
        <v>0</v>
      </c>
      <c r="DV526" s="1754"/>
      <c r="DW526" s="1754"/>
      <c r="DX526" s="1754">
        <f t="shared" si="179"/>
        <v>0</v>
      </c>
      <c r="DY526" s="1754"/>
      <c r="DZ526" s="1754"/>
      <c r="EA526" s="1754">
        <f t="shared" si="180"/>
        <v>0</v>
      </c>
      <c r="EB526" s="1754"/>
      <c r="EC526" s="1754"/>
      <c r="ED526" s="1754"/>
      <c r="EE526" s="384"/>
      <c r="EF526" s="1750">
        <f t="shared" si="152"/>
        <v>0</v>
      </c>
      <c r="EG526" s="1751"/>
      <c r="EH526" s="1751"/>
      <c r="EI526" s="1751"/>
      <c r="EJ526" s="1752"/>
      <c r="EL526" s="1750">
        <f t="shared" si="181"/>
        <v>0</v>
      </c>
      <c r="EM526" s="1751"/>
      <c r="EN526" s="1751"/>
      <c r="EO526" s="1751"/>
      <c r="EP526" s="1752"/>
      <c r="ER526" s="1750">
        <f t="shared" si="153"/>
        <v>0</v>
      </c>
      <c r="ES526" s="1751"/>
      <c r="ET526" s="1751"/>
      <c r="EU526" s="1751"/>
      <c r="EV526" s="1752"/>
      <c r="EX526" s="1750">
        <f>IF(BE526&gt;0,Einstrahlung!$K$26*Kalkulation!$P$62/100*$AY$29*POWER((100-$P$64)/100,BD526-1),0)</f>
        <v>0</v>
      </c>
      <c r="EY526" s="1751"/>
      <c r="EZ526" s="1751"/>
      <c r="FA526" s="1751"/>
      <c r="FB526" s="1752"/>
      <c r="FD526" s="1750">
        <f t="shared" si="161"/>
        <v>0</v>
      </c>
      <c r="FE526" s="1751"/>
      <c r="FF526" s="1751"/>
      <c r="FG526" s="1751"/>
      <c r="FH526" s="1752"/>
      <c r="FI526" s="385"/>
      <c r="FJ526" s="380">
        <f t="shared" si="173"/>
        <v>0</v>
      </c>
      <c r="FK526" s="385"/>
      <c r="FL526" s="380">
        <f t="shared" si="209"/>
        <v>0</v>
      </c>
      <c r="FM526" s="385"/>
      <c r="FN526" s="380">
        <f t="shared" si="162"/>
        <v>0</v>
      </c>
      <c r="FO526" s="962">
        <f t="shared" si="167"/>
        <v>318</v>
      </c>
      <c r="FP526" s="956">
        <f t="shared" si="154"/>
        <v>0.4</v>
      </c>
      <c r="FQ526" s="380">
        <f t="shared" si="178"/>
        <v>0</v>
      </c>
      <c r="FR526" s="626">
        <f t="shared" si="210"/>
        <v>1</v>
      </c>
      <c r="FT526" s="1819">
        <f t="shared" si="168"/>
        <v>0</v>
      </c>
      <c r="FU526" s="1820"/>
      <c r="FV526" s="1820"/>
      <c r="FW526" s="1820"/>
      <c r="FX526" s="1821"/>
      <c r="FY526" s="1819">
        <f t="shared" si="163"/>
        <v>0</v>
      </c>
      <c r="FZ526" s="1820"/>
      <c r="GA526" s="1820"/>
      <c r="GB526" s="1821"/>
      <c r="GC526" s="1825">
        <f t="shared" si="182"/>
        <v>0</v>
      </c>
      <c r="GD526" s="1826"/>
      <c r="GE526" s="1826"/>
      <c r="GF526" s="1827"/>
      <c r="GH526" s="1750">
        <f t="shared" si="164"/>
        <v>0</v>
      </c>
      <c r="GI526" s="1751"/>
      <c r="GJ526" s="1751"/>
      <c r="GK526" s="1752"/>
      <c r="GL526" s="1750">
        <f t="shared" si="165"/>
        <v>0</v>
      </c>
      <c r="GM526" s="1751"/>
      <c r="GN526" s="1751"/>
      <c r="GO526" s="1752"/>
      <c r="GP526" s="385"/>
      <c r="GQ526" s="1750">
        <f t="shared" si="166"/>
        <v>0</v>
      </c>
      <c r="GR526" s="1751"/>
      <c r="GS526" s="1751"/>
      <c r="GT526" s="1752"/>
      <c r="GU526" s="192">
        <f t="shared" si="176"/>
        <v>1</v>
      </c>
      <c r="GV526" s="192">
        <f>SUM($GU$337:GU526)</f>
        <v>182</v>
      </c>
      <c r="GW526" s="318"/>
      <c r="HK526" s="380">
        <f t="shared" si="201"/>
        <v>0</v>
      </c>
      <c r="HX526" s="380"/>
    </row>
    <row r="527" spans="4:232">
      <c r="D527" s="313"/>
      <c r="E527" s="247"/>
      <c r="F527" s="247"/>
      <c r="G527" s="247"/>
      <c r="H527" s="247"/>
      <c r="I527" s="428">
        <f>'Endfälliges Darlehen'!AG39</f>
        <v>0</v>
      </c>
      <c r="J527" s="247"/>
      <c r="K527" s="429"/>
      <c r="L527" s="429"/>
      <c r="M527" s="429"/>
      <c r="N527" s="429"/>
      <c r="O527" s="430">
        <f>IF(AND(I527&gt;0,I530=0),$D526,0)</f>
        <v>0</v>
      </c>
      <c r="P527" s="436"/>
      <c r="S527" s="435" t="str">
        <f>"Das Darl. läuft nach rd. "&amp;N481&amp;" Jahren aus."</f>
        <v>Das Darl. läuft nach rd. 0 Jahren aus.</v>
      </c>
      <c r="BD527" s="387">
        <f t="shared" si="202"/>
        <v>15</v>
      </c>
      <c r="BE527" s="382">
        <f>IF(BD527&gt;0,190,0)</f>
        <v>190</v>
      </c>
      <c r="BG527" s="383">
        <f>IF($BE527&gt;$R$66-3+($BR$335*12),190,0)</f>
        <v>190</v>
      </c>
      <c r="BH527" s="1754">
        <f t="shared" si="203"/>
        <v>0</v>
      </c>
      <c r="BI527" s="1754"/>
      <c r="BJ527" s="1754"/>
      <c r="BK527" s="1754"/>
      <c r="BL527" s="1754">
        <f t="shared" si="155"/>
        <v>0</v>
      </c>
      <c r="BM527" s="1754"/>
      <c r="BN527" s="1754"/>
      <c r="BO527" s="1754">
        <f t="shared" si="146"/>
        <v>0</v>
      </c>
      <c r="BP527" s="1754"/>
      <c r="BQ527" s="1754"/>
      <c r="BR527" s="1754">
        <f t="shared" si="204"/>
        <v>0</v>
      </c>
      <c r="BS527" s="1754"/>
      <c r="BT527" s="1754"/>
      <c r="BU527" s="1754"/>
      <c r="BW527" s="383">
        <f>IF($BE527&gt;$R$66-3+($CH$335*12),190,0)</f>
        <v>190</v>
      </c>
      <c r="BX527" s="1754">
        <f t="shared" si="205"/>
        <v>0</v>
      </c>
      <c r="BY527" s="1754"/>
      <c r="BZ527" s="1754"/>
      <c r="CA527" s="1754"/>
      <c r="CB527" s="1754">
        <f t="shared" si="156"/>
        <v>0</v>
      </c>
      <c r="CC527" s="1754"/>
      <c r="CD527" s="1754"/>
      <c r="CE527" s="1754">
        <f t="shared" si="147"/>
        <v>0</v>
      </c>
      <c r="CF527" s="1754"/>
      <c r="CG527" s="1754"/>
      <c r="CH527" s="1754">
        <f t="shared" si="148"/>
        <v>0</v>
      </c>
      <c r="CI527" s="1754"/>
      <c r="CJ527" s="1754"/>
      <c r="CK527" s="1754"/>
      <c r="CM527" s="383">
        <f>IF($BE527&gt;$R$66-3+($CX$335*12),190,0)</f>
        <v>190</v>
      </c>
      <c r="CN527" s="1754">
        <f t="shared" si="206"/>
        <v>0</v>
      </c>
      <c r="CO527" s="1754"/>
      <c r="CP527" s="1754"/>
      <c r="CQ527" s="1754"/>
      <c r="CR527" s="1754">
        <f t="shared" si="157"/>
        <v>0</v>
      </c>
      <c r="CS527" s="1754"/>
      <c r="CT527" s="1754"/>
      <c r="CU527" s="1754">
        <f t="shared" si="149"/>
        <v>0</v>
      </c>
      <c r="CV527" s="1754"/>
      <c r="CW527" s="1754"/>
      <c r="CX527" s="1754">
        <f t="shared" si="150"/>
        <v>0</v>
      </c>
      <c r="CY527" s="1754"/>
      <c r="CZ527" s="1754"/>
      <c r="DA527" s="1754"/>
      <c r="DC527" s="383">
        <f>IF($BE527&gt;$R$66-3,190,0)</f>
        <v>190</v>
      </c>
      <c r="DD527" s="1754">
        <f t="shared" si="207"/>
        <v>0</v>
      </c>
      <c r="DE527" s="1754"/>
      <c r="DF527" s="1754"/>
      <c r="DG527" s="1754"/>
      <c r="DH527" s="1754">
        <f t="shared" si="158"/>
        <v>0</v>
      </c>
      <c r="DI527" s="1754"/>
      <c r="DJ527" s="1754"/>
      <c r="DK527" s="1754">
        <f t="shared" si="151"/>
        <v>0</v>
      </c>
      <c r="DL527" s="1754"/>
      <c r="DM527" s="1754"/>
      <c r="DN527" s="1754"/>
      <c r="DP527" s="383">
        <f t="shared" si="159"/>
        <v>190</v>
      </c>
      <c r="DQ527" s="1754">
        <f t="shared" si="208"/>
        <v>0</v>
      </c>
      <c r="DR527" s="1754"/>
      <c r="DS527" s="1754"/>
      <c r="DT527" s="1754"/>
      <c r="DU527" s="1754">
        <f t="shared" si="177"/>
        <v>0</v>
      </c>
      <c r="DV527" s="1754"/>
      <c r="DW527" s="1754"/>
      <c r="DX527" s="1754">
        <f t="shared" si="179"/>
        <v>0</v>
      </c>
      <c r="DY527" s="1754"/>
      <c r="DZ527" s="1754"/>
      <c r="EA527" s="1754">
        <f t="shared" si="180"/>
        <v>0</v>
      </c>
      <c r="EB527" s="1754"/>
      <c r="EC527" s="1754"/>
      <c r="ED527" s="1754"/>
      <c r="EE527" s="384"/>
      <c r="EF527" s="1750">
        <f t="shared" si="152"/>
        <v>0</v>
      </c>
      <c r="EG527" s="1751"/>
      <c r="EH527" s="1751"/>
      <c r="EI527" s="1751"/>
      <c r="EJ527" s="1752"/>
      <c r="EL527" s="1750">
        <f t="shared" si="181"/>
        <v>0</v>
      </c>
      <c r="EM527" s="1751"/>
      <c r="EN527" s="1751"/>
      <c r="EO527" s="1751"/>
      <c r="EP527" s="1752"/>
      <c r="ER527" s="1750">
        <f t="shared" si="153"/>
        <v>0</v>
      </c>
      <c r="ES527" s="1751"/>
      <c r="ET527" s="1751"/>
      <c r="EU527" s="1751"/>
      <c r="EV527" s="1752"/>
      <c r="EX527" s="1750">
        <f>IF(BE527&gt;0,Einstrahlung!$K$28*Kalkulation!$P$62/100*$AY$29*POWER((100-$P$64)/100,BD527-1),0)</f>
        <v>0</v>
      </c>
      <c r="EY527" s="1751"/>
      <c r="EZ527" s="1751"/>
      <c r="FA527" s="1751"/>
      <c r="FB527" s="1752"/>
      <c r="FD527" s="1750">
        <f t="shared" si="161"/>
        <v>0</v>
      </c>
      <c r="FE527" s="1751"/>
      <c r="FF527" s="1751"/>
      <c r="FG527" s="1751"/>
      <c r="FH527" s="1752"/>
      <c r="FI527" s="385"/>
      <c r="FJ527" s="380">
        <f t="shared" si="173"/>
        <v>0</v>
      </c>
      <c r="FK527" s="385"/>
      <c r="FL527" s="380">
        <f t="shared" si="209"/>
        <v>0</v>
      </c>
      <c r="FM527" s="385"/>
      <c r="FN527" s="380">
        <f t="shared" si="162"/>
        <v>0</v>
      </c>
      <c r="FO527" s="962">
        <f t="shared" si="167"/>
        <v>319</v>
      </c>
      <c r="FP527" s="956">
        <f t="shared" si="154"/>
        <v>0.4</v>
      </c>
      <c r="FQ527" s="380">
        <f t="shared" si="178"/>
        <v>0</v>
      </c>
      <c r="FR527" s="626">
        <f t="shared" si="210"/>
        <v>1</v>
      </c>
      <c r="FT527" s="1819">
        <f t="shared" si="168"/>
        <v>0</v>
      </c>
      <c r="FU527" s="1820"/>
      <c r="FV527" s="1820"/>
      <c r="FW527" s="1820"/>
      <c r="FX527" s="1821"/>
      <c r="FY527" s="1819">
        <f t="shared" si="163"/>
        <v>0</v>
      </c>
      <c r="FZ527" s="1820"/>
      <c r="GA527" s="1820"/>
      <c r="GB527" s="1821"/>
      <c r="GC527" s="1825">
        <f t="shared" si="182"/>
        <v>0</v>
      </c>
      <c r="GD527" s="1826"/>
      <c r="GE527" s="1826"/>
      <c r="GF527" s="1827"/>
      <c r="GH527" s="1750">
        <f t="shared" si="164"/>
        <v>0</v>
      </c>
      <c r="GI527" s="1751"/>
      <c r="GJ527" s="1751"/>
      <c r="GK527" s="1752"/>
      <c r="GL527" s="1750">
        <f t="shared" si="165"/>
        <v>0</v>
      </c>
      <c r="GM527" s="1751"/>
      <c r="GN527" s="1751"/>
      <c r="GO527" s="1752"/>
      <c r="GP527" s="385"/>
      <c r="GQ527" s="1750">
        <f t="shared" si="166"/>
        <v>0</v>
      </c>
      <c r="GR527" s="1751"/>
      <c r="GS527" s="1751"/>
      <c r="GT527" s="1752"/>
      <c r="GU527" s="192">
        <f t="shared" si="176"/>
        <v>1</v>
      </c>
      <c r="GV527" s="192">
        <f>SUM($GU$337:GU527)</f>
        <v>183</v>
      </c>
      <c r="GW527" s="318"/>
      <c r="HK527" s="380">
        <f t="shared" si="201"/>
        <v>0</v>
      </c>
      <c r="HX527" s="380"/>
    </row>
    <row r="528" spans="4:232">
      <c r="D528" s="313"/>
      <c r="E528" s="247"/>
      <c r="F528" s="247"/>
      <c r="G528" s="247"/>
      <c r="H528" s="247"/>
      <c r="I528" s="247"/>
      <c r="J528" s="428">
        <f>'Endfälliges Darlehen'!AV39</f>
        <v>0</v>
      </c>
      <c r="K528" s="429"/>
      <c r="L528" s="429"/>
      <c r="M528" s="429"/>
      <c r="N528" s="429"/>
      <c r="O528" s="430"/>
      <c r="P528" s="436"/>
      <c r="R528" s="434" t="str">
        <f>"  "&amp;F96&amp;" läuft länger als "&amp;V21&amp;" Jahre !!! Bitte prüfen !!! Ggf. Tilgung oder Annuität entsprechend anpassen !!!"</f>
        <v xml:space="preserve">  Darlehen 3 läuft länger als 20 Jahre !!! Bitte prüfen !!! Ggf. Tilgung oder Annuität entsprechend anpassen !!!</v>
      </c>
      <c r="BD528" s="387">
        <f t="shared" si="202"/>
        <v>15</v>
      </c>
      <c r="BE528" s="382">
        <f>IF(BD528&gt;0,191,0)</f>
        <v>191</v>
      </c>
      <c r="BG528" s="383">
        <f>IF($BE528&gt;$R$66-3+($BR$335*12),191,0)</f>
        <v>191</v>
      </c>
      <c r="BH528" s="1754">
        <f t="shared" si="203"/>
        <v>0</v>
      </c>
      <c r="BI528" s="1754"/>
      <c r="BJ528" s="1754"/>
      <c r="BK528" s="1754"/>
      <c r="BL528" s="1754">
        <f t="shared" si="155"/>
        <v>0</v>
      </c>
      <c r="BM528" s="1754"/>
      <c r="BN528" s="1754"/>
      <c r="BO528" s="1754">
        <f t="shared" si="146"/>
        <v>0</v>
      </c>
      <c r="BP528" s="1754"/>
      <c r="BQ528" s="1754"/>
      <c r="BR528" s="1754">
        <f t="shared" si="204"/>
        <v>0</v>
      </c>
      <c r="BS528" s="1754"/>
      <c r="BT528" s="1754"/>
      <c r="BU528" s="1754"/>
      <c r="BW528" s="383">
        <f>IF($BE528&gt;$R$66-3+($CH$335*12),191,0)</f>
        <v>191</v>
      </c>
      <c r="BX528" s="1754">
        <f t="shared" si="205"/>
        <v>0</v>
      </c>
      <c r="BY528" s="1754"/>
      <c r="BZ528" s="1754"/>
      <c r="CA528" s="1754"/>
      <c r="CB528" s="1754">
        <f t="shared" si="156"/>
        <v>0</v>
      </c>
      <c r="CC528" s="1754"/>
      <c r="CD528" s="1754"/>
      <c r="CE528" s="1754">
        <f t="shared" si="147"/>
        <v>0</v>
      </c>
      <c r="CF528" s="1754"/>
      <c r="CG528" s="1754"/>
      <c r="CH528" s="1754">
        <f t="shared" si="148"/>
        <v>0</v>
      </c>
      <c r="CI528" s="1754"/>
      <c r="CJ528" s="1754"/>
      <c r="CK528" s="1754"/>
      <c r="CM528" s="383">
        <f>IF($BE528&gt;$R$66-3+($CX$335*12),191,0)</f>
        <v>191</v>
      </c>
      <c r="CN528" s="1754">
        <f t="shared" si="206"/>
        <v>0</v>
      </c>
      <c r="CO528" s="1754"/>
      <c r="CP528" s="1754"/>
      <c r="CQ528" s="1754"/>
      <c r="CR528" s="1754">
        <f t="shared" si="157"/>
        <v>0</v>
      </c>
      <c r="CS528" s="1754"/>
      <c r="CT528" s="1754"/>
      <c r="CU528" s="1754">
        <f t="shared" si="149"/>
        <v>0</v>
      </c>
      <c r="CV528" s="1754"/>
      <c r="CW528" s="1754"/>
      <c r="CX528" s="1754">
        <f t="shared" si="150"/>
        <v>0</v>
      </c>
      <c r="CY528" s="1754"/>
      <c r="CZ528" s="1754"/>
      <c r="DA528" s="1754"/>
      <c r="DC528" s="383">
        <f>IF($BE528&gt;$R$66-3,191,0)</f>
        <v>191</v>
      </c>
      <c r="DD528" s="1754">
        <f t="shared" si="207"/>
        <v>0</v>
      </c>
      <c r="DE528" s="1754"/>
      <c r="DF528" s="1754"/>
      <c r="DG528" s="1754"/>
      <c r="DH528" s="1754">
        <f t="shared" si="158"/>
        <v>0</v>
      </c>
      <c r="DI528" s="1754"/>
      <c r="DJ528" s="1754"/>
      <c r="DK528" s="1754">
        <f t="shared" si="151"/>
        <v>0</v>
      </c>
      <c r="DL528" s="1754"/>
      <c r="DM528" s="1754"/>
      <c r="DN528" s="1754"/>
      <c r="DP528" s="383">
        <f t="shared" si="159"/>
        <v>191</v>
      </c>
      <c r="DQ528" s="1754">
        <f t="shared" si="208"/>
        <v>0</v>
      </c>
      <c r="DR528" s="1754"/>
      <c r="DS528" s="1754"/>
      <c r="DT528" s="1754"/>
      <c r="DU528" s="1754">
        <f t="shared" si="177"/>
        <v>0</v>
      </c>
      <c r="DV528" s="1754"/>
      <c r="DW528" s="1754"/>
      <c r="DX528" s="1754">
        <f t="shared" si="179"/>
        <v>0</v>
      </c>
      <c r="DY528" s="1754"/>
      <c r="DZ528" s="1754"/>
      <c r="EA528" s="1754">
        <f t="shared" si="180"/>
        <v>0</v>
      </c>
      <c r="EB528" s="1754"/>
      <c r="EC528" s="1754"/>
      <c r="ED528" s="1754"/>
      <c r="EE528" s="384"/>
      <c r="EF528" s="1750">
        <f t="shared" si="152"/>
        <v>0</v>
      </c>
      <c r="EG528" s="1751"/>
      <c r="EH528" s="1751"/>
      <c r="EI528" s="1751"/>
      <c r="EJ528" s="1752"/>
      <c r="EL528" s="1750">
        <f t="shared" si="181"/>
        <v>0</v>
      </c>
      <c r="EM528" s="1751"/>
      <c r="EN528" s="1751"/>
      <c r="EO528" s="1751"/>
      <c r="EP528" s="1752"/>
      <c r="ER528" s="1750">
        <f t="shared" si="153"/>
        <v>0</v>
      </c>
      <c r="ES528" s="1751"/>
      <c r="ET528" s="1751"/>
      <c r="EU528" s="1751"/>
      <c r="EV528" s="1752"/>
      <c r="EX528" s="1750">
        <f>IF(BE528&gt;0,Einstrahlung!$K$30*Kalkulation!$P$62/100*$AY$29*POWER((100-$P$64)/100,BD528-1),0)</f>
        <v>0</v>
      </c>
      <c r="EY528" s="1751"/>
      <c r="EZ528" s="1751"/>
      <c r="FA528" s="1751"/>
      <c r="FB528" s="1752"/>
      <c r="FD528" s="1750">
        <f t="shared" si="161"/>
        <v>0</v>
      </c>
      <c r="FE528" s="1751"/>
      <c r="FF528" s="1751"/>
      <c r="FG528" s="1751"/>
      <c r="FH528" s="1752"/>
      <c r="FI528" s="385"/>
      <c r="FJ528" s="380">
        <f t="shared" si="173"/>
        <v>0</v>
      </c>
      <c r="FK528" s="385"/>
      <c r="FL528" s="380">
        <f t="shared" si="209"/>
        <v>0</v>
      </c>
      <c r="FM528" s="385"/>
      <c r="FN528" s="380">
        <f t="shared" si="162"/>
        <v>0</v>
      </c>
      <c r="FO528" s="962">
        <f t="shared" si="167"/>
        <v>320</v>
      </c>
      <c r="FP528" s="956">
        <f t="shared" si="154"/>
        <v>0.4</v>
      </c>
      <c r="FQ528" s="380">
        <f t="shared" si="178"/>
        <v>0</v>
      </c>
      <c r="FR528" s="626">
        <f t="shared" si="210"/>
        <v>1</v>
      </c>
      <c r="FT528" s="1819">
        <f t="shared" si="168"/>
        <v>0</v>
      </c>
      <c r="FU528" s="1820"/>
      <c r="FV528" s="1820"/>
      <c r="FW528" s="1820"/>
      <c r="FX528" s="1821"/>
      <c r="FY528" s="1819">
        <f t="shared" si="163"/>
        <v>0</v>
      </c>
      <c r="FZ528" s="1820"/>
      <c r="GA528" s="1820"/>
      <c r="GB528" s="1821"/>
      <c r="GC528" s="1825">
        <f t="shared" si="182"/>
        <v>0</v>
      </c>
      <c r="GD528" s="1826"/>
      <c r="GE528" s="1826"/>
      <c r="GF528" s="1827"/>
      <c r="GH528" s="1750">
        <f t="shared" si="164"/>
        <v>0</v>
      </c>
      <c r="GI528" s="1751"/>
      <c r="GJ528" s="1751"/>
      <c r="GK528" s="1752"/>
      <c r="GL528" s="1750">
        <f t="shared" si="165"/>
        <v>0</v>
      </c>
      <c r="GM528" s="1751"/>
      <c r="GN528" s="1751"/>
      <c r="GO528" s="1752"/>
      <c r="GP528" s="385"/>
      <c r="GQ528" s="1750">
        <f t="shared" si="166"/>
        <v>0</v>
      </c>
      <c r="GR528" s="1751"/>
      <c r="GS528" s="1751"/>
      <c r="GT528" s="1752"/>
      <c r="GU528" s="192">
        <f t="shared" si="176"/>
        <v>1</v>
      </c>
      <c r="GV528" s="192">
        <f>SUM($GU$337:GU528)</f>
        <v>184</v>
      </c>
      <c r="GW528" s="318"/>
      <c r="HK528" s="380">
        <f t="shared" si="201"/>
        <v>0</v>
      </c>
      <c r="HX528" s="380"/>
    </row>
    <row r="529" spans="4:232" ht="13.5" thickBot="1">
      <c r="D529" s="409">
        <v>15</v>
      </c>
      <c r="E529" s="318"/>
      <c r="F529" s="428">
        <f>BR529</f>
        <v>0</v>
      </c>
      <c r="G529" s="428">
        <f>CH529</f>
        <v>0</v>
      </c>
      <c r="H529" s="428">
        <f>CX529</f>
        <v>0</v>
      </c>
      <c r="I529" s="247"/>
      <c r="J529" s="247"/>
      <c r="K529" s="429">
        <f>IF(AND(F529&gt;0,F532=0),$D529,0)</f>
        <v>0</v>
      </c>
      <c r="L529" s="429">
        <f>IF(AND(G529&gt;0,G532=0),$D529,0)</f>
        <v>0</v>
      </c>
      <c r="N529" s="429">
        <f>IF(AND(H529&gt;0,H532=0),$D529,0)</f>
        <v>0</v>
      </c>
      <c r="O529" s="430"/>
      <c r="P529" s="436"/>
      <c r="Q529" s="433" t="str">
        <f>IF(Q478&lt;1,"",IF(X478&gt;0,R533,R530))</f>
        <v/>
      </c>
      <c r="BD529" s="389">
        <f t="shared" si="202"/>
        <v>15</v>
      </c>
      <c r="BE529" s="390">
        <f>IF(BD529&gt;0,192,0)</f>
        <v>192</v>
      </c>
      <c r="BG529" s="391">
        <f>IF($BE529&gt;$R$66-3+($BR$335*12),192,0)</f>
        <v>192</v>
      </c>
      <c r="BH529" s="1753">
        <f t="shared" si="203"/>
        <v>0</v>
      </c>
      <c r="BI529" s="1753"/>
      <c r="BJ529" s="1753"/>
      <c r="BK529" s="1753"/>
      <c r="BL529" s="1753">
        <f t="shared" si="155"/>
        <v>0</v>
      </c>
      <c r="BM529" s="1753"/>
      <c r="BN529" s="1753"/>
      <c r="BO529" s="1753">
        <f t="shared" si="146"/>
        <v>0</v>
      </c>
      <c r="BP529" s="1753"/>
      <c r="BQ529" s="1753"/>
      <c r="BR529" s="1753">
        <f t="shared" si="204"/>
        <v>0</v>
      </c>
      <c r="BS529" s="1753"/>
      <c r="BT529" s="1753"/>
      <c r="BU529" s="1753"/>
      <c r="BW529" s="391">
        <f>IF($BE529&gt;$R$66-3+($CH$335*12),192,0)</f>
        <v>192</v>
      </c>
      <c r="BX529" s="1753">
        <f t="shared" si="205"/>
        <v>0</v>
      </c>
      <c r="BY529" s="1753"/>
      <c r="BZ529" s="1753"/>
      <c r="CA529" s="1753"/>
      <c r="CB529" s="1753">
        <f t="shared" si="156"/>
        <v>0</v>
      </c>
      <c r="CC529" s="1753"/>
      <c r="CD529" s="1753"/>
      <c r="CE529" s="1753">
        <f t="shared" si="147"/>
        <v>0</v>
      </c>
      <c r="CF529" s="1753"/>
      <c r="CG529" s="1753"/>
      <c r="CH529" s="1753">
        <f t="shared" si="148"/>
        <v>0</v>
      </c>
      <c r="CI529" s="1753"/>
      <c r="CJ529" s="1753"/>
      <c r="CK529" s="1753"/>
      <c r="CM529" s="391">
        <f>IF($BE529&gt;$R$66-3+($CX$335*12),192,0)</f>
        <v>192</v>
      </c>
      <c r="CN529" s="1753">
        <f t="shared" si="206"/>
        <v>0</v>
      </c>
      <c r="CO529" s="1753"/>
      <c r="CP529" s="1753"/>
      <c r="CQ529" s="1753"/>
      <c r="CR529" s="1753">
        <f t="shared" si="157"/>
        <v>0</v>
      </c>
      <c r="CS529" s="1753"/>
      <c r="CT529" s="1753"/>
      <c r="CU529" s="1753">
        <f t="shared" si="149"/>
        <v>0</v>
      </c>
      <c r="CV529" s="1753"/>
      <c r="CW529" s="1753"/>
      <c r="CX529" s="1753">
        <f t="shared" si="150"/>
        <v>0</v>
      </c>
      <c r="CY529" s="1753"/>
      <c r="CZ529" s="1753"/>
      <c r="DA529" s="1753"/>
      <c r="DC529" s="391">
        <f>IF($BE529&gt;$R$66-3,192,0)</f>
        <v>192</v>
      </c>
      <c r="DD529" s="1753">
        <f t="shared" si="207"/>
        <v>0</v>
      </c>
      <c r="DE529" s="1753"/>
      <c r="DF529" s="1753"/>
      <c r="DG529" s="1753"/>
      <c r="DH529" s="1753">
        <f t="shared" si="158"/>
        <v>0</v>
      </c>
      <c r="DI529" s="1753"/>
      <c r="DJ529" s="1753"/>
      <c r="DK529" s="1753">
        <f t="shared" si="151"/>
        <v>0</v>
      </c>
      <c r="DL529" s="1753"/>
      <c r="DM529" s="1753"/>
      <c r="DN529" s="1753"/>
      <c r="DP529" s="391">
        <f t="shared" si="159"/>
        <v>192</v>
      </c>
      <c r="DQ529" s="1753">
        <f t="shared" si="208"/>
        <v>0</v>
      </c>
      <c r="DR529" s="1753"/>
      <c r="DS529" s="1753"/>
      <c r="DT529" s="1753"/>
      <c r="DU529" s="1753">
        <f t="shared" si="177"/>
        <v>0</v>
      </c>
      <c r="DV529" s="1753"/>
      <c r="DW529" s="1753"/>
      <c r="DX529" s="1753">
        <f t="shared" si="179"/>
        <v>0</v>
      </c>
      <c r="DY529" s="1753"/>
      <c r="DZ529" s="1753"/>
      <c r="EA529" s="1753">
        <f t="shared" si="180"/>
        <v>0</v>
      </c>
      <c r="EB529" s="1753"/>
      <c r="EC529" s="1753"/>
      <c r="ED529" s="1753"/>
      <c r="EE529" s="384"/>
      <c r="EF529" s="1744">
        <f t="shared" si="152"/>
        <v>0</v>
      </c>
      <c r="EG529" s="1745"/>
      <c r="EH529" s="1745"/>
      <c r="EI529" s="1745"/>
      <c r="EJ529" s="1746"/>
      <c r="EL529" s="1744">
        <f t="shared" si="181"/>
        <v>0</v>
      </c>
      <c r="EM529" s="1745"/>
      <c r="EN529" s="1745"/>
      <c r="EO529" s="1745"/>
      <c r="EP529" s="1746"/>
      <c r="ER529" s="1744">
        <f t="shared" si="153"/>
        <v>0</v>
      </c>
      <c r="ES529" s="1745"/>
      <c r="ET529" s="1745"/>
      <c r="EU529" s="1745"/>
      <c r="EV529" s="1746"/>
      <c r="EX529" s="1744">
        <f>IF(BE529&gt;0,Einstrahlung!$K$32*Kalkulation!$P$62/100*$AY$29*POWER((100-$P$64)/100,BD529-1),0)</f>
        <v>0</v>
      </c>
      <c r="EY529" s="1745"/>
      <c r="EZ529" s="1745"/>
      <c r="FA529" s="1745"/>
      <c r="FB529" s="1746"/>
      <c r="FD529" s="1744">
        <f t="shared" si="161"/>
        <v>0</v>
      </c>
      <c r="FE529" s="1745"/>
      <c r="FF529" s="1745"/>
      <c r="FG529" s="1745"/>
      <c r="FH529" s="1746"/>
      <c r="FI529" s="385"/>
      <c r="FJ529" s="453">
        <f t="shared" si="173"/>
        <v>0</v>
      </c>
      <c r="FK529" s="385"/>
      <c r="FL529" s="453">
        <f t="shared" si="209"/>
        <v>0</v>
      </c>
      <c r="FM529" s="385"/>
      <c r="FN529" s="453">
        <f t="shared" si="162"/>
        <v>0</v>
      </c>
      <c r="FO529" s="962">
        <f t="shared" si="167"/>
        <v>321</v>
      </c>
      <c r="FP529" s="956">
        <f t="shared" si="154"/>
        <v>0.4</v>
      </c>
      <c r="FQ529" s="453">
        <f t="shared" si="178"/>
        <v>0</v>
      </c>
      <c r="FR529" s="957">
        <f>POWER(1+$FQ$333,FS529)</f>
        <v>1</v>
      </c>
      <c r="FS529" s="617">
        <f>FS517+1</f>
        <v>15</v>
      </c>
      <c r="FT529" s="1822">
        <f t="shared" si="168"/>
        <v>0</v>
      </c>
      <c r="FU529" s="1823"/>
      <c r="FV529" s="1823"/>
      <c r="FW529" s="1823"/>
      <c r="FX529" s="1824"/>
      <c r="FY529" s="1822">
        <f t="shared" si="163"/>
        <v>0</v>
      </c>
      <c r="FZ529" s="1823"/>
      <c r="GA529" s="1823"/>
      <c r="GB529" s="1824"/>
      <c r="GC529" s="1831">
        <f t="shared" si="182"/>
        <v>0</v>
      </c>
      <c r="GD529" s="1832"/>
      <c r="GE529" s="1832"/>
      <c r="GF529" s="1833"/>
      <c r="GH529" s="1744">
        <f t="shared" si="164"/>
        <v>0</v>
      </c>
      <c r="GI529" s="1745"/>
      <c r="GJ529" s="1745"/>
      <c r="GK529" s="1746"/>
      <c r="GL529" s="1744">
        <f t="shared" si="165"/>
        <v>0</v>
      </c>
      <c r="GM529" s="1745"/>
      <c r="GN529" s="1745"/>
      <c r="GO529" s="1746"/>
      <c r="GP529" s="385"/>
      <c r="GQ529" s="1744">
        <f t="shared" si="166"/>
        <v>0</v>
      </c>
      <c r="GR529" s="1745"/>
      <c r="GS529" s="1745"/>
      <c r="GT529" s="1746"/>
      <c r="GU529" s="192">
        <f t="shared" si="176"/>
        <v>1</v>
      </c>
      <c r="GV529" s="192">
        <f>SUM($GU$337:GU529)</f>
        <v>185</v>
      </c>
      <c r="GW529" s="318"/>
      <c r="HL529" s="380">
        <f t="shared" ref="HL529:HL540" si="211">IF(GV529=192,SUM(GQ518:GT529),0)</f>
        <v>0</v>
      </c>
      <c r="HX529" s="380"/>
    </row>
    <row r="530" spans="4:232">
      <c r="D530" s="313"/>
      <c r="E530" s="247"/>
      <c r="F530" s="247"/>
      <c r="G530" s="247"/>
      <c r="H530" s="247"/>
      <c r="I530" s="428">
        <f>'Endfälliges Darlehen'!AG41</f>
        <v>0</v>
      </c>
      <c r="J530" s="247"/>
      <c r="K530" s="429"/>
      <c r="L530" s="429"/>
      <c r="M530" s="429"/>
      <c r="N530" s="429"/>
      <c r="O530" s="430">
        <f>IF(AND(I530&gt;0,I533=0),$D529,0)</f>
        <v>0</v>
      </c>
      <c r="P530" s="436"/>
      <c r="R530" s="434" t="str">
        <f>"  "&amp;I480&amp;": "&amp;S531&amp;" "&amp;S532&amp;""</f>
        <v xml:space="preserve">  : Höhe: 0,- €; Zins: 0% p.a.;</v>
      </c>
      <c r="BD530" s="381">
        <f t="shared" ref="BD530:BD541" si="212">IF(BH530&lt;0,0,IF($V$21&gt;0,16,0))</f>
        <v>16</v>
      </c>
      <c r="BE530" s="382">
        <f>IF(BD530&gt;0,193,0)</f>
        <v>193</v>
      </c>
      <c r="BG530" s="395">
        <f>IF($BE530&gt;$R$66-3+($BR$335*12),193,0)</f>
        <v>193</v>
      </c>
      <c r="BH530" s="1754">
        <f t="shared" ref="BH530:BH541" si="213">IF(BR529&lt;=0,0,BR529)</f>
        <v>0</v>
      </c>
      <c r="BI530" s="1754"/>
      <c r="BJ530" s="1754"/>
      <c r="BK530" s="1754"/>
      <c r="BL530" s="1754">
        <f t="shared" si="155"/>
        <v>0</v>
      </c>
      <c r="BM530" s="1754"/>
      <c r="BN530" s="1754"/>
      <c r="BO530" s="1754">
        <f t="shared" ref="BO530:BO593" si="214">IF($BE530&gt;0,BH530*$BI$335/(100*12),0)</f>
        <v>0</v>
      </c>
      <c r="BP530" s="1754"/>
      <c r="BQ530" s="1754"/>
      <c r="BR530" s="1754">
        <f t="shared" ref="BR530:BR541" si="215">BH530-BL530</f>
        <v>0</v>
      </c>
      <c r="BS530" s="1754"/>
      <c r="BT530" s="1754"/>
      <c r="BU530" s="1754"/>
      <c r="BW530" s="395">
        <f>IF($BE530&gt;$R$66-3+($CH$335*12),193,0)</f>
        <v>193</v>
      </c>
      <c r="BX530" s="1754">
        <f t="shared" si="205"/>
        <v>0</v>
      </c>
      <c r="BY530" s="1754"/>
      <c r="BZ530" s="1754"/>
      <c r="CA530" s="1754"/>
      <c r="CB530" s="1754">
        <f t="shared" si="156"/>
        <v>0</v>
      </c>
      <c r="CC530" s="1754"/>
      <c r="CD530" s="1754"/>
      <c r="CE530" s="1754">
        <f t="shared" ref="CE530:CE593" si="216">IF($BE530&gt;0,BX530*$BY$335/(100*12),0)</f>
        <v>0</v>
      </c>
      <c r="CF530" s="1754"/>
      <c r="CG530" s="1754"/>
      <c r="CH530" s="1754">
        <f t="shared" ref="CH530:CH593" si="217">BX530-CB530</f>
        <v>0</v>
      </c>
      <c r="CI530" s="1754"/>
      <c r="CJ530" s="1754"/>
      <c r="CK530" s="1754"/>
      <c r="CM530" s="395">
        <f>IF($BE530&gt;$R$66-3+($CX$335*12),193,0)</f>
        <v>193</v>
      </c>
      <c r="CN530" s="1754">
        <f t="shared" si="206"/>
        <v>0</v>
      </c>
      <c r="CO530" s="1754"/>
      <c r="CP530" s="1754"/>
      <c r="CQ530" s="1754"/>
      <c r="CR530" s="1754">
        <f t="shared" si="157"/>
        <v>0</v>
      </c>
      <c r="CS530" s="1754"/>
      <c r="CT530" s="1754"/>
      <c r="CU530" s="1754">
        <f t="shared" ref="CU530:CU593" si="218">IF($BE530&gt;0,CN530*$CO$335/(100*12),0)</f>
        <v>0</v>
      </c>
      <c r="CV530" s="1754"/>
      <c r="CW530" s="1754"/>
      <c r="CX530" s="1754">
        <f t="shared" ref="CX530:CX593" si="219">CN530-CR530</f>
        <v>0</v>
      </c>
      <c r="CY530" s="1754"/>
      <c r="CZ530" s="1754"/>
      <c r="DA530" s="1754"/>
      <c r="DC530" s="395">
        <f>IF($BE530&gt;$R$66-3,193,0)</f>
        <v>193</v>
      </c>
      <c r="DD530" s="1754">
        <f t="shared" si="207"/>
        <v>0</v>
      </c>
      <c r="DE530" s="1754"/>
      <c r="DF530" s="1754"/>
      <c r="DG530" s="1754"/>
      <c r="DH530" s="1754">
        <f t="shared" si="158"/>
        <v>0</v>
      </c>
      <c r="DI530" s="1754"/>
      <c r="DJ530" s="1754"/>
      <c r="DK530" s="1754">
        <f t="shared" ref="DK530:DK549" si="220">IF(EA530&gt;(DD530),0,DD530)</f>
        <v>0</v>
      </c>
      <c r="DL530" s="1754"/>
      <c r="DM530" s="1754"/>
      <c r="DN530" s="1754"/>
      <c r="DP530" s="395">
        <f t="shared" si="159"/>
        <v>193</v>
      </c>
      <c r="DQ530" s="1754">
        <f t="shared" si="208"/>
        <v>0</v>
      </c>
      <c r="DR530" s="1754"/>
      <c r="DS530" s="1754"/>
      <c r="DT530" s="1754"/>
      <c r="DU530" s="1754">
        <f t="shared" si="177"/>
        <v>0</v>
      </c>
      <c r="DV530" s="1754"/>
      <c r="DW530" s="1754"/>
      <c r="DX530" s="1754">
        <f t="shared" si="179"/>
        <v>0</v>
      </c>
      <c r="DY530" s="1754"/>
      <c r="DZ530" s="1754"/>
      <c r="EA530" s="1754">
        <f t="shared" si="180"/>
        <v>0</v>
      </c>
      <c r="EB530" s="1754"/>
      <c r="EC530" s="1754"/>
      <c r="ED530" s="1754"/>
      <c r="EE530" s="384"/>
      <c r="EF530" s="1750">
        <f t="shared" ref="EF530:EF593" si="221">IF($BE530&gt;0,$AB$187/12,0)</f>
        <v>0</v>
      </c>
      <c r="EG530" s="1751"/>
      <c r="EH530" s="1751"/>
      <c r="EI530" s="1751"/>
      <c r="EJ530" s="1752"/>
      <c r="EL530" s="1750">
        <f t="shared" si="181"/>
        <v>0</v>
      </c>
      <c r="EM530" s="1751"/>
      <c r="EN530" s="1751"/>
      <c r="EO530" s="1751"/>
      <c r="EP530" s="1752"/>
      <c r="ER530" s="1750">
        <f t="shared" ref="ER530:ER593" si="222">IF($BE530&gt;0,($AB$197+$AB$203)/12,0)</f>
        <v>0</v>
      </c>
      <c r="ES530" s="1751"/>
      <c r="ET530" s="1751"/>
      <c r="EU530" s="1751"/>
      <c r="EV530" s="1752"/>
      <c r="EX530" s="1750">
        <f>IF(BE530&gt;0,Einstrahlung!$K$10*Kalkulation!$P$62/100*$AY$29*POWER((100-$P$64)/100,BD530-1),0)</f>
        <v>0</v>
      </c>
      <c r="EY530" s="1751"/>
      <c r="EZ530" s="1751"/>
      <c r="FA530" s="1751"/>
      <c r="FB530" s="1752"/>
      <c r="FD530" s="1750">
        <f t="shared" si="161"/>
        <v>0</v>
      </c>
      <c r="FE530" s="1751"/>
      <c r="FF530" s="1751"/>
      <c r="FG530" s="1751"/>
      <c r="FH530" s="1752"/>
      <c r="FI530" s="385"/>
      <c r="FJ530" s="380">
        <f t="shared" si="173"/>
        <v>0</v>
      </c>
      <c r="FK530" s="385"/>
      <c r="FL530" s="380">
        <f>IF(BE530&gt;0,IF($FL$336&gt;SUM($EX$530:$FB$541),SUM($EX$530:$FB$541)/12,$FL$336/12),0)</f>
        <v>0</v>
      </c>
      <c r="FM530" s="385"/>
      <c r="FN530" s="380">
        <f t="shared" si="162"/>
        <v>0</v>
      </c>
      <c r="FO530" s="962">
        <f t="shared" si="167"/>
        <v>322</v>
      </c>
      <c r="FP530" s="956">
        <f t="shared" ref="FP530:FP593" si="223">IF($B$118&lt;41,0,IF(FO530&lt;58,$BI$147,IF(AND(FO530&gt;57,FO530&lt;70),$BI$143,IF(FO530&gt;69,$BI$141,0))))</f>
        <v>0.4</v>
      </c>
      <c r="FQ530" s="380">
        <f t="shared" si="178"/>
        <v>0</v>
      </c>
      <c r="FR530" s="626">
        <f>IF(AND(GV530&gt;180,GV530&lt;=192),$FR$529,IF(AND(GV530&gt;192,GV530&lt;=204),$FR$541,0))</f>
        <v>1</v>
      </c>
      <c r="FT530" s="1819">
        <f t="shared" si="168"/>
        <v>0</v>
      </c>
      <c r="FU530" s="1820"/>
      <c r="FV530" s="1820"/>
      <c r="FW530" s="1820"/>
      <c r="FX530" s="1821"/>
      <c r="FY530" s="1819">
        <f t="shared" si="163"/>
        <v>0</v>
      </c>
      <c r="FZ530" s="1820"/>
      <c r="GA530" s="1820"/>
      <c r="GB530" s="1821"/>
      <c r="GC530" s="1825">
        <f t="shared" si="182"/>
        <v>0</v>
      </c>
      <c r="GD530" s="1826"/>
      <c r="GE530" s="1826"/>
      <c r="GF530" s="1827"/>
      <c r="GH530" s="1750">
        <f t="shared" si="164"/>
        <v>0</v>
      </c>
      <c r="GI530" s="1751"/>
      <c r="GJ530" s="1751"/>
      <c r="GK530" s="1751"/>
      <c r="GL530" s="1750">
        <f t="shared" si="165"/>
        <v>0</v>
      </c>
      <c r="GM530" s="1751"/>
      <c r="GN530" s="1751"/>
      <c r="GO530" s="1752"/>
      <c r="GP530" s="385"/>
      <c r="GQ530" s="1865">
        <f t="shared" si="166"/>
        <v>0</v>
      </c>
      <c r="GR530" s="1866"/>
      <c r="GS530" s="1866"/>
      <c r="GT530" s="1867"/>
      <c r="GU530" s="192">
        <f t="shared" si="176"/>
        <v>1</v>
      </c>
      <c r="GV530" s="192">
        <f>SUM($GU$337:GU530)</f>
        <v>186</v>
      </c>
      <c r="GW530" s="318"/>
      <c r="HL530" s="380">
        <f t="shared" si="211"/>
        <v>0</v>
      </c>
      <c r="HX530" s="380"/>
    </row>
    <row r="531" spans="4:232">
      <c r="D531" s="313"/>
      <c r="E531" s="247"/>
      <c r="F531" s="247"/>
      <c r="G531" s="247"/>
      <c r="H531" s="247"/>
      <c r="I531" s="247"/>
      <c r="J531" s="428">
        <f>'Endfälliges Darlehen'!AV41</f>
        <v>0</v>
      </c>
      <c r="K531" s="429"/>
      <c r="L531" s="429"/>
      <c r="M531" s="429"/>
      <c r="N531" s="429"/>
      <c r="O531" s="430"/>
      <c r="P531" s="436"/>
      <c r="S531" s="435" t="str">
        <f>"Höhe: "&amp;AA102&amp;",- €;"</f>
        <v>Höhe: 0,- €;</v>
      </c>
      <c r="BD531" s="387">
        <f t="shared" si="212"/>
        <v>16</v>
      </c>
      <c r="BE531" s="382">
        <f>IF(BD531&gt;0,194,0)</f>
        <v>194</v>
      </c>
      <c r="BG531" s="383">
        <f>IF($BE531&gt;$R$66-3+($BR$335*12),194,0)</f>
        <v>194</v>
      </c>
      <c r="BH531" s="1754">
        <f t="shared" si="213"/>
        <v>0</v>
      </c>
      <c r="BI531" s="1754"/>
      <c r="BJ531" s="1754"/>
      <c r="BK531" s="1754"/>
      <c r="BL531" s="1754">
        <f t="shared" ref="BL531:BL594" si="224">IF(BH531&lt;=BL530,BH531,IF(BG531&gt;0,IF($BG$334="R",$BR$332/(($BR$333-$X$92)*12),$BR$334/12-BO531),0))</f>
        <v>0</v>
      </c>
      <c r="BM531" s="1754"/>
      <c r="BN531" s="1754"/>
      <c r="BO531" s="1754">
        <f t="shared" si="214"/>
        <v>0</v>
      </c>
      <c r="BP531" s="1754"/>
      <c r="BQ531" s="1754"/>
      <c r="BR531" s="1754">
        <f t="shared" si="215"/>
        <v>0</v>
      </c>
      <c r="BS531" s="1754"/>
      <c r="BT531" s="1754"/>
      <c r="BU531" s="1754"/>
      <c r="BW531" s="383">
        <f>IF($BE531&gt;$R$66-3+($CH$335*12),194,0)</f>
        <v>194</v>
      </c>
      <c r="BX531" s="1754">
        <f t="shared" si="205"/>
        <v>0</v>
      </c>
      <c r="BY531" s="1754"/>
      <c r="BZ531" s="1754"/>
      <c r="CA531" s="1754"/>
      <c r="CB531" s="1754">
        <f t="shared" ref="CB531:CB594" si="225">IF(BX531&lt;=CB530,BX531,IF(BW531&gt;0,IF($BW$334="R",$CH$332/(($CH$333-$X$94)*12),$CH$334/12-CE531),0))</f>
        <v>0</v>
      </c>
      <c r="CC531" s="1754"/>
      <c r="CD531" s="1754"/>
      <c r="CE531" s="1754">
        <f t="shared" si="216"/>
        <v>0</v>
      </c>
      <c r="CF531" s="1754"/>
      <c r="CG531" s="1754"/>
      <c r="CH531" s="1754">
        <f t="shared" si="217"/>
        <v>0</v>
      </c>
      <c r="CI531" s="1754"/>
      <c r="CJ531" s="1754"/>
      <c r="CK531" s="1754"/>
      <c r="CM531" s="383">
        <f>IF($BE531&gt;$R$66-3+($CX$335*12),194,0)</f>
        <v>194</v>
      </c>
      <c r="CN531" s="1754">
        <f t="shared" si="206"/>
        <v>0</v>
      </c>
      <c r="CO531" s="1754"/>
      <c r="CP531" s="1754"/>
      <c r="CQ531" s="1754"/>
      <c r="CR531" s="1754">
        <f t="shared" ref="CR531:CR594" si="226">IF(CN531&lt;=CR530,CN531,IF(CM531&gt;0,IF($CM$334="R",$CX$332/(($CX$333-$X$96)*12),$CX$334/12-CU531),0))</f>
        <v>0</v>
      </c>
      <c r="CS531" s="1754"/>
      <c r="CT531" s="1754"/>
      <c r="CU531" s="1754">
        <f t="shared" si="218"/>
        <v>0</v>
      </c>
      <c r="CV531" s="1754"/>
      <c r="CW531" s="1754"/>
      <c r="CX531" s="1754">
        <f t="shared" si="219"/>
        <v>0</v>
      </c>
      <c r="CY531" s="1754"/>
      <c r="CZ531" s="1754"/>
      <c r="DA531" s="1754"/>
      <c r="DC531" s="383">
        <f>IF($BE531&gt;$R$66-3,194,0)</f>
        <v>194</v>
      </c>
      <c r="DD531" s="1754">
        <f t="shared" si="207"/>
        <v>0</v>
      </c>
      <c r="DE531" s="1754"/>
      <c r="DF531" s="1754"/>
      <c r="DG531" s="1754"/>
      <c r="DH531" s="1754">
        <f t="shared" ref="DH531:DH594" si="227">IF($BE531&gt;0,DD531*$DE$335/(100*12),0)</f>
        <v>0</v>
      </c>
      <c r="DI531" s="1754"/>
      <c r="DJ531" s="1754"/>
      <c r="DK531" s="1754">
        <f t="shared" si="220"/>
        <v>0</v>
      </c>
      <c r="DL531" s="1754"/>
      <c r="DM531" s="1754"/>
      <c r="DN531" s="1754"/>
      <c r="DP531" s="383">
        <f t="shared" ref="DP531:DP594" si="228">DC531</f>
        <v>194</v>
      </c>
      <c r="DQ531" s="1754">
        <f t="shared" si="208"/>
        <v>0</v>
      </c>
      <c r="DR531" s="1754"/>
      <c r="DS531" s="1754"/>
      <c r="DT531" s="1754"/>
      <c r="DU531" s="1754">
        <f t="shared" si="177"/>
        <v>0</v>
      </c>
      <c r="DV531" s="1754"/>
      <c r="DW531" s="1754"/>
      <c r="DX531" s="1754">
        <f t="shared" si="179"/>
        <v>0</v>
      </c>
      <c r="DY531" s="1754"/>
      <c r="DZ531" s="1754"/>
      <c r="EA531" s="1754">
        <f t="shared" si="180"/>
        <v>0</v>
      </c>
      <c r="EB531" s="1754"/>
      <c r="EC531" s="1754"/>
      <c r="ED531" s="1754"/>
      <c r="EE531" s="384"/>
      <c r="EF531" s="1750">
        <f t="shared" si="221"/>
        <v>0</v>
      </c>
      <c r="EG531" s="1751"/>
      <c r="EH531" s="1751"/>
      <c r="EI531" s="1751"/>
      <c r="EJ531" s="1752"/>
      <c r="EL531" s="1750">
        <f t="shared" si="181"/>
        <v>0</v>
      </c>
      <c r="EM531" s="1751"/>
      <c r="EN531" s="1751"/>
      <c r="EO531" s="1751"/>
      <c r="EP531" s="1752"/>
      <c r="ER531" s="1750">
        <f t="shared" si="222"/>
        <v>0</v>
      </c>
      <c r="ES531" s="1751"/>
      <c r="ET531" s="1751"/>
      <c r="EU531" s="1751"/>
      <c r="EV531" s="1752"/>
      <c r="EX531" s="1750">
        <f>IF(BE531&gt;0,Einstrahlung!$K$12*Kalkulation!$P$62/100*$AY$29*POWER((100-$P$64)/100,BD531-1),0)</f>
        <v>0</v>
      </c>
      <c r="EY531" s="1751"/>
      <c r="EZ531" s="1751"/>
      <c r="FA531" s="1751"/>
      <c r="FB531" s="1752"/>
      <c r="FD531" s="1750">
        <f t="shared" ref="FD531:FD589" si="229">((FJ531*$BS$147/100*$AZ$151)+(FJ531*$BS$149/100*$AZ$153)+(FJ531*$BS$151/100*$AZ$155)+(FJ531*$BS$153/100*$AZ$157)+(FJ531*$BS$155/100*$AZ$159))</f>
        <v>0</v>
      </c>
      <c r="FE531" s="1751"/>
      <c r="FF531" s="1751"/>
      <c r="FG531" s="1751"/>
      <c r="FH531" s="1752"/>
      <c r="FI531" s="385"/>
      <c r="FJ531" s="380">
        <f t="shared" si="173"/>
        <v>0</v>
      </c>
      <c r="FK531" s="385"/>
      <c r="FL531" s="380">
        <f t="shared" ref="FL531:FL541" si="230">IF(BE531&gt;0,IF($FL$336&gt;SUM($EX$530:$FB$541),SUM($EX$530:$FB$541)/12,$FL$336/12),0)</f>
        <v>0</v>
      </c>
      <c r="FM531" s="385"/>
      <c r="FN531" s="380">
        <f t="shared" ref="FN531:FN594" si="231">FL531*$FN$336</f>
        <v>0</v>
      </c>
      <c r="FO531" s="962">
        <f t="shared" si="167"/>
        <v>323</v>
      </c>
      <c r="FP531" s="956">
        <f t="shared" si="223"/>
        <v>0.4</v>
      </c>
      <c r="FQ531" s="380">
        <f t="shared" si="178"/>
        <v>0</v>
      </c>
      <c r="FR531" s="626">
        <f t="shared" ref="FR531:FR540" si="232">IF(AND(GV531&gt;180,GV531&lt;=192),$FR$529,IF(AND(GV531&gt;192,GV531&lt;=204),$FR$541,0))</f>
        <v>1</v>
      </c>
      <c r="FT531" s="1819">
        <f t="shared" si="168"/>
        <v>0</v>
      </c>
      <c r="FU531" s="1820"/>
      <c r="FV531" s="1820"/>
      <c r="FW531" s="1820"/>
      <c r="FX531" s="1821"/>
      <c r="FY531" s="1819">
        <f t="shared" ref="FY531:FY594" si="233">IF(BE531=0,0,IF((FT530+FT531)/2&lt;0,(FT531+FT530)/2*$AD$239/12/100,(FT531+FT530)/2*$AD$238/12/100))</f>
        <v>0</v>
      </c>
      <c r="FZ531" s="1820"/>
      <c r="GA531" s="1820"/>
      <c r="GB531" s="1821"/>
      <c r="GC531" s="1825">
        <f t="shared" si="182"/>
        <v>0</v>
      </c>
      <c r="GD531" s="1826"/>
      <c r="GE531" s="1826"/>
      <c r="GF531" s="1827"/>
      <c r="GH531" s="1750">
        <f t="shared" ref="GH531:GH594" si="234">BL531+CB531+CR531+DU531</f>
        <v>0</v>
      </c>
      <c r="GI531" s="1751"/>
      <c r="GJ531" s="1751"/>
      <c r="GK531" s="1752"/>
      <c r="GL531" s="1750">
        <f t="shared" ref="GL531:GL594" si="235">BO531+CE531+CU531+DH531</f>
        <v>0</v>
      </c>
      <c r="GM531" s="1751"/>
      <c r="GN531" s="1751"/>
      <c r="GO531" s="1752"/>
      <c r="GP531" s="385"/>
      <c r="GQ531" s="1750">
        <f t="shared" ref="GQ531:GQ589" si="236">FD531+FQ531+EF531+EL531+ER531+IF(FY531&gt;0,0,FY531)</f>
        <v>0</v>
      </c>
      <c r="GR531" s="1751"/>
      <c r="GS531" s="1751"/>
      <c r="GT531" s="1752"/>
      <c r="GU531" s="192">
        <f t="shared" si="176"/>
        <v>1</v>
      </c>
      <c r="GV531" s="192">
        <f>SUM($GU$337:GU531)</f>
        <v>187</v>
      </c>
      <c r="GW531" s="318"/>
      <c r="HL531" s="380">
        <f t="shared" si="211"/>
        <v>0</v>
      </c>
      <c r="HX531" s="380"/>
    </row>
    <row r="532" spans="4:232">
      <c r="D532" s="409">
        <v>16</v>
      </c>
      <c r="E532" s="318"/>
      <c r="F532" s="428">
        <f>BR541</f>
        <v>0</v>
      </c>
      <c r="G532" s="428">
        <f>CH541</f>
        <v>0</v>
      </c>
      <c r="H532" s="428">
        <f>CX541</f>
        <v>0</v>
      </c>
      <c r="I532" s="247"/>
      <c r="J532" s="247"/>
      <c r="K532" s="429">
        <f>IF(AND(F532&gt;0,F535=0),$D532,0)</f>
        <v>0</v>
      </c>
      <c r="L532" s="429">
        <f>IF(AND(G532&gt;0,G535=0),$D532,0)</f>
        <v>0</v>
      </c>
      <c r="N532" s="429">
        <f>IF(AND(H532&gt;0,H535=0),$D532,0)</f>
        <v>0</v>
      </c>
      <c r="O532" s="430"/>
      <c r="P532" s="436"/>
      <c r="S532" s="435" t="str">
        <f>"Zins: "&amp;N474&amp;"% p.a.;"</f>
        <v>Zins: 0% p.a.;</v>
      </c>
      <c r="BD532" s="387">
        <f t="shared" si="212"/>
        <v>16</v>
      </c>
      <c r="BE532" s="382">
        <f>IF(BD532&gt;0,195,0)</f>
        <v>195</v>
      </c>
      <c r="BG532" s="383">
        <f>IF($BE532&gt;$R$66-3+($BR$335*12),195,0)</f>
        <v>195</v>
      </c>
      <c r="BH532" s="1754">
        <f t="shared" si="213"/>
        <v>0</v>
      </c>
      <c r="BI532" s="1754"/>
      <c r="BJ532" s="1754"/>
      <c r="BK532" s="1754"/>
      <c r="BL532" s="1754">
        <f t="shared" si="224"/>
        <v>0</v>
      </c>
      <c r="BM532" s="1754"/>
      <c r="BN532" s="1754"/>
      <c r="BO532" s="1754">
        <f t="shared" si="214"/>
        <v>0</v>
      </c>
      <c r="BP532" s="1754"/>
      <c r="BQ532" s="1754"/>
      <c r="BR532" s="1754">
        <f t="shared" si="215"/>
        <v>0</v>
      </c>
      <c r="BS532" s="1754"/>
      <c r="BT532" s="1754"/>
      <c r="BU532" s="1754"/>
      <c r="BW532" s="383">
        <f>IF($BE532&gt;$R$66-3+($CH$335*12),195,0)</f>
        <v>195</v>
      </c>
      <c r="BX532" s="1754">
        <f t="shared" si="205"/>
        <v>0</v>
      </c>
      <c r="BY532" s="1754"/>
      <c r="BZ532" s="1754"/>
      <c r="CA532" s="1754"/>
      <c r="CB532" s="1754">
        <f t="shared" si="225"/>
        <v>0</v>
      </c>
      <c r="CC532" s="1754"/>
      <c r="CD532" s="1754"/>
      <c r="CE532" s="1754">
        <f t="shared" si="216"/>
        <v>0</v>
      </c>
      <c r="CF532" s="1754"/>
      <c r="CG532" s="1754"/>
      <c r="CH532" s="1754">
        <f t="shared" si="217"/>
        <v>0</v>
      </c>
      <c r="CI532" s="1754"/>
      <c r="CJ532" s="1754"/>
      <c r="CK532" s="1754"/>
      <c r="CM532" s="383">
        <f>IF($BE532&gt;$R$66-3+($CX$335*12),195,0)</f>
        <v>195</v>
      </c>
      <c r="CN532" s="1754">
        <f t="shared" si="206"/>
        <v>0</v>
      </c>
      <c r="CO532" s="1754"/>
      <c r="CP532" s="1754"/>
      <c r="CQ532" s="1754"/>
      <c r="CR532" s="1754">
        <f t="shared" si="226"/>
        <v>0</v>
      </c>
      <c r="CS532" s="1754"/>
      <c r="CT532" s="1754"/>
      <c r="CU532" s="1754">
        <f t="shared" si="218"/>
        <v>0</v>
      </c>
      <c r="CV532" s="1754"/>
      <c r="CW532" s="1754"/>
      <c r="CX532" s="1754">
        <f t="shared" si="219"/>
        <v>0</v>
      </c>
      <c r="CY532" s="1754"/>
      <c r="CZ532" s="1754"/>
      <c r="DA532" s="1754"/>
      <c r="DC532" s="383">
        <f>IF($BE532&gt;$R$66-3,195,0)</f>
        <v>195</v>
      </c>
      <c r="DD532" s="1754">
        <f t="shared" si="207"/>
        <v>0</v>
      </c>
      <c r="DE532" s="1754"/>
      <c r="DF532" s="1754"/>
      <c r="DG532" s="1754"/>
      <c r="DH532" s="1754">
        <f t="shared" si="227"/>
        <v>0</v>
      </c>
      <c r="DI532" s="1754"/>
      <c r="DJ532" s="1754"/>
      <c r="DK532" s="1754">
        <f t="shared" si="220"/>
        <v>0</v>
      </c>
      <c r="DL532" s="1754"/>
      <c r="DM532" s="1754"/>
      <c r="DN532" s="1754"/>
      <c r="DP532" s="383">
        <f t="shared" si="228"/>
        <v>195</v>
      </c>
      <c r="DQ532" s="1754">
        <f t="shared" si="208"/>
        <v>0</v>
      </c>
      <c r="DR532" s="1754"/>
      <c r="DS532" s="1754"/>
      <c r="DT532" s="1754"/>
      <c r="DU532" s="1754">
        <f t="shared" si="177"/>
        <v>0</v>
      </c>
      <c r="DV532" s="1754"/>
      <c r="DW532" s="1754"/>
      <c r="DX532" s="1754">
        <f t="shared" si="179"/>
        <v>0</v>
      </c>
      <c r="DY532" s="1754"/>
      <c r="DZ532" s="1754"/>
      <c r="EA532" s="1754">
        <f t="shared" si="180"/>
        <v>0</v>
      </c>
      <c r="EB532" s="1754"/>
      <c r="EC532" s="1754"/>
      <c r="ED532" s="1754"/>
      <c r="EE532" s="384"/>
      <c r="EF532" s="1750">
        <f t="shared" si="221"/>
        <v>0</v>
      </c>
      <c r="EG532" s="1751"/>
      <c r="EH532" s="1751"/>
      <c r="EI532" s="1751"/>
      <c r="EJ532" s="1752"/>
      <c r="EL532" s="1750">
        <f t="shared" si="181"/>
        <v>0</v>
      </c>
      <c r="EM532" s="1751"/>
      <c r="EN532" s="1751"/>
      <c r="EO532" s="1751"/>
      <c r="EP532" s="1752"/>
      <c r="ER532" s="1750">
        <f t="shared" si="222"/>
        <v>0</v>
      </c>
      <c r="ES532" s="1751"/>
      <c r="ET532" s="1751"/>
      <c r="EU532" s="1751"/>
      <c r="EV532" s="1752"/>
      <c r="EX532" s="1750">
        <f>IF(BE532&gt;0,Einstrahlung!$K$14*Kalkulation!$P$62/100*$AY$29*POWER((100-$P$64)/100,BD532-1),0)</f>
        <v>0</v>
      </c>
      <c r="EY532" s="1751"/>
      <c r="EZ532" s="1751"/>
      <c r="FA532" s="1751"/>
      <c r="FB532" s="1752"/>
      <c r="FD532" s="1750">
        <f t="shared" si="229"/>
        <v>0</v>
      </c>
      <c r="FE532" s="1751"/>
      <c r="FF532" s="1751"/>
      <c r="FG532" s="1751"/>
      <c r="FH532" s="1752"/>
      <c r="FI532" s="385"/>
      <c r="FJ532" s="380">
        <f t="shared" si="173"/>
        <v>0</v>
      </c>
      <c r="FK532" s="385"/>
      <c r="FL532" s="380">
        <f t="shared" si="230"/>
        <v>0</v>
      </c>
      <c r="FM532" s="385"/>
      <c r="FN532" s="380">
        <f t="shared" si="231"/>
        <v>0</v>
      </c>
      <c r="FO532" s="962">
        <f t="shared" ref="FO532:FO595" si="237">FO531+1</f>
        <v>324</v>
      </c>
      <c r="FP532" s="956">
        <f t="shared" si="223"/>
        <v>0.4</v>
      </c>
      <c r="FQ532" s="380">
        <f t="shared" si="178"/>
        <v>0</v>
      </c>
      <c r="FR532" s="626">
        <f t="shared" si="232"/>
        <v>1</v>
      </c>
      <c r="FT532" s="1819">
        <f t="shared" ref="FT532:FT595" si="238">GC531+(FD532+FQ532)-(GH532+GL532)+(EF532+EL532+ER532)</f>
        <v>0</v>
      </c>
      <c r="FU532" s="1820"/>
      <c r="FV532" s="1820"/>
      <c r="FW532" s="1820"/>
      <c r="FX532" s="1821"/>
      <c r="FY532" s="1819">
        <f t="shared" si="233"/>
        <v>0</v>
      </c>
      <c r="FZ532" s="1820"/>
      <c r="GA532" s="1820"/>
      <c r="GB532" s="1821"/>
      <c r="GC532" s="1825">
        <f t="shared" si="182"/>
        <v>0</v>
      </c>
      <c r="GD532" s="1826"/>
      <c r="GE532" s="1826"/>
      <c r="GF532" s="1827"/>
      <c r="GH532" s="1750">
        <f t="shared" si="234"/>
        <v>0</v>
      </c>
      <c r="GI532" s="1751"/>
      <c r="GJ532" s="1751"/>
      <c r="GK532" s="1752"/>
      <c r="GL532" s="1750">
        <f t="shared" si="235"/>
        <v>0</v>
      </c>
      <c r="GM532" s="1751"/>
      <c r="GN532" s="1751"/>
      <c r="GO532" s="1752"/>
      <c r="GP532" s="385"/>
      <c r="GQ532" s="1750">
        <f t="shared" si="236"/>
        <v>0</v>
      </c>
      <c r="GR532" s="1751"/>
      <c r="GS532" s="1751"/>
      <c r="GT532" s="1752"/>
      <c r="GU532" s="192">
        <f t="shared" si="176"/>
        <v>1</v>
      </c>
      <c r="GV532" s="192">
        <f>SUM($GU$337:GU532)</f>
        <v>188</v>
      </c>
      <c r="GW532" s="318"/>
      <c r="HL532" s="380">
        <f t="shared" si="211"/>
        <v>0</v>
      </c>
      <c r="HX532" s="380"/>
    </row>
    <row r="533" spans="4:232">
      <c r="D533" s="313"/>
      <c r="E533" s="247"/>
      <c r="F533" s="247"/>
      <c r="G533" s="247"/>
      <c r="H533" s="247"/>
      <c r="I533" s="428">
        <f>'Endfälliges Darlehen'!AG43</f>
        <v>0</v>
      </c>
      <c r="J533" s="247"/>
      <c r="K533" s="429"/>
      <c r="L533" s="429"/>
      <c r="M533" s="429"/>
      <c r="N533" s="429"/>
      <c r="O533" s="430">
        <f>IF(AND(I533&gt;0,I536=0),$D532,0)</f>
        <v>0</v>
      </c>
      <c r="P533" s="436"/>
      <c r="R533" s="434" t="str">
        <f>"  Das "&amp;I480&amp;" läuft länger als 20 Jahre !!! Bitte prüfen !!! Ggf. Ansparanteil erhöhen; Rendite der Gegenfinanzierung prüfen !!!"</f>
        <v xml:space="preserve">  Das  läuft länger als 20 Jahre !!! Bitte prüfen !!! Ggf. Ansparanteil erhöhen; Rendite der Gegenfinanzierung prüfen !!!</v>
      </c>
      <c r="BD533" s="387">
        <f t="shared" si="212"/>
        <v>16</v>
      </c>
      <c r="BE533" s="382">
        <f>IF(BD533&gt;0,196,0)</f>
        <v>196</v>
      </c>
      <c r="BG533" s="383">
        <f>IF($BE533&gt;$R$66-3+($BR$335*12),196,0)</f>
        <v>196</v>
      </c>
      <c r="BH533" s="1754">
        <f t="shared" si="213"/>
        <v>0</v>
      </c>
      <c r="BI533" s="1754"/>
      <c r="BJ533" s="1754"/>
      <c r="BK533" s="1754"/>
      <c r="BL533" s="1754">
        <f t="shared" si="224"/>
        <v>0</v>
      </c>
      <c r="BM533" s="1754"/>
      <c r="BN533" s="1754"/>
      <c r="BO533" s="1754">
        <f t="shared" si="214"/>
        <v>0</v>
      </c>
      <c r="BP533" s="1754"/>
      <c r="BQ533" s="1754"/>
      <c r="BR533" s="1754">
        <f t="shared" si="215"/>
        <v>0</v>
      </c>
      <c r="BS533" s="1754"/>
      <c r="BT533" s="1754"/>
      <c r="BU533" s="1754"/>
      <c r="BW533" s="383">
        <f>IF($BE533&gt;$R$66-3+($CH$335*12),196,0)</f>
        <v>196</v>
      </c>
      <c r="BX533" s="1754">
        <f t="shared" si="205"/>
        <v>0</v>
      </c>
      <c r="BY533" s="1754"/>
      <c r="BZ533" s="1754"/>
      <c r="CA533" s="1754"/>
      <c r="CB533" s="1754">
        <f t="shared" si="225"/>
        <v>0</v>
      </c>
      <c r="CC533" s="1754"/>
      <c r="CD533" s="1754"/>
      <c r="CE533" s="1754">
        <f t="shared" si="216"/>
        <v>0</v>
      </c>
      <c r="CF533" s="1754"/>
      <c r="CG533" s="1754"/>
      <c r="CH533" s="1754">
        <f t="shared" si="217"/>
        <v>0</v>
      </c>
      <c r="CI533" s="1754"/>
      <c r="CJ533" s="1754"/>
      <c r="CK533" s="1754"/>
      <c r="CM533" s="383">
        <f>IF($BE533&gt;$R$66-3+($CX$335*12),196,0)</f>
        <v>196</v>
      </c>
      <c r="CN533" s="1754">
        <f t="shared" si="206"/>
        <v>0</v>
      </c>
      <c r="CO533" s="1754"/>
      <c r="CP533" s="1754"/>
      <c r="CQ533" s="1754"/>
      <c r="CR533" s="1754">
        <f t="shared" si="226"/>
        <v>0</v>
      </c>
      <c r="CS533" s="1754"/>
      <c r="CT533" s="1754"/>
      <c r="CU533" s="1754">
        <f t="shared" si="218"/>
        <v>0</v>
      </c>
      <c r="CV533" s="1754"/>
      <c r="CW533" s="1754"/>
      <c r="CX533" s="1754">
        <f t="shared" si="219"/>
        <v>0</v>
      </c>
      <c r="CY533" s="1754"/>
      <c r="CZ533" s="1754"/>
      <c r="DA533" s="1754"/>
      <c r="DC533" s="383">
        <f>IF($BE533&gt;$R$66-3,196,0)</f>
        <v>196</v>
      </c>
      <c r="DD533" s="1754">
        <f t="shared" si="207"/>
        <v>0</v>
      </c>
      <c r="DE533" s="1754"/>
      <c r="DF533" s="1754"/>
      <c r="DG533" s="1754"/>
      <c r="DH533" s="1754">
        <f t="shared" si="227"/>
        <v>0</v>
      </c>
      <c r="DI533" s="1754"/>
      <c r="DJ533" s="1754"/>
      <c r="DK533" s="1754">
        <f t="shared" si="220"/>
        <v>0</v>
      </c>
      <c r="DL533" s="1754"/>
      <c r="DM533" s="1754"/>
      <c r="DN533" s="1754"/>
      <c r="DP533" s="383">
        <f t="shared" si="228"/>
        <v>196</v>
      </c>
      <c r="DQ533" s="1754">
        <f t="shared" si="208"/>
        <v>0</v>
      </c>
      <c r="DR533" s="1754"/>
      <c r="DS533" s="1754"/>
      <c r="DT533" s="1754"/>
      <c r="DU533" s="1754">
        <f t="shared" si="177"/>
        <v>0</v>
      </c>
      <c r="DV533" s="1754"/>
      <c r="DW533" s="1754"/>
      <c r="DX533" s="1754">
        <f t="shared" si="179"/>
        <v>0</v>
      </c>
      <c r="DY533" s="1754"/>
      <c r="DZ533" s="1754"/>
      <c r="EA533" s="1754">
        <f t="shared" si="180"/>
        <v>0</v>
      </c>
      <c r="EB533" s="1754"/>
      <c r="EC533" s="1754"/>
      <c r="ED533" s="1754"/>
      <c r="EE533" s="384"/>
      <c r="EF533" s="1750">
        <f t="shared" si="221"/>
        <v>0</v>
      </c>
      <c r="EG533" s="1751"/>
      <c r="EH533" s="1751"/>
      <c r="EI533" s="1751"/>
      <c r="EJ533" s="1752"/>
      <c r="EL533" s="1750">
        <f t="shared" si="181"/>
        <v>0</v>
      </c>
      <c r="EM533" s="1751"/>
      <c r="EN533" s="1751"/>
      <c r="EO533" s="1751"/>
      <c r="EP533" s="1752"/>
      <c r="ER533" s="1750">
        <f t="shared" si="222"/>
        <v>0</v>
      </c>
      <c r="ES533" s="1751"/>
      <c r="ET533" s="1751"/>
      <c r="EU533" s="1751"/>
      <c r="EV533" s="1752"/>
      <c r="EX533" s="1750">
        <f>IF(BE533&gt;0,Einstrahlung!$K$16*Kalkulation!$P$62/100*$AY$29*POWER((100-$P$64)/100,BD533-1),0)</f>
        <v>0</v>
      </c>
      <c r="EY533" s="1751"/>
      <c r="EZ533" s="1751"/>
      <c r="FA533" s="1751"/>
      <c r="FB533" s="1752"/>
      <c r="FD533" s="1750">
        <f t="shared" si="229"/>
        <v>0</v>
      </c>
      <c r="FE533" s="1751"/>
      <c r="FF533" s="1751"/>
      <c r="FG533" s="1751"/>
      <c r="FH533" s="1752"/>
      <c r="FI533" s="385"/>
      <c r="FJ533" s="380">
        <f t="shared" si="173"/>
        <v>0</v>
      </c>
      <c r="FK533" s="385"/>
      <c r="FL533" s="380">
        <f t="shared" si="230"/>
        <v>0</v>
      </c>
      <c r="FM533" s="385"/>
      <c r="FN533" s="380">
        <f t="shared" si="231"/>
        <v>0</v>
      </c>
      <c r="FO533" s="962">
        <f t="shared" si="237"/>
        <v>325</v>
      </c>
      <c r="FP533" s="956">
        <f t="shared" si="223"/>
        <v>0.4</v>
      </c>
      <c r="FQ533" s="380">
        <f t="shared" si="178"/>
        <v>0</v>
      </c>
      <c r="FR533" s="626">
        <f t="shared" si="232"/>
        <v>1</v>
      </c>
      <c r="FT533" s="1819">
        <f t="shared" si="238"/>
        <v>0</v>
      </c>
      <c r="FU533" s="1820"/>
      <c r="FV533" s="1820"/>
      <c r="FW533" s="1820"/>
      <c r="FX533" s="1821"/>
      <c r="FY533" s="1819">
        <f t="shared" si="233"/>
        <v>0</v>
      </c>
      <c r="FZ533" s="1820"/>
      <c r="GA533" s="1820"/>
      <c r="GB533" s="1821"/>
      <c r="GC533" s="1825">
        <f t="shared" si="182"/>
        <v>0</v>
      </c>
      <c r="GD533" s="1826"/>
      <c r="GE533" s="1826"/>
      <c r="GF533" s="1827"/>
      <c r="GH533" s="1750">
        <f t="shared" si="234"/>
        <v>0</v>
      </c>
      <c r="GI533" s="1751"/>
      <c r="GJ533" s="1751"/>
      <c r="GK533" s="1752"/>
      <c r="GL533" s="1750">
        <f t="shared" si="235"/>
        <v>0</v>
      </c>
      <c r="GM533" s="1751"/>
      <c r="GN533" s="1751"/>
      <c r="GO533" s="1752"/>
      <c r="GP533" s="385"/>
      <c r="GQ533" s="1750">
        <f t="shared" si="236"/>
        <v>0</v>
      </c>
      <c r="GR533" s="1751"/>
      <c r="GS533" s="1751"/>
      <c r="GT533" s="1752"/>
      <c r="GU533" s="192">
        <f t="shared" si="176"/>
        <v>1</v>
      </c>
      <c r="GV533" s="192">
        <f>SUM($GU$337:GU533)</f>
        <v>189</v>
      </c>
      <c r="GW533" s="318"/>
      <c r="HL533" s="380">
        <f t="shared" si="211"/>
        <v>0</v>
      </c>
      <c r="HX533" s="380"/>
    </row>
    <row r="534" spans="4:232">
      <c r="D534" s="313"/>
      <c r="E534" s="247"/>
      <c r="F534" s="247"/>
      <c r="G534" s="247"/>
      <c r="H534" s="247"/>
      <c r="I534" s="247"/>
      <c r="J534" s="428">
        <f>'Endfälliges Darlehen'!AV43</f>
        <v>0</v>
      </c>
      <c r="K534" s="429"/>
      <c r="L534" s="429"/>
      <c r="M534" s="429"/>
      <c r="N534" s="429"/>
      <c r="O534" s="430"/>
      <c r="P534" s="436"/>
      <c r="Q534" s="433" t="str">
        <f>IF(Q478&lt;1,"",R535)</f>
        <v/>
      </c>
      <c r="BD534" s="387">
        <f t="shared" si="212"/>
        <v>16</v>
      </c>
      <c r="BE534" s="382">
        <f>IF(BD534&gt;0,197,0)</f>
        <v>197</v>
      </c>
      <c r="BG534" s="383">
        <f>IF($BE534&gt;$R$66-3+($BR$335*12),197,0)</f>
        <v>197</v>
      </c>
      <c r="BH534" s="1754">
        <f t="shared" si="213"/>
        <v>0</v>
      </c>
      <c r="BI534" s="1754"/>
      <c r="BJ534" s="1754"/>
      <c r="BK534" s="1754"/>
      <c r="BL534" s="1754">
        <f t="shared" si="224"/>
        <v>0</v>
      </c>
      <c r="BM534" s="1754"/>
      <c r="BN534" s="1754"/>
      <c r="BO534" s="1754">
        <f t="shared" si="214"/>
        <v>0</v>
      </c>
      <c r="BP534" s="1754"/>
      <c r="BQ534" s="1754"/>
      <c r="BR534" s="1754">
        <f t="shared" si="215"/>
        <v>0</v>
      </c>
      <c r="BS534" s="1754"/>
      <c r="BT534" s="1754"/>
      <c r="BU534" s="1754"/>
      <c r="BW534" s="383">
        <f>IF($BE534&gt;$R$66-3+($CH$335*12),197,0)</f>
        <v>197</v>
      </c>
      <c r="BX534" s="1754">
        <f t="shared" si="205"/>
        <v>0</v>
      </c>
      <c r="BY534" s="1754"/>
      <c r="BZ534" s="1754"/>
      <c r="CA534" s="1754"/>
      <c r="CB534" s="1754">
        <f t="shared" si="225"/>
        <v>0</v>
      </c>
      <c r="CC534" s="1754"/>
      <c r="CD534" s="1754"/>
      <c r="CE534" s="1754">
        <f t="shared" si="216"/>
        <v>0</v>
      </c>
      <c r="CF534" s="1754"/>
      <c r="CG534" s="1754"/>
      <c r="CH534" s="1754">
        <f t="shared" si="217"/>
        <v>0</v>
      </c>
      <c r="CI534" s="1754"/>
      <c r="CJ534" s="1754"/>
      <c r="CK534" s="1754"/>
      <c r="CM534" s="383">
        <f>IF($BE534&gt;$R$66-3+($CX$335*12),197,0)</f>
        <v>197</v>
      </c>
      <c r="CN534" s="1754">
        <f t="shared" si="206"/>
        <v>0</v>
      </c>
      <c r="CO534" s="1754"/>
      <c r="CP534" s="1754"/>
      <c r="CQ534" s="1754"/>
      <c r="CR534" s="1754">
        <f t="shared" si="226"/>
        <v>0</v>
      </c>
      <c r="CS534" s="1754"/>
      <c r="CT534" s="1754"/>
      <c r="CU534" s="1754">
        <f t="shared" si="218"/>
        <v>0</v>
      </c>
      <c r="CV534" s="1754"/>
      <c r="CW534" s="1754"/>
      <c r="CX534" s="1754">
        <f t="shared" si="219"/>
        <v>0</v>
      </c>
      <c r="CY534" s="1754"/>
      <c r="CZ534" s="1754"/>
      <c r="DA534" s="1754"/>
      <c r="DC534" s="383">
        <f>IF($BE534&gt;$R$66-3,197,0)</f>
        <v>197</v>
      </c>
      <c r="DD534" s="1754">
        <f t="shared" si="207"/>
        <v>0</v>
      </c>
      <c r="DE534" s="1754"/>
      <c r="DF534" s="1754"/>
      <c r="DG534" s="1754"/>
      <c r="DH534" s="1754">
        <f t="shared" si="227"/>
        <v>0</v>
      </c>
      <c r="DI534" s="1754"/>
      <c r="DJ534" s="1754"/>
      <c r="DK534" s="1754">
        <f t="shared" si="220"/>
        <v>0</v>
      </c>
      <c r="DL534" s="1754"/>
      <c r="DM534" s="1754"/>
      <c r="DN534" s="1754"/>
      <c r="DP534" s="383">
        <f t="shared" si="228"/>
        <v>197</v>
      </c>
      <c r="DQ534" s="1754">
        <f t="shared" si="208"/>
        <v>0</v>
      </c>
      <c r="DR534" s="1754"/>
      <c r="DS534" s="1754"/>
      <c r="DT534" s="1754"/>
      <c r="DU534" s="1754">
        <f t="shared" si="177"/>
        <v>0</v>
      </c>
      <c r="DV534" s="1754"/>
      <c r="DW534" s="1754"/>
      <c r="DX534" s="1754">
        <f t="shared" si="179"/>
        <v>0</v>
      </c>
      <c r="DY534" s="1754"/>
      <c r="DZ534" s="1754"/>
      <c r="EA534" s="1754">
        <f t="shared" si="180"/>
        <v>0</v>
      </c>
      <c r="EB534" s="1754"/>
      <c r="EC534" s="1754"/>
      <c r="ED534" s="1754"/>
      <c r="EE534" s="384"/>
      <c r="EF534" s="1750">
        <f t="shared" si="221"/>
        <v>0</v>
      </c>
      <c r="EG534" s="1751"/>
      <c r="EH534" s="1751"/>
      <c r="EI534" s="1751"/>
      <c r="EJ534" s="1752"/>
      <c r="EL534" s="1750">
        <f t="shared" si="181"/>
        <v>0</v>
      </c>
      <c r="EM534" s="1751"/>
      <c r="EN534" s="1751"/>
      <c r="EO534" s="1751"/>
      <c r="EP534" s="1752"/>
      <c r="ER534" s="1750">
        <f t="shared" si="222"/>
        <v>0</v>
      </c>
      <c r="ES534" s="1751"/>
      <c r="ET534" s="1751"/>
      <c r="EU534" s="1751"/>
      <c r="EV534" s="1752"/>
      <c r="EX534" s="1750">
        <f>IF(BE534&gt;0,Einstrahlung!$K$18*Kalkulation!$P$62/100*$AY$29*POWER((100-$P$64)/100,BD534-1),0)</f>
        <v>0</v>
      </c>
      <c r="EY534" s="1751"/>
      <c r="EZ534" s="1751"/>
      <c r="FA534" s="1751"/>
      <c r="FB534" s="1752"/>
      <c r="FD534" s="1750">
        <f t="shared" si="229"/>
        <v>0</v>
      </c>
      <c r="FE534" s="1751"/>
      <c r="FF534" s="1751"/>
      <c r="FG534" s="1751"/>
      <c r="FH534" s="1752"/>
      <c r="FI534" s="385"/>
      <c r="FJ534" s="380">
        <f t="shared" ref="FJ534:FJ597" si="239">EX534-FL534</f>
        <v>0</v>
      </c>
      <c r="FK534" s="385"/>
      <c r="FL534" s="380">
        <f t="shared" si="230"/>
        <v>0</v>
      </c>
      <c r="FM534" s="385"/>
      <c r="FN534" s="380">
        <f t="shared" si="231"/>
        <v>0</v>
      </c>
      <c r="FO534" s="962">
        <f t="shared" si="237"/>
        <v>326</v>
      </c>
      <c r="FP534" s="956">
        <f t="shared" si="223"/>
        <v>0.4</v>
      </c>
      <c r="FQ534" s="380">
        <f t="shared" si="178"/>
        <v>0</v>
      </c>
      <c r="FR534" s="626">
        <f t="shared" si="232"/>
        <v>1</v>
      </c>
      <c r="FT534" s="1819">
        <f t="shared" si="238"/>
        <v>0</v>
      </c>
      <c r="FU534" s="1820"/>
      <c r="FV534" s="1820"/>
      <c r="FW534" s="1820"/>
      <c r="FX534" s="1821"/>
      <c r="FY534" s="1819">
        <f t="shared" si="233"/>
        <v>0</v>
      </c>
      <c r="FZ534" s="1820"/>
      <c r="GA534" s="1820"/>
      <c r="GB534" s="1821"/>
      <c r="GC534" s="1825">
        <f t="shared" si="182"/>
        <v>0</v>
      </c>
      <c r="GD534" s="1826"/>
      <c r="GE534" s="1826"/>
      <c r="GF534" s="1827"/>
      <c r="GH534" s="1750">
        <f t="shared" si="234"/>
        <v>0</v>
      </c>
      <c r="GI534" s="1751"/>
      <c r="GJ534" s="1751"/>
      <c r="GK534" s="1752"/>
      <c r="GL534" s="1750">
        <f t="shared" si="235"/>
        <v>0</v>
      </c>
      <c r="GM534" s="1751"/>
      <c r="GN534" s="1751"/>
      <c r="GO534" s="1752"/>
      <c r="GP534" s="385"/>
      <c r="GQ534" s="1750">
        <f t="shared" si="236"/>
        <v>0</v>
      </c>
      <c r="GR534" s="1751"/>
      <c r="GS534" s="1751"/>
      <c r="GT534" s="1752"/>
      <c r="GU534" s="192">
        <f t="shared" si="176"/>
        <v>1</v>
      </c>
      <c r="GV534" s="192">
        <f>SUM($GU$337:GU534)</f>
        <v>190</v>
      </c>
      <c r="GW534" s="318"/>
      <c r="HL534" s="380">
        <f t="shared" si="211"/>
        <v>0</v>
      </c>
      <c r="HX534" s="380"/>
    </row>
    <row r="535" spans="4:232">
      <c r="D535" s="409">
        <v>17</v>
      </c>
      <c r="E535" s="318"/>
      <c r="F535" s="428">
        <f>BR553</f>
        <v>0</v>
      </c>
      <c r="G535" s="428">
        <f>CH553</f>
        <v>0</v>
      </c>
      <c r="H535" s="428">
        <f>CX553</f>
        <v>0</v>
      </c>
      <c r="I535" s="247"/>
      <c r="J535" s="247"/>
      <c r="K535" s="429">
        <f>IF(AND(F535&gt;0,F538=0),$D535,0)</f>
        <v>0</v>
      </c>
      <c r="L535" s="429">
        <f>IF(AND(G535&gt;0,G538=0),$D535,0)</f>
        <v>0</v>
      </c>
      <c r="N535" s="429">
        <f>IF(AND(H535&gt;0,H538=0),$D535,0)</f>
        <v>0</v>
      </c>
      <c r="O535" s="430"/>
      <c r="P535" s="436"/>
      <c r="R535" s="434" t="str">
        <f>"  "&amp;J480&amp;": "&amp;S536&amp;" "&amp;S537&amp;" "&amp;S538&amp;""</f>
        <v xml:space="preserve">  : Anspar -Rate: 0% p.a.; Rendite -Prognose: 0% p.a.; Ablösung des endfäll. Darlehens voraussichtlich nach 0 Jahren.</v>
      </c>
      <c r="BD535" s="387">
        <f t="shared" si="212"/>
        <v>16</v>
      </c>
      <c r="BE535" s="382">
        <f>IF(BD535&gt;0,198,0)</f>
        <v>198</v>
      </c>
      <c r="BG535" s="383">
        <f>IF($BE535&gt;$R$66-3+($BR$335*12),198,0)</f>
        <v>198</v>
      </c>
      <c r="BH535" s="1754">
        <f t="shared" si="213"/>
        <v>0</v>
      </c>
      <c r="BI535" s="1754"/>
      <c r="BJ535" s="1754"/>
      <c r="BK535" s="1754"/>
      <c r="BL535" s="1754">
        <f t="shared" si="224"/>
        <v>0</v>
      </c>
      <c r="BM535" s="1754"/>
      <c r="BN535" s="1754"/>
      <c r="BO535" s="1754">
        <f t="shared" si="214"/>
        <v>0</v>
      </c>
      <c r="BP535" s="1754"/>
      <c r="BQ535" s="1754"/>
      <c r="BR535" s="1754">
        <f t="shared" si="215"/>
        <v>0</v>
      </c>
      <c r="BS535" s="1754"/>
      <c r="BT535" s="1754"/>
      <c r="BU535" s="1754"/>
      <c r="BW535" s="383">
        <f>IF($BE535&gt;$R$66-3+($CH$335*12),198,0)</f>
        <v>198</v>
      </c>
      <c r="BX535" s="1754">
        <f t="shared" si="205"/>
        <v>0</v>
      </c>
      <c r="BY535" s="1754"/>
      <c r="BZ535" s="1754"/>
      <c r="CA535" s="1754"/>
      <c r="CB535" s="1754">
        <f t="shared" si="225"/>
        <v>0</v>
      </c>
      <c r="CC535" s="1754"/>
      <c r="CD535" s="1754"/>
      <c r="CE535" s="1754">
        <f t="shared" si="216"/>
        <v>0</v>
      </c>
      <c r="CF535" s="1754"/>
      <c r="CG535" s="1754"/>
      <c r="CH535" s="1754">
        <f t="shared" si="217"/>
        <v>0</v>
      </c>
      <c r="CI535" s="1754"/>
      <c r="CJ535" s="1754"/>
      <c r="CK535" s="1754"/>
      <c r="CM535" s="383">
        <f>IF($BE535&gt;$R$66-3+($CX$335*12),198,0)</f>
        <v>198</v>
      </c>
      <c r="CN535" s="1754">
        <f t="shared" si="206"/>
        <v>0</v>
      </c>
      <c r="CO535" s="1754"/>
      <c r="CP535" s="1754"/>
      <c r="CQ535" s="1754"/>
      <c r="CR535" s="1754">
        <f t="shared" si="226"/>
        <v>0</v>
      </c>
      <c r="CS535" s="1754"/>
      <c r="CT535" s="1754"/>
      <c r="CU535" s="1754">
        <f t="shared" si="218"/>
        <v>0</v>
      </c>
      <c r="CV535" s="1754"/>
      <c r="CW535" s="1754"/>
      <c r="CX535" s="1754">
        <f t="shared" si="219"/>
        <v>0</v>
      </c>
      <c r="CY535" s="1754"/>
      <c r="CZ535" s="1754"/>
      <c r="DA535" s="1754"/>
      <c r="DC535" s="383">
        <f>IF($BE535&gt;$R$66-3,198,0)</f>
        <v>198</v>
      </c>
      <c r="DD535" s="1754">
        <f t="shared" si="207"/>
        <v>0</v>
      </c>
      <c r="DE535" s="1754"/>
      <c r="DF535" s="1754"/>
      <c r="DG535" s="1754"/>
      <c r="DH535" s="1754">
        <f t="shared" si="227"/>
        <v>0</v>
      </c>
      <c r="DI535" s="1754"/>
      <c r="DJ535" s="1754"/>
      <c r="DK535" s="1754">
        <f t="shared" si="220"/>
        <v>0</v>
      </c>
      <c r="DL535" s="1754"/>
      <c r="DM535" s="1754"/>
      <c r="DN535" s="1754"/>
      <c r="DP535" s="383">
        <f t="shared" si="228"/>
        <v>198</v>
      </c>
      <c r="DQ535" s="1754">
        <f>IF(DD535=0,0,IF(EA534&lt;=0,0,EA534))</f>
        <v>0</v>
      </c>
      <c r="DR535" s="1754"/>
      <c r="DS535" s="1754"/>
      <c r="DT535" s="1754"/>
      <c r="DU535" s="1754">
        <f t="shared" si="177"/>
        <v>0</v>
      </c>
      <c r="DV535" s="1754"/>
      <c r="DW535" s="1754"/>
      <c r="DX535" s="1754">
        <f t="shared" si="179"/>
        <v>0</v>
      </c>
      <c r="DY535" s="1754"/>
      <c r="DZ535" s="1754"/>
      <c r="EA535" s="1754">
        <f t="shared" si="180"/>
        <v>0</v>
      </c>
      <c r="EB535" s="1754"/>
      <c r="EC535" s="1754"/>
      <c r="ED535" s="1754"/>
      <c r="EE535" s="384"/>
      <c r="EF535" s="1750">
        <f t="shared" si="221"/>
        <v>0</v>
      </c>
      <c r="EG535" s="1751"/>
      <c r="EH535" s="1751"/>
      <c r="EI535" s="1751"/>
      <c r="EJ535" s="1752"/>
      <c r="EL535" s="1750">
        <f t="shared" si="181"/>
        <v>0</v>
      </c>
      <c r="EM535" s="1751"/>
      <c r="EN535" s="1751"/>
      <c r="EO535" s="1751"/>
      <c r="EP535" s="1752"/>
      <c r="ER535" s="1750">
        <f t="shared" si="222"/>
        <v>0</v>
      </c>
      <c r="ES535" s="1751"/>
      <c r="ET535" s="1751"/>
      <c r="EU535" s="1751"/>
      <c r="EV535" s="1752"/>
      <c r="EX535" s="1750">
        <f>IF(BE535&gt;0,Einstrahlung!$K$20*Kalkulation!$P$62/100*$AY$29*POWER((100-$P$64)/100,BD535-1),0)</f>
        <v>0</v>
      </c>
      <c r="EY535" s="1751"/>
      <c r="EZ535" s="1751"/>
      <c r="FA535" s="1751"/>
      <c r="FB535" s="1752"/>
      <c r="FD535" s="1750">
        <f t="shared" si="229"/>
        <v>0</v>
      </c>
      <c r="FE535" s="1751"/>
      <c r="FF535" s="1751"/>
      <c r="FG535" s="1751"/>
      <c r="FH535" s="1752"/>
      <c r="FI535" s="385"/>
      <c r="FJ535" s="380">
        <f t="shared" si="239"/>
        <v>0</v>
      </c>
      <c r="FK535" s="385"/>
      <c r="FL535" s="380">
        <f t="shared" si="230"/>
        <v>0</v>
      </c>
      <c r="FM535" s="385"/>
      <c r="FN535" s="380">
        <f t="shared" si="231"/>
        <v>0</v>
      </c>
      <c r="FO535" s="962">
        <f t="shared" si="237"/>
        <v>327</v>
      </c>
      <c r="FP535" s="956">
        <f t="shared" si="223"/>
        <v>0.4</v>
      </c>
      <c r="FQ535" s="380">
        <f t="shared" si="178"/>
        <v>0</v>
      </c>
      <c r="FR535" s="626">
        <f t="shared" si="232"/>
        <v>1</v>
      </c>
      <c r="FT535" s="1819">
        <f t="shared" si="238"/>
        <v>0</v>
      </c>
      <c r="FU535" s="1820"/>
      <c r="FV535" s="1820"/>
      <c r="FW535" s="1820"/>
      <c r="FX535" s="1821"/>
      <c r="FY535" s="1819">
        <f t="shared" si="233"/>
        <v>0</v>
      </c>
      <c r="FZ535" s="1820"/>
      <c r="GA535" s="1820"/>
      <c r="GB535" s="1821"/>
      <c r="GC535" s="1825">
        <f t="shared" si="182"/>
        <v>0</v>
      </c>
      <c r="GD535" s="1826"/>
      <c r="GE535" s="1826"/>
      <c r="GF535" s="1827"/>
      <c r="GH535" s="1750">
        <f t="shared" si="234"/>
        <v>0</v>
      </c>
      <c r="GI535" s="1751"/>
      <c r="GJ535" s="1751"/>
      <c r="GK535" s="1752"/>
      <c r="GL535" s="1750">
        <f t="shared" si="235"/>
        <v>0</v>
      </c>
      <c r="GM535" s="1751"/>
      <c r="GN535" s="1751"/>
      <c r="GO535" s="1752"/>
      <c r="GP535" s="385"/>
      <c r="GQ535" s="1750">
        <f t="shared" si="236"/>
        <v>0</v>
      </c>
      <c r="GR535" s="1751"/>
      <c r="GS535" s="1751"/>
      <c r="GT535" s="1752"/>
      <c r="GU535" s="192">
        <f t="shared" si="176"/>
        <v>1</v>
      </c>
      <c r="GV535" s="192">
        <f>SUM($GU$337:GU535)</f>
        <v>191</v>
      </c>
      <c r="GW535" s="318"/>
      <c r="HL535" s="380">
        <f t="shared" si="211"/>
        <v>0</v>
      </c>
      <c r="HX535" s="380"/>
    </row>
    <row r="536" spans="4:232">
      <c r="D536" s="313"/>
      <c r="E536" s="247"/>
      <c r="F536" s="247"/>
      <c r="G536" s="247"/>
      <c r="H536" s="247"/>
      <c r="I536" s="428">
        <f>'Endfälliges Darlehen'!AG45</f>
        <v>0</v>
      </c>
      <c r="J536" s="247"/>
      <c r="K536" s="429"/>
      <c r="L536" s="429"/>
      <c r="M536" s="429"/>
      <c r="N536" s="429"/>
      <c r="O536" s="430">
        <f>IF(AND(I536&gt;0,I539=0),$D535,0)</f>
        <v>0</v>
      </c>
      <c r="P536" s="436"/>
      <c r="S536" s="435" t="str">
        <f>"Anspar -Rate: "&amp;N475&amp;"% p.a.;"</f>
        <v>Anspar -Rate: 0% p.a.;</v>
      </c>
      <c r="BD536" s="387">
        <f t="shared" si="212"/>
        <v>16</v>
      </c>
      <c r="BE536" s="382">
        <f>IF(BD536&gt;0,199,0)</f>
        <v>199</v>
      </c>
      <c r="BG536" s="383">
        <f>IF($BE536&gt;$R$66-3+($BR$335*12),199,0)</f>
        <v>199</v>
      </c>
      <c r="BH536" s="1754">
        <f t="shared" si="213"/>
        <v>0</v>
      </c>
      <c r="BI536" s="1754"/>
      <c r="BJ536" s="1754"/>
      <c r="BK536" s="1754"/>
      <c r="BL536" s="1754">
        <f t="shared" si="224"/>
        <v>0</v>
      </c>
      <c r="BM536" s="1754"/>
      <c r="BN536" s="1754"/>
      <c r="BO536" s="1754">
        <f t="shared" si="214"/>
        <v>0</v>
      </c>
      <c r="BP536" s="1754"/>
      <c r="BQ536" s="1754"/>
      <c r="BR536" s="1754">
        <f t="shared" si="215"/>
        <v>0</v>
      </c>
      <c r="BS536" s="1754"/>
      <c r="BT536" s="1754"/>
      <c r="BU536" s="1754"/>
      <c r="BW536" s="383">
        <f>IF($BE536&gt;$R$66-3+($CH$335*12),199,0)</f>
        <v>199</v>
      </c>
      <c r="BX536" s="1754">
        <f t="shared" si="205"/>
        <v>0</v>
      </c>
      <c r="BY536" s="1754"/>
      <c r="BZ536" s="1754"/>
      <c r="CA536" s="1754"/>
      <c r="CB536" s="1754">
        <f t="shared" si="225"/>
        <v>0</v>
      </c>
      <c r="CC536" s="1754"/>
      <c r="CD536" s="1754"/>
      <c r="CE536" s="1754">
        <f t="shared" si="216"/>
        <v>0</v>
      </c>
      <c r="CF536" s="1754"/>
      <c r="CG536" s="1754"/>
      <c r="CH536" s="1754">
        <f t="shared" si="217"/>
        <v>0</v>
      </c>
      <c r="CI536" s="1754"/>
      <c r="CJ536" s="1754"/>
      <c r="CK536" s="1754"/>
      <c r="CM536" s="383">
        <f>IF($BE536&gt;$R$66-3+($CX$335*12),199,0)</f>
        <v>199</v>
      </c>
      <c r="CN536" s="1754">
        <f t="shared" si="206"/>
        <v>0</v>
      </c>
      <c r="CO536" s="1754"/>
      <c r="CP536" s="1754"/>
      <c r="CQ536" s="1754"/>
      <c r="CR536" s="1754">
        <f t="shared" si="226"/>
        <v>0</v>
      </c>
      <c r="CS536" s="1754"/>
      <c r="CT536" s="1754"/>
      <c r="CU536" s="1754">
        <f t="shared" si="218"/>
        <v>0</v>
      </c>
      <c r="CV536" s="1754"/>
      <c r="CW536" s="1754"/>
      <c r="CX536" s="1754">
        <f t="shared" si="219"/>
        <v>0</v>
      </c>
      <c r="CY536" s="1754"/>
      <c r="CZ536" s="1754"/>
      <c r="DA536" s="1754"/>
      <c r="DC536" s="383">
        <f>IF($BE536&gt;$R$66-3,199,0)</f>
        <v>199</v>
      </c>
      <c r="DD536" s="1754">
        <f t="shared" si="207"/>
        <v>0</v>
      </c>
      <c r="DE536" s="1754"/>
      <c r="DF536" s="1754"/>
      <c r="DG536" s="1754"/>
      <c r="DH536" s="1754">
        <f t="shared" si="227"/>
        <v>0</v>
      </c>
      <c r="DI536" s="1754"/>
      <c r="DJ536" s="1754"/>
      <c r="DK536" s="1754">
        <f t="shared" si="220"/>
        <v>0</v>
      </c>
      <c r="DL536" s="1754"/>
      <c r="DM536" s="1754"/>
      <c r="DN536" s="1754"/>
      <c r="DP536" s="383">
        <f t="shared" si="228"/>
        <v>199</v>
      </c>
      <c r="DQ536" s="1754">
        <f t="shared" ref="DQ536:DQ599" si="240">IF(DD536=0,0,IF(EA535&lt;=0,0,EA535))</f>
        <v>0</v>
      </c>
      <c r="DR536" s="1754"/>
      <c r="DS536" s="1754"/>
      <c r="DT536" s="1754"/>
      <c r="DU536" s="1754">
        <f t="shared" ref="DU536:DU599" si="241">IF(DD536=0,0,IF($BE536&gt;0,($DK$332*$DM$335/100)/12-DH536,0))</f>
        <v>0</v>
      </c>
      <c r="DV536" s="1754"/>
      <c r="DW536" s="1754"/>
      <c r="DX536" s="1754">
        <f t="shared" si="179"/>
        <v>0</v>
      </c>
      <c r="DY536" s="1754"/>
      <c r="DZ536" s="1754"/>
      <c r="EA536" s="1754">
        <f t="shared" si="180"/>
        <v>0</v>
      </c>
      <c r="EB536" s="1754"/>
      <c r="EC536" s="1754"/>
      <c r="ED536" s="1754"/>
      <c r="EE536" s="384"/>
      <c r="EF536" s="1750">
        <f t="shared" si="221"/>
        <v>0</v>
      </c>
      <c r="EG536" s="1751"/>
      <c r="EH536" s="1751"/>
      <c r="EI536" s="1751"/>
      <c r="EJ536" s="1752"/>
      <c r="EL536" s="1750">
        <f t="shared" si="181"/>
        <v>0</v>
      </c>
      <c r="EM536" s="1751"/>
      <c r="EN536" s="1751"/>
      <c r="EO536" s="1751"/>
      <c r="EP536" s="1752"/>
      <c r="ER536" s="1750">
        <f t="shared" si="222"/>
        <v>0</v>
      </c>
      <c r="ES536" s="1751"/>
      <c r="ET536" s="1751"/>
      <c r="EU536" s="1751"/>
      <c r="EV536" s="1752"/>
      <c r="EX536" s="1750">
        <f>IF(BE536&gt;0,Einstrahlung!$K$22*Kalkulation!$P$62/100*$AY$29*POWER((100-$P$64)/100,BD536-1),0)</f>
        <v>0</v>
      </c>
      <c r="EY536" s="1751"/>
      <c r="EZ536" s="1751"/>
      <c r="FA536" s="1751"/>
      <c r="FB536" s="1752"/>
      <c r="FD536" s="1750">
        <f t="shared" si="229"/>
        <v>0</v>
      </c>
      <c r="FE536" s="1751"/>
      <c r="FF536" s="1751"/>
      <c r="FG536" s="1751"/>
      <c r="FH536" s="1752"/>
      <c r="FI536" s="385"/>
      <c r="FJ536" s="380">
        <f t="shared" si="239"/>
        <v>0</v>
      </c>
      <c r="FK536" s="385"/>
      <c r="FL536" s="380">
        <f t="shared" si="230"/>
        <v>0</v>
      </c>
      <c r="FM536" s="385"/>
      <c r="FN536" s="380">
        <f t="shared" si="231"/>
        <v>0</v>
      </c>
      <c r="FO536" s="962">
        <f t="shared" si="237"/>
        <v>328</v>
      </c>
      <c r="FP536" s="956">
        <f t="shared" si="223"/>
        <v>0.4</v>
      </c>
      <c r="FQ536" s="380">
        <f t="shared" si="178"/>
        <v>0</v>
      </c>
      <c r="FR536" s="626">
        <f t="shared" si="232"/>
        <v>1</v>
      </c>
      <c r="FT536" s="1819">
        <f t="shared" si="238"/>
        <v>0</v>
      </c>
      <c r="FU536" s="1820"/>
      <c r="FV536" s="1820"/>
      <c r="FW536" s="1820"/>
      <c r="FX536" s="1821"/>
      <c r="FY536" s="1819">
        <f t="shared" si="233"/>
        <v>0</v>
      </c>
      <c r="FZ536" s="1820"/>
      <c r="GA536" s="1820"/>
      <c r="GB536" s="1821"/>
      <c r="GC536" s="1825">
        <f t="shared" si="182"/>
        <v>0</v>
      </c>
      <c r="GD536" s="1826"/>
      <c r="GE536" s="1826"/>
      <c r="GF536" s="1827"/>
      <c r="GH536" s="1750">
        <f t="shared" si="234"/>
        <v>0</v>
      </c>
      <c r="GI536" s="1751"/>
      <c r="GJ536" s="1751"/>
      <c r="GK536" s="1752"/>
      <c r="GL536" s="1750">
        <f t="shared" si="235"/>
        <v>0</v>
      </c>
      <c r="GM536" s="1751"/>
      <c r="GN536" s="1751"/>
      <c r="GO536" s="1752"/>
      <c r="GP536" s="385"/>
      <c r="GQ536" s="1750">
        <f t="shared" si="236"/>
        <v>0</v>
      </c>
      <c r="GR536" s="1751"/>
      <c r="GS536" s="1751"/>
      <c r="GT536" s="1752"/>
      <c r="GU536" s="192">
        <f t="shared" ref="GU536:GU599" si="242">IF(BE536&gt;0,1,0)</f>
        <v>1</v>
      </c>
      <c r="GV536" s="192">
        <f>SUM($GU$337:GU536)</f>
        <v>192</v>
      </c>
      <c r="GW536" s="318"/>
      <c r="HL536" s="380">
        <f t="shared" si="211"/>
        <v>0</v>
      </c>
      <c r="HX536" s="380"/>
    </row>
    <row r="537" spans="4:232">
      <c r="D537" s="313"/>
      <c r="E537" s="247"/>
      <c r="F537" s="247"/>
      <c r="G537" s="247"/>
      <c r="H537" s="247"/>
      <c r="I537" s="247"/>
      <c r="J537" s="428">
        <f>'Endfälliges Darlehen'!AV45</f>
        <v>0</v>
      </c>
      <c r="K537" s="429"/>
      <c r="L537" s="429"/>
      <c r="M537" s="429"/>
      <c r="N537" s="429"/>
      <c r="O537" s="430"/>
      <c r="P537" s="436"/>
      <c r="S537" s="435" t="str">
        <f>"Rendite -Prognose: "&amp;N476&amp;"% p.a.;"</f>
        <v>Rendite -Prognose: 0% p.a.;</v>
      </c>
      <c r="BD537" s="387">
        <f t="shared" si="212"/>
        <v>16</v>
      </c>
      <c r="BE537" s="382">
        <f>IF(BD537&gt;0,200,0)</f>
        <v>200</v>
      </c>
      <c r="BG537" s="383">
        <f>IF($BE537&gt;$R$66-3+($BR$335*12),200,0)</f>
        <v>200</v>
      </c>
      <c r="BH537" s="1754">
        <f t="shared" si="213"/>
        <v>0</v>
      </c>
      <c r="BI537" s="1754"/>
      <c r="BJ537" s="1754"/>
      <c r="BK537" s="1754"/>
      <c r="BL537" s="1754">
        <f t="shared" si="224"/>
        <v>0</v>
      </c>
      <c r="BM537" s="1754"/>
      <c r="BN537" s="1754"/>
      <c r="BO537" s="1754">
        <f t="shared" si="214"/>
        <v>0</v>
      </c>
      <c r="BP537" s="1754"/>
      <c r="BQ537" s="1754"/>
      <c r="BR537" s="1754">
        <f t="shared" si="215"/>
        <v>0</v>
      </c>
      <c r="BS537" s="1754"/>
      <c r="BT537" s="1754"/>
      <c r="BU537" s="1754"/>
      <c r="BW537" s="383">
        <f>IF($BE537&gt;$R$66-3+($CH$335*12),200,0)</f>
        <v>200</v>
      </c>
      <c r="BX537" s="1754">
        <f t="shared" si="205"/>
        <v>0</v>
      </c>
      <c r="BY537" s="1754"/>
      <c r="BZ537" s="1754"/>
      <c r="CA537" s="1754"/>
      <c r="CB537" s="1754">
        <f t="shared" si="225"/>
        <v>0</v>
      </c>
      <c r="CC537" s="1754"/>
      <c r="CD537" s="1754"/>
      <c r="CE537" s="1754">
        <f t="shared" si="216"/>
        <v>0</v>
      </c>
      <c r="CF537" s="1754"/>
      <c r="CG537" s="1754"/>
      <c r="CH537" s="1754">
        <f t="shared" si="217"/>
        <v>0</v>
      </c>
      <c r="CI537" s="1754"/>
      <c r="CJ537" s="1754"/>
      <c r="CK537" s="1754"/>
      <c r="CM537" s="383">
        <f>IF($BE537&gt;$R$66-3+($CX$335*12),200,0)</f>
        <v>200</v>
      </c>
      <c r="CN537" s="1754">
        <f t="shared" si="206"/>
        <v>0</v>
      </c>
      <c r="CO537" s="1754"/>
      <c r="CP537" s="1754"/>
      <c r="CQ537" s="1754"/>
      <c r="CR537" s="1754">
        <f t="shared" si="226"/>
        <v>0</v>
      </c>
      <c r="CS537" s="1754"/>
      <c r="CT537" s="1754"/>
      <c r="CU537" s="1754">
        <f t="shared" si="218"/>
        <v>0</v>
      </c>
      <c r="CV537" s="1754"/>
      <c r="CW537" s="1754"/>
      <c r="CX537" s="1754">
        <f t="shared" si="219"/>
        <v>0</v>
      </c>
      <c r="CY537" s="1754"/>
      <c r="CZ537" s="1754"/>
      <c r="DA537" s="1754"/>
      <c r="DC537" s="383">
        <f>IF($BE537&gt;$R$66-3,200,0)</f>
        <v>200</v>
      </c>
      <c r="DD537" s="1754">
        <f t="shared" si="207"/>
        <v>0</v>
      </c>
      <c r="DE537" s="1754"/>
      <c r="DF537" s="1754"/>
      <c r="DG537" s="1754"/>
      <c r="DH537" s="1754">
        <f t="shared" si="227"/>
        <v>0</v>
      </c>
      <c r="DI537" s="1754"/>
      <c r="DJ537" s="1754"/>
      <c r="DK537" s="1754">
        <f t="shared" si="220"/>
        <v>0</v>
      </c>
      <c r="DL537" s="1754"/>
      <c r="DM537" s="1754"/>
      <c r="DN537" s="1754"/>
      <c r="DP537" s="383">
        <f t="shared" si="228"/>
        <v>200</v>
      </c>
      <c r="DQ537" s="1754">
        <f t="shared" si="240"/>
        <v>0</v>
      </c>
      <c r="DR537" s="1754"/>
      <c r="DS537" s="1754"/>
      <c r="DT537" s="1754"/>
      <c r="DU537" s="1754">
        <f t="shared" si="241"/>
        <v>0</v>
      </c>
      <c r="DV537" s="1754"/>
      <c r="DW537" s="1754"/>
      <c r="DX537" s="1754">
        <f t="shared" si="179"/>
        <v>0</v>
      </c>
      <c r="DY537" s="1754"/>
      <c r="DZ537" s="1754"/>
      <c r="EA537" s="1754">
        <f t="shared" si="180"/>
        <v>0</v>
      </c>
      <c r="EB537" s="1754"/>
      <c r="EC537" s="1754"/>
      <c r="ED537" s="1754"/>
      <c r="EE537" s="384"/>
      <c r="EF537" s="1750">
        <f t="shared" si="221"/>
        <v>0</v>
      </c>
      <c r="EG537" s="1751"/>
      <c r="EH537" s="1751"/>
      <c r="EI537" s="1751"/>
      <c r="EJ537" s="1752"/>
      <c r="EL537" s="1750">
        <f t="shared" si="181"/>
        <v>0</v>
      </c>
      <c r="EM537" s="1751"/>
      <c r="EN537" s="1751"/>
      <c r="EO537" s="1751"/>
      <c r="EP537" s="1752"/>
      <c r="ER537" s="1750">
        <f t="shared" si="222"/>
        <v>0</v>
      </c>
      <c r="ES537" s="1751"/>
      <c r="ET537" s="1751"/>
      <c r="EU537" s="1751"/>
      <c r="EV537" s="1752"/>
      <c r="EX537" s="1750">
        <f>IF(BE537&gt;0,Einstrahlung!$K$24*Kalkulation!$P$62/100*$AY$29*POWER((100-$P$64)/100,BD537-1),0)</f>
        <v>0</v>
      </c>
      <c r="EY537" s="1751"/>
      <c r="EZ537" s="1751"/>
      <c r="FA537" s="1751"/>
      <c r="FB537" s="1752"/>
      <c r="FD537" s="1750">
        <f t="shared" si="229"/>
        <v>0</v>
      </c>
      <c r="FE537" s="1751"/>
      <c r="FF537" s="1751"/>
      <c r="FG537" s="1751"/>
      <c r="FH537" s="1752"/>
      <c r="FI537" s="385"/>
      <c r="FJ537" s="380">
        <f t="shared" si="239"/>
        <v>0</v>
      </c>
      <c r="FK537" s="385"/>
      <c r="FL537" s="380">
        <f t="shared" si="230"/>
        <v>0</v>
      </c>
      <c r="FM537" s="385"/>
      <c r="FN537" s="380">
        <f t="shared" si="231"/>
        <v>0</v>
      </c>
      <c r="FO537" s="962">
        <f t="shared" si="237"/>
        <v>329</v>
      </c>
      <c r="FP537" s="956">
        <f t="shared" si="223"/>
        <v>0.4</v>
      </c>
      <c r="FQ537" s="380">
        <f t="shared" si="178"/>
        <v>0</v>
      </c>
      <c r="FR537" s="626">
        <f t="shared" si="232"/>
        <v>1</v>
      </c>
      <c r="FT537" s="1819">
        <f t="shared" si="238"/>
        <v>0</v>
      </c>
      <c r="FU537" s="1820"/>
      <c r="FV537" s="1820"/>
      <c r="FW537" s="1820"/>
      <c r="FX537" s="1821"/>
      <c r="FY537" s="1819">
        <f t="shared" si="233"/>
        <v>0</v>
      </c>
      <c r="FZ537" s="1820"/>
      <c r="GA537" s="1820"/>
      <c r="GB537" s="1821"/>
      <c r="GC537" s="1825">
        <f t="shared" si="182"/>
        <v>0</v>
      </c>
      <c r="GD537" s="1826"/>
      <c r="GE537" s="1826"/>
      <c r="GF537" s="1827"/>
      <c r="GH537" s="1750">
        <f t="shared" si="234"/>
        <v>0</v>
      </c>
      <c r="GI537" s="1751"/>
      <c r="GJ537" s="1751"/>
      <c r="GK537" s="1752"/>
      <c r="GL537" s="1750">
        <f t="shared" si="235"/>
        <v>0</v>
      </c>
      <c r="GM537" s="1751"/>
      <c r="GN537" s="1751"/>
      <c r="GO537" s="1752"/>
      <c r="GP537" s="385"/>
      <c r="GQ537" s="1750">
        <f t="shared" si="236"/>
        <v>0</v>
      </c>
      <c r="GR537" s="1751"/>
      <c r="GS537" s="1751"/>
      <c r="GT537" s="1752"/>
      <c r="GU537" s="192">
        <f t="shared" si="242"/>
        <v>1</v>
      </c>
      <c r="GV537" s="192">
        <f>SUM($GU$337:GU537)</f>
        <v>193</v>
      </c>
      <c r="GW537" s="318"/>
      <c r="HL537" s="380">
        <f t="shared" si="211"/>
        <v>0</v>
      </c>
      <c r="HX537" s="380"/>
    </row>
    <row r="538" spans="4:232">
      <c r="D538" s="409">
        <v>18</v>
      </c>
      <c r="E538" s="318"/>
      <c r="F538" s="428">
        <f>BR565</f>
        <v>0</v>
      </c>
      <c r="G538" s="428">
        <f>CH565</f>
        <v>0</v>
      </c>
      <c r="H538" s="428">
        <f>CX565</f>
        <v>0</v>
      </c>
      <c r="I538" s="247"/>
      <c r="J538" s="247"/>
      <c r="K538" s="429">
        <f>IF(AND(F538&gt;0,F541=0),$D538,0)</f>
        <v>0</v>
      </c>
      <c r="L538" s="429">
        <f>IF(AND(G538&gt;0,G541=0),$D538,0)</f>
        <v>0</v>
      </c>
      <c r="N538" s="429">
        <f>IF(AND(H538&gt;0,H541=0),$D538,0)</f>
        <v>0</v>
      </c>
      <c r="O538" s="430"/>
      <c r="P538" s="436"/>
      <c r="S538" s="435" t="str">
        <f>"Ablösung des endfäll. Darlehens voraussichtlich nach "&amp;N477&amp;" Jahren."</f>
        <v>Ablösung des endfäll. Darlehens voraussichtlich nach 0 Jahren.</v>
      </c>
      <c r="BD538" s="387">
        <f t="shared" si="212"/>
        <v>16</v>
      </c>
      <c r="BE538" s="382">
        <f>IF(BD538&gt;0,201,0)</f>
        <v>201</v>
      </c>
      <c r="BG538" s="383">
        <f>IF($BE538&gt;$R$66-3+($BR$335*12),201,0)</f>
        <v>201</v>
      </c>
      <c r="BH538" s="1754">
        <f t="shared" si="213"/>
        <v>0</v>
      </c>
      <c r="BI538" s="1754"/>
      <c r="BJ538" s="1754"/>
      <c r="BK538" s="1754"/>
      <c r="BL538" s="1754">
        <f t="shared" si="224"/>
        <v>0</v>
      </c>
      <c r="BM538" s="1754"/>
      <c r="BN538" s="1754"/>
      <c r="BO538" s="1754">
        <f t="shared" si="214"/>
        <v>0</v>
      </c>
      <c r="BP538" s="1754"/>
      <c r="BQ538" s="1754"/>
      <c r="BR538" s="1754">
        <f t="shared" si="215"/>
        <v>0</v>
      </c>
      <c r="BS538" s="1754"/>
      <c r="BT538" s="1754"/>
      <c r="BU538" s="1754"/>
      <c r="BW538" s="383">
        <f>IF($BE538&gt;$R$66-3+($CH$335*12),201,0)</f>
        <v>201</v>
      </c>
      <c r="BX538" s="1754">
        <f t="shared" si="205"/>
        <v>0</v>
      </c>
      <c r="BY538" s="1754"/>
      <c r="BZ538" s="1754"/>
      <c r="CA538" s="1754"/>
      <c r="CB538" s="1754">
        <f t="shared" si="225"/>
        <v>0</v>
      </c>
      <c r="CC538" s="1754"/>
      <c r="CD538" s="1754"/>
      <c r="CE538" s="1754">
        <f t="shared" si="216"/>
        <v>0</v>
      </c>
      <c r="CF538" s="1754"/>
      <c r="CG538" s="1754"/>
      <c r="CH538" s="1754">
        <f t="shared" si="217"/>
        <v>0</v>
      </c>
      <c r="CI538" s="1754"/>
      <c r="CJ538" s="1754"/>
      <c r="CK538" s="1754"/>
      <c r="CM538" s="383">
        <f>IF($BE538&gt;$R$66-3+($CX$335*12),201,0)</f>
        <v>201</v>
      </c>
      <c r="CN538" s="1754">
        <f t="shared" si="206"/>
        <v>0</v>
      </c>
      <c r="CO538" s="1754"/>
      <c r="CP538" s="1754"/>
      <c r="CQ538" s="1754"/>
      <c r="CR538" s="1754">
        <f t="shared" si="226"/>
        <v>0</v>
      </c>
      <c r="CS538" s="1754"/>
      <c r="CT538" s="1754"/>
      <c r="CU538" s="1754">
        <f t="shared" si="218"/>
        <v>0</v>
      </c>
      <c r="CV538" s="1754"/>
      <c r="CW538" s="1754"/>
      <c r="CX538" s="1754">
        <f t="shared" si="219"/>
        <v>0</v>
      </c>
      <c r="CY538" s="1754"/>
      <c r="CZ538" s="1754"/>
      <c r="DA538" s="1754"/>
      <c r="DC538" s="383">
        <f>IF($BE538&gt;$R$66-3,201,0)</f>
        <v>201</v>
      </c>
      <c r="DD538" s="1754">
        <f t="shared" si="207"/>
        <v>0</v>
      </c>
      <c r="DE538" s="1754"/>
      <c r="DF538" s="1754"/>
      <c r="DG538" s="1754"/>
      <c r="DH538" s="1754">
        <f t="shared" si="227"/>
        <v>0</v>
      </c>
      <c r="DI538" s="1754"/>
      <c r="DJ538" s="1754"/>
      <c r="DK538" s="1754">
        <f t="shared" si="220"/>
        <v>0</v>
      </c>
      <c r="DL538" s="1754"/>
      <c r="DM538" s="1754"/>
      <c r="DN538" s="1754"/>
      <c r="DP538" s="383">
        <f t="shared" si="228"/>
        <v>201</v>
      </c>
      <c r="DQ538" s="1754">
        <f t="shared" si="240"/>
        <v>0</v>
      </c>
      <c r="DR538" s="1754"/>
      <c r="DS538" s="1754"/>
      <c r="DT538" s="1754"/>
      <c r="DU538" s="1754">
        <f t="shared" si="241"/>
        <v>0</v>
      </c>
      <c r="DV538" s="1754"/>
      <c r="DW538" s="1754"/>
      <c r="DX538" s="1754">
        <f t="shared" si="179"/>
        <v>0</v>
      </c>
      <c r="DY538" s="1754"/>
      <c r="DZ538" s="1754"/>
      <c r="EA538" s="1754">
        <f t="shared" si="180"/>
        <v>0</v>
      </c>
      <c r="EB538" s="1754"/>
      <c r="EC538" s="1754"/>
      <c r="ED538" s="1754"/>
      <c r="EE538" s="384"/>
      <c r="EF538" s="1750">
        <f t="shared" si="221"/>
        <v>0</v>
      </c>
      <c r="EG538" s="1751"/>
      <c r="EH538" s="1751"/>
      <c r="EI538" s="1751"/>
      <c r="EJ538" s="1752"/>
      <c r="EL538" s="1750">
        <f t="shared" si="181"/>
        <v>0</v>
      </c>
      <c r="EM538" s="1751"/>
      <c r="EN538" s="1751"/>
      <c r="EO538" s="1751"/>
      <c r="EP538" s="1752"/>
      <c r="ER538" s="1750">
        <f t="shared" si="222"/>
        <v>0</v>
      </c>
      <c r="ES538" s="1751"/>
      <c r="ET538" s="1751"/>
      <c r="EU538" s="1751"/>
      <c r="EV538" s="1752"/>
      <c r="EX538" s="1750">
        <f>IF(BE538&gt;0,Einstrahlung!$K$26*Kalkulation!$P$62/100*$AY$29*POWER((100-$P$64)/100,BD538-1),0)</f>
        <v>0</v>
      </c>
      <c r="EY538" s="1751"/>
      <c r="EZ538" s="1751"/>
      <c r="FA538" s="1751"/>
      <c r="FB538" s="1752"/>
      <c r="FD538" s="1750">
        <f t="shared" si="229"/>
        <v>0</v>
      </c>
      <c r="FE538" s="1751"/>
      <c r="FF538" s="1751"/>
      <c r="FG538" s="1751"/>
      <c r="FH538" s="1752"/>
      <c r="FI538" s="385"/>
      <c r="FJ538" s="380">
        <f t="shared" si="239"/>
        <v>0</v>
      </c>
      <c r="FK538" s="385"/>
      <c r="FL538" s="380">
        <f t="shared" si="230"/>
        <v>0</v>
      </c>
      <c r="FM538" s="385"/>
      <c r="FN538" s="380">
        <f t="shared" si="231"/>
        <v>0</v>
      </c>
      <c r="FO538" s="962">
        <f t="shared" si="237"/>
        <v>330</v>
      </c>
      <c r="FP538" s="956">
        <f t="shared" si="223"/>
        <v>0.4</v>
      </c>
      <c r="FQ538" s="380">
        <f t="shared" ref="FQ538:FQ601" si="243">FN538*FR538-(FL538*($FQ$337/100)*FP538)</f>
        <v>0</v>
      </c>
      <c r="FR538" s="626">
        <f t="shared" si="232"/>
        <v>1</v>
      </c>
      <c r="FT538" s="1819">
        <f t="shared" si="238"/>
        <v>0</v>
      </c>
      <c r="FU538" s="1820"/>
      <c r="FV538" s="1820"/>
      <c r="FW538" s="1820"/>
      <c r="FX538" s="1821"/>
      <c r="FY538" s="1819">
        <f t="shared" si="233"/>
        <v>0</v>
      </c>
      <c r="FZ538" s="1820"/>
      <c r="GA538" s="1820"/>
      <c r="GB538" s="1821"/>
      <c r="GC538" s="1825">
        <f t="shared" si="182"/>
        <v>0</v>
      </c>
      <c r="GD538" s="1826"/>
      <c r="GE538" s="1826"/>
      <c r="GF538" s="1827"/>
      <c r="GH538" s="1750">
        <f t="shared" si="234"/>
        <v>0</v>
      </c>
      <c r="GI538" s="1751"/>
      <c r="GJ538" s="1751"/>
      <c r="GK538" s="1752"/>
      <c r="GL538" s="1750">
        <f t="shared" si="235"/>
        <v>0</v>
      </c>
      <c r="GM538" s="1751"/>
      <c r="GN538" s="1751"/>
      <c r="GO538" s="1752"/>
      <c r="GP538" s="385"/>
      <c r="GQ538" s="1750">
        <f t="shared" si="236"/>
        <v>0</v>
      </c>
      <c r="GR538" s="1751"/>
      <c r="GS538" s="1751"/>
      <c r="GT538" s="1752"/>
      <c r="GU538" s="192">
        <f t="shared" si="242"/>
        <v>1</v>
      </c>
      <c r="GV538" s="192">
        <f>SUM($GU$337:GU538)</f>
        <v>194</v>
      </c>
      <c r="GW538" s="318"/>
      <c r="HL538" s="380">
        <f t="shared" si="211"/>
        <v>0</v>
      </c>
      <c r="HX538" s="380"/>
    </row>
    <row r="539" spans="4:232">
      <c r="D539" s="313"/>
      <c r="E539" s="247"/>
      <c r="F539" s="247"/>
      <c r="G539" s="247"/>
      <c r="H539" s="247"/>
      <c r="I539" s="428">
        <f>'Endfälliges Darlehen'!AG47</f>
        <v>0</v>
      </c>
      <c r="J539" s="247"/>
      <c r="K539" s="429"/>
      <c r="L539" s="429"/>
      <c r="M539" s="429"/>
      <c r="N539" s="429"/>
      <c r="O539" s="430">
        <f>IF(AND(I539&gt;0,I542=0),$D538,0)</f>
        <v>0</v>
      </c>
      <c r="P539" s="247"/>
      <c r="BD539" s="387">
        <f t="shared" si="212"/>
        <v>16</v>
      </c>
      <c r="BE539" s="382">
        <f>IF(BD539&gt;0,202,0)</f>
        <v>202</v>
      </c>
      <c r="BG539" s="383">
        <f>IF($BE539&gt;$R$66-3+($BR$335*12),202,0)</f>
        <v>202</v>
      </c>
      <c r="BH539" s="1754">
        <f t="shared" si="213"/>
        <v>0</v>
      </c>
      <c r="BI539" s="1754"/>
      <c r="BJ539" s="1754"/>
      <c r="BK539" s="1754"/>
      <c r="BL539" s="1754">
        <f t="shared" si="224"/>
        <v>0</v>
      </c>
      <c r="BM539" s="1754"/>
      <c r="BN539" s="1754"/>
      <c r="BO539" s="1754">
        <f t="shared" si="214"/>
        <v>0</v>
      </c>
      <c r="BP539" s="1754"/>
      <c r="BQ539" s="1754"/>
      <c r="BR539" s="1754">
        <f t="shared" si="215"/>
        <v>0</v>
      </c>
      <c r="BS539" s="1754"/>
      <c r="BT539" s="1754"/>
      <c r="BU539" s="1754"/>
      <c r="BW539" s="383">
        <f>IF($BE539&gt;$R$66-3+($CH$335*12),202,0)</f>
        <v>202</v>
      </c>
      <c r="BX539" s="1754">
        <f t="shared" si="205"/>
        <v>0</v>
      </c>
      <c r="BY539" s="1754"/>
      <c r="BZ539" s="1754"/>
      <c r="CA539" s="1754"/>
      <c r="CB539" s="1754">
        <f t="shared" si="225"/>
        <v>0</v>
      </c>
      <c r="CC539" s="1754"/>
      <c r="CD539" s="1754"/>
      <c r="CE539" s="1754">
        <f t="shared" si="216"/>
        <v>0</v>
      </c>
      <c r="CF539" s="1754"/>
      <c r="CG539" s="1754"/>
      <c r="CH539" s="1754">
        <f t="shared" si="217"/>
        <v>0</v>
      </c>
      <c r="CI539" s="1754"/>
      <c r="CJ539" s="1754"/>
      <c r="CK539" s="1754"/>
      <c r="CM539" s="383">
        <f>IF($BE539&gt;$R$66-3+($CX$335*12),202,0)</f>
        <v>202</v>
      </c>
      <c r="CN539" s="1754">
        <f t="shared" si="206"/>
        <v>0</v>
      </c>
      <c r="CO539" s="1754"/>
      <c r="CP539" s="1754"/>
      <c r="CQ539" s="1754"/>
      <c r="CR539" s="1754">
        <f t="shared" si="226"/>
        <v>0</v>
      </c>
      <c r="CS539" s="1754"/>
      <c r="CT539" s="1754"/>
      <c r="CU539" s="1754">
        <f t="shared" si="218"/>
        <v>0</v>
      </c>
      <c r="CV539" s="1754"/>
      <c r="CW539" s="1754"/>
      <c r="CX539" s="1754">
        <f t="shared" si="219"/>
        <v>0</v>
      </c>
      <c r="CY539" s="1754"/>
      <c r="CZ539" s="1754"/>
      <c r="DA539" s="1754"/>
      <c r="DC539" s="383">
        <f>IF($BE539&gt;$R$66-3,202,0)</f>
        <v>202</v>
      </c>
      <c r="DD539" s="1754">
        <f t="shared" si="207"/>
        <v>0</v>
      </c>
      <c r="DE539" s="1754"/>
      <c r="DF539" s="1754"/>
      <c r="DG539" s="1754"/>
      <c r="DH539" s="1754">
        <f t="shared" si="227"/>
        <v>0</v>
      </c>
      <c r="DI539" s="1754"/>
      <c r="DJ539" s="1754"/>
      <c r="DK539" s="1754">
        <f t="shared" si="220"/>
        <v>0</v>
      </c>
      <c r="DL539" s="1754"/>
      <c r="DM539" s="1754"/>
      <c r="DN539" s="1754"/>
      <c r="DP539" s="383">
        <f t="shared" si="228"/>
        <v>202</v>
      </c>
      <c r="DQ539" s="1754">
        <f t="shared" si="240"/>
        <v>0</v>
      </c>
      <c r="DR539" s="1754"/>
      <c r="DS539" s="1754"/>
      <c r="DT539" s="1754"/>
      <c r="DU539" s="1754">
        <f t="shared" si="241"/>
        <v>0</v>
      </c>
      <c r="DV539" s="1754"/>
      <c r="DW539" s="1754"/>
      <c r="DX539" s="1754">
        <f t="shared" si="179"/>
        <v>0</v>
      </c>
      <c r="DY539" s="1754"/>
      <c r="DZ539" s="1754"/>
      <c r="EA539" s="1754">
        <f t="shared" si="180"/>
        <v>0</v>
      </c>
      <c r="EB539" s="1754"/>
      <c r="EC539" s="1754"/>
      <c r="ED539" s="1754"/>
      <c r="EE539" s="384"/>
      <c r="EF539" s="1750">
        <f t="shared" si="221"/>
        <v>0</v>
      </c>
      <c r="EG539" s="1751"/>
      <c r="EH539" s="1751"/>
      <c r="EI539" s="1751"/>
      <c r="EJ539" s="1752"/>
      <c r="EL539" s="1750">
        <f t="shared" si="181"/>
        <v>0</v>
      </c>
      <c r="EM539" s="1751"/>
      <c r="EN539" s="1751"/>
      <c r="EO539" s="1751"/>
      <c r="EP539" s="1752"/>
      <c r="ER539" s="1750">
        <f t="shared" si="222"/>
        <v>0</v>
      </c>
      <c r="ES539" s="1751"/>
      <c r="ET539" s="1751"/>
      <c r="EU539" s="1751"/>
      <c r="EV539" s="1752"/>
      <c r="EX539" s="1750">
        <f>IF(BE539&gt;0,Einstrahlung!$K$28*Kalkulation!$P$62/100*$AY$29*POWER((100-$P$64)/100,BD539-1),0)</f>
        <v>0</v>
      </c>
      <c r="EY539" s="1751"/>
      <c r="EZ539" s="1751"/>
      <c r="FA539" s="1751"/>
      <c r="FB539" s="1752"/>
      <c r="FD539" s="1750">
        <f t="shared" si="229"/>
        <v>0</v>
      </c>
      <c r="FE539" s="1751"/>
      <c r="FF539" s="1751"/>
      <c r="FG539" s="1751"/>
      <c r="FH539" s="1752"/>
      <c r="FI539" s="385"/>
      <c r="FJ539" s="380">
        <f t="shared" si="239"/>
        <v>0</v>
      </c>
      <c r="FK539" s="385"/>
      <c r="FL539" s="380">
        <f t="shared" si="230"/>
        <v>0</v>
      </c>
      <c r="FM539" s="385"/>
      <c r="FN539" s="380">
        <f t="shared" si="231"/>
        <v>0</v>
      </c>
      <c r="FO539" s="962">
        <f t="shared" si="237"/>
        <v>331</v>
      </c>
      <c r="FP539" s="956">
        <f t="shared" si="223"/>
        <v>0.4</v>
      </c>
      <c r="FQ539" s="380">
        <f t="shared" si="243"/>
        <v>0</v>
      </c>
      <c r="FR539" s="626">
        <f t="shared" si="232"/>
        <v>1</v>
      </c>
      <c r="FT539" s="1819">
        <f t="shared" si="238"/>
        <v>0</v>
      </c>
      <c r="FU539" s="1820"/>
      <c r="FV539" s="1820"/>
      <c r="FW539" s="1820"/>
      <c r="FX539" s="1821"/>
      <c r="FY539" s="1819">
        <f t="shared" si="233"/>
        <v>0</v>
      </c>
      <c r="FZ539" s="1820"/>
      <c r="GA539" s="1820"/>
      <c r="GB539" s="1821"/>
      <c r="GC539" s="1825">
        <f t="shared" si="182"/>
        <v>0</v>
      </c>
      <c r="GD539" s="1826"/>
      <c r="GE539" s="1826"/>
      <c r="GF539" s="1827"/>
      <c r="GH539" s="1750">
        <f t="shared" si="234"/>
        <v>0</v>
      </c>
      <c r="GI539" s="1751"/>
      <c r="GJ539" s="1751"/>
      <c r="GK539" s="1752"/>
      <c r="GL539" s="1750">
        <f t="shared" si="235"/>
        <v>0</v>
      </c>
      <c r="GM539" s="1751"/>
      <c r="GN539" s="1751"/>
      <c r="GO539" s="1752"/>
      <c r="GP539" s="385"/>
      <c r="GQ539" s="1750">
        <f t="shared" si="236"/>
        <v>0</v>
      </c>
      <c r="GR539" s="1751"/>
      <c r="GS539" s="1751"/>
      <c r="GT539" s="1752"/>
      <c r="GU539" s="192">
        <f t="shared" si="242"/>
        <v>1</v>
      </c>
      <c r="GV539" s="192">
        <f>SUM($GU$337:GU539)</f>
        <v>195</v>
      </c>
      <c r="GW539" s="318"/>
      <c r="HL539" s="380">
        <f t="shared" si="211"/>
        <v>0</v>
      </c>
      <c r="HX539" s="380"/>
    </row>
    <row r="540" spans="4:232">
      <c r="D540" s="313"/>
      <c r="E540" s="247"/>
      <c r="F540" s="247"/>
      <c r="G540" s="247"/>
      <c r="H540" s="247"/>
      <c r="I540" s="247"/>
      <c r="J540" s="428">
        <f>'Endfälliges Darlehen'!AV47</f>
        <v>0</v>
      </c>
      <c r="K540" s="429"/>
      <c r="L540" s="429"/>
      <c r="M540" s="429"/>
      <c r="N540" s="429"/>
      <c r="O540" s="430"/>
      <c r="BD540" s="387">
        <f t="shared" si="212"/>
        <v>16</v>
      </c>
      <c r="BE540" s="382">
        <f>IF(BD540&gt;0,203,0)</f>
        <v>203</v>
      </c>
      <c r="BG540" s="383">
        <f>IF($BE540&gt;$R$66-3+($BR$335*12),203,0)</f>
        <v>203</v>
      </c>
      <c r="BH540" s="1754">
        <f t="shared" si="213"/>
        <v>0</v>
      </c>
      <c r="BI540" s="1754"/>
      <c r="BJ540" s="1754"/>
      <c r="BK540" s="1754"/>
      <c r="BL540" s="1754">
        <f t="shared" si="224"/>
        <v>0</v>
      </c>
      <c r="BM540" s="1754"/>
      <c r="BN540" s="1754"/>
      <c r="BO540" s="1754">
        <f t="shared" si="214"/>
        <v>0</v>
      </c>
      <c r="BP540" s="1754"/>
      <c r="BQ540" s="1754"/>
      <c r="BR540" s="1754">
        <f t="shared" si="215"/>
        <v>0</v>
      </c>
      <c r="BS540" s="1754"/>
      <c r="BT540" s="1754"/>
      <c r="BU540" s="1754"/>
      <c r="BW540" s="383">
        <f>IF($BE540&gt;$R$66-3+($CH$335*12),203,0)</f>
        <v>203</v>
      </c>
      <c r="BX540" s="1754">
        <f t="shared" si="205"/>
        <v>0</v>
      </c>
      <c r="BY540" s="1754"/>
      <c r="BZ540" s="1754"/>
      <c r="CA540" s="1754"/>
      <c r="CB540" s="1754">
        <f t="shared" si="225"/>
        <v>0</v>
      </c>
      <c r="CC540" s="1754"/>
      <c r="CD540" s="1754"/>
      <c r="CE540" s="1754">
        <f t="shared" si="216"/>
        <v>0</v>
      </c>
      <c r="CF540" s="1754"/>
      <c r="CG540" s="1754"/>
      <c r="CH540" s="1754">
        <f t="shared" si="217"/>
        <v>0</v>
      </c>
      <c r="CI540" s="1754"/>
      <c r="CJ540" s="1754"/>
      <c r="CK540" s="1754"/>
      <c r="CM540" s="383">
        <f>IF($BE540&gt;$R$66-3+($CX$335*12),203,0)</f>
        <v>203</v>
      </c>
      <c r="CN540" s="1754">
        <f t="shared" si="206"/>
        <v>0</v>
      </c>
      <c r="CO540" s="1754"/>
      <c r="CP540" s="1754"/>
      <c r="CQ540" s="1754"/>
      <c r="CR540" s="1754">
        <f t="shared" si="226"/>
        <v>0</v>
      </c>
      <c r="CS540" s="1754"/>
      <c r="CT540" s="1754"/>
      <c r="CU540" s="1754">
        <f t="shared" si="218"/>
        <v>0</v>
      </c>
      <c r="CV540" s="1754"/>
      <c r="CW540" s="1754"/>
      <c r="CX540" s="1754">
        <f t="shared" si="219"/>
        <v>0</v>
      </c>
      <c r="CY540" s="1754"/>
      <c r="CZ540" s="1754"/>
      <c r="DA540" s="1754"/>
      <c r="DC540" s="383">
        <f>IF($BE540&gt;$R$66-3,203,0)</f>
        <v>203</v>
      </c>
      <c r="DD540" s="1754">
        <f t="shared" si="207"/>
        <v>0</v>
      </c>
      <c r="DE540" s="1754"/>
      <c r="DF540" s="1754"/>
      <c r="DG540" s="1754"/>
      <c r="DH540" s="1754">
        <f t="shared" si="227"/>
        <v>0</v>
      </c>
      <c r="DI540" s="1754"/>
      <c r="DJ540" s="1754"/>
      <c r="DK540" s="1754">
        <f t="shared" si="220"/>
        <v>0</v>
      </c>
      <c r="DL540" s="1754"/>
      <c r="DM540" s="1754"/>
      <c r="DN540" s="1754"/>
      <c r="DP540" s="383">
        <f t="shared" si="228"/>
        <v>203</v>
      </c>
      <c r="DQ540" s="1754">
        <f t="shared" si="240"/>
        <v>0</v>
      </c>
      <c r="DR540" s="1754"/>
      <c r="DS540" s="1754"/>
      <c r="DT540" s="1754"/>
      <c r="DU540" s="1754">
        <f t="shared" si="241"/>
        <v>0</v>
      </c>
      <c r="DV540" s="1754"/>
      <c r="DW540" s="1754"/>
      <c r="DX540" s="1754">
        <f t="shared" si="179"/>
        <v>0</v>
      </c>
      <c r="DY540" s="1754"/>
      <c r="DZ540" s="1754"/>
      <c r="EA540" s="1754">
        <f t="shared" si="180"/>
        <v>0</v>
      </c>
      <c r="EB540" s="1754"/>
      <c r="EC540" s="1754"/>
      <c r="ED540" s="1754"/>
      <c r="EE540" s="384"/>
      <c r="EF540" s="1750">
        <f t="shared" si="221"/>
        <v>0</v>
      </c>
      <c r="EG540" s="1751"/>
      <c r="EH540" s="1751"/>
      <c r="EI540" s="1751"/>
      <c r="EJ540" s="1752"/>
      <c r="EL540" s="1750">
        <f t="shared" si="181"/>
        <v>0</v>
      </c>
      <c r="EM540" s="1751"/>
      <c r="EN540" s="1751"/>
      <c r="EO540" s="1751"/>
      <c r="EP540" s="1752"/>
      <c r="ER540" s="1750">
        <f t="shared" si="222"/>
        <v>0</v>
      </c>
      <c r="ES540" s="1751"/>
      <c r="ET540" s="1751"/>
      <c r="EU540" s="1751"/>
      <c r="EV540" s="1752"/>
      <c r="EX540" s="1750">
        <f>IF(BE540&gt;0,Einstrahlung!$K$30*Kalkulation!$P$62/100*$AY$29*POWER((100-$P$64)/100,BD540-1),0)</f>
        <v>0</v>
      </c>
      <c r="EY540" s="1751"/>
      <c r="EZ540" s="1751"/>
      <c r="FA540" s="1751"/>
      <c r="FB540" s="1752"/>
      <c r="FD540" s="1750">
        <f t="shared" si="229"/>
        <v>0</v>
      </c>
      <c r="FE540" s="1751"/>
      <c r="FF540" s="1751"/>
      <c r="FG540" s="1751"/>
      <c r="FH540" s="1752"/>
      <c r="FI540" s="385"/>
      <c r="FJ540" s="380">
        <f t="shared" si="239"/>
        <v>0</v>
      </c>
      <c r="FK540" s="385"/>
      <c r="FL540" s="380">
        <f t="shared" si="230"/>
        <v>0</v>
      </c>
      <c r="FM540" s="385"/>
      <c r="FN540" s="380">
        <f t="shared" si="231"/>
        <v>0</v>
      </c>
      <c r="FO540" s="962">
        <f t="shared" si="237"/>
        <v>332</v>
      </c>
      <c r="FP540" s="956">
        <f t="shared" si="223"/>
        <v>0.4</v>
      </c>
      <c r="FQ540" s="380">
        <f t="shared" si="243"/>
        <v>0</v>
      </c>
      <c r="FR540" s="626">
        <f t="shared" si="232"/>
        <v>1</v>
      </c>
      <c r="FT540" s="1819">
        <f t="shared" si="238"/>
        <v>0</v>
      </c>
      <c r="FU540" s="1820"/>
      <c r="FV540" s="1820"/>
      <c r="FW540" s="1820"/>
      <c r="FX540" s="1821"/>
      <c r="FY540" s="1819">
        <f t="shared" si="233"/>
        <v>0</v>
      </c>
      <c r="FZ540" s="1820"/>
      <c r="GA540" s="1820"/>
      <c r="GB540" s="1821"/>
      <c r="GC540" s="1825">
        <f t="shared" si="182"/>
        <v>0</v>
      </c>
      <c r="GD540" s="1826"/>
      <c r="GE540" s="1826"/>
      <c r="GF540" s="1827"/>
      <c r="GH540" s="1750">
        <f t="shared" si="234"/>
        <v>0</v>
      </c>
      <c r="GI540" s="1751"/>
      <c r="GJ540" s="1751"/>
      <c r="GK540" s="1752"/>
      <c r="GL540" s="1750">
        <f t="shared" si="235"/>
        <v>0</v>
      </c>
      <c r="GM540" s="1751"/>
      <c r="GN540" s="1751"/>
      <c r="GO540" s="1752"/>
      <c r="GP540" s="385"/>
      <c r="GQ540" s="1750">
        <f t="shared" si="236"/>
        <v>0</v>
      </c>
      <c r="GR540" s="1751"/>
      <c r="GS540" s="1751"/>
      <c r="GT540" s="1752"/>
      <c r="GU540" s="192">
        <f t="shared" si="242"/>
        <v>1</v>
      </c>
      <c r="GV540" s="192">
        <f>SUM($GU$337:GU540)</f>
        <v>196</v>
      </c>
      <c r="GW540" s="318"/>
      <c r="HL540" s="380">
        <f t="shared" si="211"/>
        <v>0</v>
      </c>
      <c r="HX540" s="380"/>
    </row>
    <row r="541" spans="4:232" ht="13.5" thickBot="1">
      <c r="D541" s="409">
        <v>19</v>
      </c>
      <c r="E541" s="318"/>
      <c r="F541" s="428">
        <f>BR577</f>
        <v>0</v>
      </c>
      <c r="G541" s="428">
        <f>CH577</f>
        <v>0</v>
      </c>
      <c r="H541" s="428">
        <f>CX577</f>
        <v>0</v>
      </c>
      <c r="I541" s="247"/>
      <c r="J541" s="247"/>
      <c r="K541" s="429">
        <f>IF(AND(F541&gt;0,F544=0),$D541,0)</f>
        <v>0</v>
      </c>
      <c r="L541" s="429">
        <f>IF(AND(G541&gt;0,G544=0),$D541,0)</f>
        <v>0</v>
      </c>
      <c r="N541" s="429">
        <f>IF(AND(H541&gt;0,H544=0),$D541,0)</f>
        <v>0</v>
      </c>
      <c r="O541" s="430"/>
      <c r="BD541" s="389">
        <f t="shared" si="212"/>
        <v>16</v>
      </c>
      <c r="BE541" s="390">
        <f>IF(BD541&gt;0,204,0)</f>
        <v>204</v>
      </c>
      <c r="BG541" s="391">
        <f>IF($BE541&gt;$R$66-3+($BR$335*12),204,0)</f>
        <v>204</v>
      </c>
      <c r="BH541" s="1753">
        <f t="shared" si="213"/>
        <v>0</v>
      </c>
      <c r="BI541" s="1753"/>
      <c r="BJ541" s="1753"/>
      <c r="BK541" s="1753"/>
      <c r="BL541" s="1753">
        <f t="shared" si="224"/>
        <v>0</v>
      </c>
      <c r="BM541" s="1753"/>
      <c r="BN541" s="1753"/>
      <c r="BO541" s="1753">
        <f t="shared" si="214"/>
        <v>0</v>
      </c>
      <c r="BP541" s="1753"/>
      <c r="BQ541" s="1753"/>
      <c r="BR541" s="1753">
        <f t="shared" si="215"/>
        <v>0</v>
      </c>
      <c r="BS541" s="1753"/>
      <c r="BT541" s="1753"/>
      <c r="BU541" s="1753"/>
      <c r="BW541" s="391">
        <f>IF($BE541&gt;$R$66-3+($CH$335*12),204,0)</f>
        <v>204</v>
      </c>
      <c r="BX541" s="1753">
        <f t="shared" si="205"/>
        <v>0</v>
      </c>
      <c r="BY541" s="1753"/>
      <c r="BZ541" s="1753"/>
      <c r="CA541" s="1753"/>
      <c r="CB541" s="1753">
        <f t="shared" si="225"/>
        <v>0</v>
      </c>
      <c r="CC541" s="1753"/>
      <c r="CD541" s="1753"/>
      <c r="CE541" s="1753">
        <f t="shared" si="216"/>
        <v>0</v>
      </c>
      <c r="CF541" s="1753"/>
      <c r="CG541" s="1753"/>
      <c r="CH541" s="1753">
        <f t="shared" si="217"/>
        <v>0</v>
      </c>
      <c r="CI541" s="1753"/>
      <c r="CJ541" s="1753"/>
      <c r="CK541" s="1753"/>
      <c r="CM541" s="391">
        <f>IF($BE541&gt;$R$66-3+($CX$335*12),204,0)</f>
        <v>204</v>
      </c>
      <c r="CN541" s="1753">
        <f t="shared" si="206"/>
        <v>0</v>
      </c>
      <c r="CO541" s="1753"/>
      <c r="CP541" s="1753"/>
      <c r="CQ541" s="1753"/>
      <c r="CR541" s="1753">
        <f t="shared" si="226"/>
        <v>0</v>
      </c>
      <c r="CS541" s="1753"/>
      <c r="CT541" s="1753"/>
      <c r="CU541" s="1753">
        <f t="shared" si="218"/>
        <v>0</v>
      </c>
      <c r="CV541" s="1753"/>
      <c r="CW541" s="1753"/>
      <c r="CX541" s="1753">
        <f t="shared" si="219"/>
        <v>0</v>
      </c>
      <c r="CY541" s="1753"/>
      <c r="CZ541" s="1753"/>
      <c r="DA541" s="1753"/>
      <c r="DC541" s="391">
        <f>IF($BE541&gt;$R$66-3,204,0)</f>
        <v>204</v>
      </c>
      <c r="DD541" s="1753">
        <f t="shared" si="207"/>
        <v>0</v>
      </c>
      <c r="DE541" s="1753"/>
      <c r="DF541" s="1753"/>
      <c r="DG541" s="1753"/>
      <c r="DH541" s="1753">
        <f t="shared" si="227"/>
        <v>0</v>
      </c>
      <c r="DI541" s="1753"/>
      <c r="DJ541" s="1753"/>
      <c r="DK541" s="1753">
        <f t="shared" si="220"/>
        <v>0</v>
      </c>
      <c r="DL541" s="1753"/>
      <c r="DM541" s="1753"/>
      <c r="DN541" s="1753"/>
      <c r="DP541" s="391">
        <f t="shared" si="228"/>
        <v>204</v>
      </c>
      <c r="DQ541" s="1753">
        <f t="shared" si="240"/>
        <v>0</v>
      </c>
      <c r="DR541" s="1753"/>
      <c r="DS541" s="1753"/>
      <c r="DT541" s="1753"/>
      <c r="DU541" s="1753">
        <f t="shared" si="241"/>
        <v>0</v>
      </c>
      <c r="DV541" s="1753"/>
      <c r="DW541" s="1753"/>
      <c r="DX541" s="1753">
        <f t="shared" si="179"/>
        <v>0</v>
      </c>
      <c r="DY541" s="1753"/>
      <c r="DZ541" s="1753"/>
      <c r="EA541" s="1753">
        <f t="shared" si="180"/>
        <v>0</v>
      </c>
      <c r="EB541" s="1753"/>
      <c r="EC541" s="1753"/>
      <c r="ED541" s="1753"/>
      <c r="EE541" s="384"/>
      <c r="EF541" s="1744">
        <f t="shared" si="221"/>
        <v>0</v>
      </c>
      <c r="EG541" s="1745"/>
      <c r="EH541" s="1745"/>
      <c r="EI541" s="1745"/>
      <c r="EJ541" s="1746"/>
      <c r="EL541" s="1744">
        <f t="shared" si="181"/>
        <v>0</v>
      </c>
      <c r="EM541" s="1745"/>
      <c r="EN541" s="1745"/>
      <c r="EO541" s="1745"/>
      <c r="EP541" s="1746"/>
      <c r="ER541" s="1744">
        <f t="shared" si="222"/>
        <v>0</v>
      </c>
      <c r="ES541" s="1745"/>
      <c r="ET541" s="1745"/>
      <c r="EU541" s="1745"/>
      <c r="EV541" s="1746"/>
      <c r="EX541" s="1744">
        <f>IF(BE541&gt;0,Einstrahlung!$K$32*Kalkulation!$P$62/100*$AY$29*POWER((100-$P$64)/100,BD541-1),0)</f>
        <v>0</v>
      </c>
      <c r="EY541" s="1745"/>
      <c r="EZ541" s="1745"/>
      <c r="FA541" s="1745"/>
      <c r="FB541" s="1746"/>
      <c r="FD541" s="1744">
        <f t="shared" si="229"/>
        <v>0</v>
      </c>
      <c r="FE541" s="1745"/>
      <c r="FF541" s="1745"/>
      <c r="FG541" s="1745"/>
      <c r="FH541" s="1746"/>
      <c r="FI541" s="385"/>
      <c r="FJ541" s="453">
        <f t="shared" si="239"/>
        <v>0</v>
      </c>
      <c r="FK541" s="385"/>
      <c r="FL541" s="453">
        <f t="shared" si="230"/>
        <v>0</v>
      </c>
      <c r="FM541" s="385"/>
      <c r="FN541" s="453">
        <f t="shared" si="231"/>
        <v>0</v>
      </c>
      <c r="FO541" s="962">
        <f t="shared" si="237"/>
        <v>333</v>
      </c>
      <c r="FP541" s="956">
        <f t="shared" si="223"/>
        <v>0.4</v>
      </c>
      <c r="FQ541" s="453">
        <f t="shared" si="243"/>
        <v>0</v>
      </c>
      <c r="FR541" s="957">
        <f>POWER(1+$FQ$333,FS541)</f>
        <v>1</v>
      </c>
      <c r="FS541" s="617">
        <f>FS529+1</f>
        <v>16</v>
      </c>
      <c r="FT541" s="1822">
        <f t="shared" si="238"/>
        <v>0</v>
      </c>
      <c r="FU541" s="1823"/>
      <c r="FV541" s="1823"/>
      <c r="FW541" s="1823"/>
      <c r="FX541" s="1824"/>
      <c r="FY541" s="1822">
        <f t="shared" si="233"/>
        <v>0</v>
      </c>
      <c r="FZ541" s="1823"/>
      <c r="GA541" s="1823"/>
      <c r="GB541" s="1824"/>
      <c r="GC541" s="1831">
        <f t="shared" si="182"/>
        <v>0</v>
      </c>
      <c r="GD541" s="1832"/>
      <c r="GE541" s="1832"/>
      <c r="GF541" s="1833"/>
      <c r="GH541" s="1744">
        <f t="shared" si="234"/>
        <v>0</v>
      </c>
      <c r="GI541" s="1745"/>
      <c r="GJ541" s="1745"/>
      <c r="GK541" s="1746"/>
      <c r="GL541" s="1744">
        <f t="shared" si="235"/>
        <v>0</v>
      </c>
      <c r="GM541" s="1745"/>
      <c r="GN541" s="1745"/>
      <c r="GO541" s="1746"/>
      <c r="GP541" s="385"/>
      <c r="GQ541" s="1744">
        <f t="shared" si="236"/>
        <v>0</v>
      </c>
      <c r="GR541" s="1745"/>
      <c r="GS541" s="1745"/>
      <c r="GT541" s="1746"/>
      <c r="GU541" s="192">
        <f t="shared" si="242"/>
        <v>1</v>
      </c>
      <c r="GV541" s="192">
        <f>SUM($GU$337:GU541)</f>
        <v>197</v>
      </c>
      <c r="GW541" s="318"/>
      <c r="HM541" s="380">
        <f t="shared" ref="HM541:HM552" si="244">IF(GV541=204,SUM(GQ530:GT541),0)</f>
        <v>0</v>
      </c>
      <c r="HX541" s="380"/>
    </row>
    <row r="542" spans="4:232">
      <c r="D542" s="313"/>
      <c r="E542" s="247"/>
      <c r="F542" s="247"/>
      <c r="G542" s="247"/>
      <c r="H542" s="247"/>
      <c r="I542" s="428">
        <f>'Endfälliges Darlehen'!AG49</f>
        <v>0</v>
      </c>
      <c r="J542" s="247"/>
      <c r="K542" s="429"/>
      <c r="L542" s="429"/>
      <c r="M542" s="429"/>
      <c r="N542" s="429"/>
      <c r="O542" s="430">
        <f>IF(AND(I542&gt;0,I545=0),$D541,0)</f>
        <v>0</v>
      </c>
      <c r="Q542" s="653" t="s">
        <v>667</v>
      </c>
      <c r="BD542" s="381">
        <f t="shared" ref="BD542:BD553" si="245">IF(BH542&lt;0,0,IF($V$21&gt;0,17,0))</f>
        <v>17</v>
      </c>
      <c r="BE542" s="382">
        <f>IF(BD542&gt;0,205,0)</f>
        <v>205</v>
      </c>
      <c r="BG542" s="395">
        <f>IF($BE542&gt;$R$66-3+($BR$335*12),205,0)</f>
        <v>205</v>
      </c>
      <c r="BH542" s="1754">
        <f t="shared" ref="BH542:BH553" si="246">IF(BR541&lt;=0,0,BR541)</f>
        <v>0</v>
      </c>
      <c r="BI542" s="1754"/>
      <c r="BJ542" s="1754"/>
      <c r="BK542" s="1754"/>
      <c r="BL542" s="1754">
        <f t="shared" si="224"/>
        <v>0</v>
      </c>
      <c r="BM542" s="1754"/>
      <c r="BN542" s="1754"/>
      <c r="BO542" s="1754">
        <f t="shared" si="214"/>
        <v>0</v>
      </c>
      <c r="BP542" s="1754"/>
      <c r="BQ542" s="1754"/>
      <c r="BR542" s="1754">
        <f t="shared" ref="BR542:BR553" si="247">BH542-BL542</f>
        <v>0</v>
      </c>
      <c r="BS542" s="1754"/>
      <c r="BT542" s="1754"/>
      <c r="BU542" s="1754"/>
      <c r="BW542" s="395">
        <f>IF($BE542&gt;$R$66-3+($CH$335*12),205,0)</f>
        <v>205</v>
      </c>
      <c r="BX542" s="1754">
        <f t="shared" si="205"/>
        <v>0</v>
      </c>
      <c r="BY542" s="1754"/>
      <c r="BZ542" s="1754"/>
      <c r="CA542" s="1754"/>
      <c r="CB542" s="1754">
        <f t="shared" si="225"/>
        <v>0</v>
      </c>
      <c r="CC542" s="1754"/>
      <c r="CD542" s="1754"/>
      <c r="CE542" s="1754">
        <f t="shared" si="216"/>
        <v>0</v>
      </c>
      <c r="CF542" s="1754"/>
      <c r="CG542" s="1754"/>
      <c r="CH542" s="1754">
        <f t="shared" si="217"/>
        <v>0</v>
      </c>
      <c r="CI542" s="1754"/>
      <c r="CJ542" s="1754"/>
      <c r="CK542" s="1754"/>
      <c r="CM542" s="395">
        <f>IF($BE542&gt;$R$66-3+($CX$335*12),205,0)</f>
        <v>205</v>
      </c>
      <c r="CN542" s="1754">
        <f t="shared" si="206"/>
        <v>0</v>
      </c>
      <c r="CO542" s="1754"/>
      <c r="CP542" s="1754"/>
      <c r="CQ542" s="1754"/>
      <c r="CR542" s="1754">
        <f t="shared" si="226"/>
        <v>0</v>
      </c>
      <c r="CS542" s="1754"/>
      <c r="CT542" s="1754"/>
      <c r="CU542" s="1754">
        <f t="shared" si="218"/>
        <v>0</v>
      </c>
      <c r="CV542" s="1754"/>
      <c r="CW542" s="1754"/>
      <c r="CX542" s="1754">
        <f t="shared" si="219"/>
        <v>0</v>
      </c>
      <c r="CY542" s="1754"/>
      <c r="CZ542" s="1754"/>
      <c r="DA542" s="1754"/>
      <c r="DC542" s="395">
        <f>IF($BE542&gt;$R$66-3,205,0)</f>
        <v>205</v>
      </c>
      <c r="DD542" s="1754">
        <f t="shared" si="207"/>
        <v>0</v>
      </c>
      <c r="DE542" s="1754"/>
      <c r="DF542" s="1754"/>
      <c r="DG542" s="1754"/>
      <c r="DH542" s="1754">
        <f t="shared" si="227"/>
        <v>0</v>
      </c>
      <c r="DI542" s="1754"/>
      <c r="DJ542" s="1754"/>
      <c r="DK542" s="1754">
        <f t="shared" si="220"/>
        <v>0</v>
      </c>
      <c r="DL542" s="1754"/>
      <c r="DM542" s="1754"/>
      <c r="DN542" s="1754"/>
      <c r="DP542" s="395">
        <f t="shared" si="228"/>
        <v>205</v>
      </c>
      <c r="DQ542" s="1754">
        <f t="shared" si="240"/>
        <v>0</v>
      </c>
      <c r="DR542" s="1754"/>
      <c r="DS542" s="1754"/>
      <c r="DT542" s="1754"/>
      <c r="DU542" s="1754">
        <f t="shared" si="241"/>
        <v>0</v>
      </c>
      <c r="DV542" s="1754"/>
      <c r="DW542" s="1754"/>
      <c r="DX542" s="1754">
        <f t="shared" ref="DX542:DX605" si="248">(DQ542+DU542)*($DR$335/100)/12</f>
        <v>0</v>
      </c>
      <c r="DY542" s="1754"/>
      <c r="DZ542" s="1754"/>
      <c r="EA542" s="1754">
        <f t="shared" ref="EA542:EA605" si="249">DQ542+DU542+DX542</f>
        <v>0</v>
      </c>
      <c r="EB542" s="1754"/>
      <c r="EC542" s="1754"/>
      <c r="ED542" s="1754"/>
      <c r="EE542" s="384"/>
      <c r="EF542" s="1750">
        <f t="shared" si="221"/>
        <v>0</v>
      </c>
      <c r="EG542" s="1751"/>
      <c r="EH542" s="1751"/>
      <c r="EI542" s="1751"/>
      <c r="EJ542" s="1752"/>
      <c r="EL542" s="1750">
        <f t="shared" si="181"/>
        <v>0</v>
      </c>
      <c r="EM542" s="1751"/>
      <c r="EN542" s="1751"/>
      <c r="EO542" s="1751"/>
      <c r="EP542" s="1752"/>
      <c r="ER542" s="1750">
        <f t="shared" si="222"/>
        <v>0</v>
      </c>
      <c r="ES542" s="1751"/>
      <c r="ET542" s="1751"/>
      <c r="EU542" s="1751"/>
      <c r="EV542" s="1752"/>
      <c r="EX542" s="1750">
        <f>IF(BE542&gt;0,Einstrahlung!$K$10*Kalkulation!$P$62/100*$AY$29*POWER((100-$P$64)/100,BD542-1),0)</f>
        <v>0</v>
      </c>
      <c r="EY542" s="1751"/>
      <c r="EZ542" s="1751"/>
      <c r="FA542" s="1751"/>
      <c r="FB542" s="1752"/>
      <c r="FD542" s="1750">
        <f t="shared" si="229"/>
        <v>0</v>
      </c>
      <c r="FE542" s="1751"/>
      <c r="FF542" s="1751"/>
      <c r="FG542" s="1751"/>
      <c r="FH542" s="1752"/>
      <c r="FI542" s="385"/>
      <c r="FJ542" s="380">
        <f t="shared" si="239"/>
        <v>0</v>
      </c>
      <c r="FK542" s="385"/>
      <c r="FL542" s="380">
        <f>IF(BE542&gt;0,IF($FL$336&gt;SUM($EX$542:$FB$553),SUM($EX$542:$FB$553)/12,$FL$336/12),0)</f>
        <v>0</v>
      </c>
      <c r="FM542" s="385"/>
      <c r="FN542" s="380">
        <f t="shared" si="231"/>
        <v>0</v>
      </c>
      <c r="FO542" s="962">
        <f t="shared" si="237"/>
        <v>334</v>
      </c>
      <c r="FP542" s="956">
        <f t="shared" si="223"/>
        <v>0.4</v>
      </c>
      <c r="FQ542" s="380">
        <f t="shared" si="243"/>
        <v>0</v>
      </c>
      <c r="FR542" s="626">
        <f>IF(AND(GV542&gt;192,GV542&lt;=204),$FR$541,IF(AND(GV542&gt;204,GV542&lt;=216),$FR$553,0))</f>
        <v>1</v>
      </c>
      <c r="FT542" s="1819">
        <f t="shared" si="238"/>
        <v>0</v>
      </c>
      <c r="FU542" s="1820"/>
      <c r="FV542" s="1820"/>
      <c r="FW542" s="1820"/>
      <c r="FX542" s="1821"/>
      <c r="FY542" s="1819">
        <f t="shared" si="233"/>
        <v>0</v>
      </c>
      <c r="FZ542" s="1820"/>
      <c r="GA542" s="1820"/>
      <c r="GB542" s="1821"/>
      <c r="GC542" s="1825">
        <f t="shared" si="182"/>
        <v>0</v>
      </c>
      <c r="GD542" s="1826"/>
      <c r="GE542" s="1826"/>
      <c r="GF542" s="1827"/>
      <c r="GH542" s="1750">
        <f t="shared" si="234"/>
        <v>0</v>
      </c>
      <c r="GI542" s="1751"/>
      <c r="GJ542" s="1751"/>
      <c r="GK542" s="1751"/>
      <c r="GL542" s="1750">
        <f t="shared" si="235"/>
        <v>0</v>
      </c>
      <c r="GM542" s="1751"/>
      <c r="GN542" s="1751"/>
      <c r="GO542" s="1752"/>
      <c r="GP542" s="385"/>
      <c r="GQ542" s="1865">
        <f t="shared" si="236"/>
        <v>0</v>
      </c>
      <c r="GR542" s="1866"/>
      <c r="GS542" s="1866"/>
      <c r="GT542" s="1867"/>
      <c r="GU542" s="192">
        <f t="shared" si="242"/>
        <v>1</v>
      </c>
      <c r="GV542" s="192">
        <f>SUM($GU$337:GU542)</f>
        <v>198</v>
      </c>
      <c r="GW542" s="318"/>
      <c r="HM542" s="380">
        <f t="shared" si="244"/>
        <v>0</v>
      </c>
      <c r="HX542" s="380"/>
    </row>
    <row r="543" spans="4:232">
      <c r="D543" s="313"/>
      <c r="E543" s="247"/>
      <c r="F543" s="247"/>
      <c r="G543" s="247"/>
      <c r="H543" s="247"/>
      <c r="I543" s="247"/>
      <c r="J543" s="428">
        <f>'Endfälliges Darlehen'!AV49</f>
        <v>0</v>
      </c>
      <c r="K543" s="429"/>
      <c r="L543" s="429"/>
      <c r="M543" s="429"/>
      <c r="N543" s="429"/>
      <c r="O543" s="430"/>
      <c r="Q543" s="1615" t="str">
        <f>F92</f>
        <v>Darlehen 1</v>
      </c>
      <c r="R543" s="1615"/>
      <c r="S543" s="1615"/>
      <c r="T543" s="1615" t="str">
        <f>F94</f>
        <v>Darlehen 2</v>
      </c>
      <c r="U543" s="1615"/>
      <c r="V543" s="1615"/>
      <c r="W543" s="1615" t="str">
        <f>F96</f>
        <v>Darlehen 3</v>
      </c>
      <c r="X543" s="1615"/>
      <c r="Y543" s="1615"/>
      <c r="Z543" s="1615"/>
      <c r="BD543" s="387">
        <f t="shared" si="245"/>
        <v>17</v>
      </c>
      <c r="BE543" s="382">
        <f>IF(BD543&gt;0,206,0)</f>
        <v>206</v>
      </c>
      <c r="BG543" s="383">
        <f>IF($BE543&gt;$R$66-3+($BR$335*12),206,0)</f>
        <v>206</v>
      </c>
      <c r="BH543" s="1754">
        <f t="shared" si="246"/>
        <v>0</v>
      </c>
      <c r="BI543" s="1754"/>
      <c r="BJ543" s="1754"/>
      <c r="BK543" s="1754"/>
      <c r="BL543" s="1754">
        <f t="shared" si="224"/>
        <v>0</v>
      </c>
      <c r="BM543" s="1754"/>
      <c r="BN543" s="1754"/>
      <c r="BO543" s="1754">
        <f t="shared" si="214"/>
        <v>0</v>
      </c>
      <c r="BP543" s="1754"/>
      <c r="BQ543" s="1754"/>
      <c r="BR543" s="1754">
        <f t="shared" si="247"/>
        <v>0</v>
      </c>
      <c r="BS543" s="1754"/>
      <c r="BT543" s="1754"/>
      <c r="BU543" s="1754"/>
      <c r="BW543" s="383">
        <f>IF($BE543&gt;$R$66-3+($CH$335*12),206,0)</f>
        <v>206</v>
      </c>
      <c r="BX543" s="1754">
        <f t="shared" si="205"/>
        <v>0</v>
      </c>
      <c r="BY543" s="1754"/>
      <c r="BZ543" s="1754"/>
      <c r="CA543" s="1754"/>
      <c r="CB543" s="1754">
        <f t="shared" si="225"/>
        <v>0</v>
      </c>
      <c r="CC543" s="1754"/>
      <c r="CD543" s="1754"/>
      <c r="CE543" s="1754">
        <f t="shared" si="216"/>
        <v>0</v>
      </c>
      <c r="CF543" s="1754"/>
      <c r="CG543" s="1754"/>
      <c r="CH543" s="1754">
        <f t="shared" si="217"/>
        <v>0</v>
      </c>
      <c r="CI543" s="1754"/>
      <c r="CJ543" s="1754"/>
      <c r="CK543" s="1754"/>
      <c r="CM543" s="383">
        <f>IF($BE543&gt;$R$66-3+($CX$335*12),206,0)</f>
        <v>206</v>
      </c>
      <c r="CN543" s="1754">
        <f t="shared" si="206"/>
        <v>0</v>
      </c>
      <c r="CO543" s="1754"/>
      <c r="CP543" s="1754"/>
      <c r="CQ543" s="1754"/>
      <c r="CR543" s="1754">
        <f t="shared" si="226"/>
        <v>0</v>
      </c>
      <c r="CS543" s="1754"/>
      <c r="CT543" s="1754"/>
      <c r="CU543" s="1754">
        <f t="shared" si="218"/>
        <v>0</v>
      </c>
      <c r="CV543" s="1754"/>
      <c r="CW543" s="1754"/>
      <c r="CX543" s="1754">
        <f t="shared" si="219"/>
        <v>0</v>
      </c>
      <c r="CY543" s="1754"/>
      <c r="CZ543" s="1754"/>
      <c r="DA543" s="1754"/>
      <c r="DC543" s="383">
        <f>IF($BE543&gt;$R$66-3,206,0)</f>
        <v>206</v>
      </c>
      <c r="DD543" s="1754">
        <f t="shared" si="207"/>
        <v>0</v>
      </c>
      <c r="DE543" s="1754"/>
      <c r="DF543" s="1754"/>
      <c r="DG543" s="1754"/>
      <c r="DH543" s="1754">
        <f t="shared" si="227"/>
        <v>0</v>
      </c>
      <c r="DI543" s="1754"/>
      <c r="DJ543" s="1754"/>
      <c r="DK543" s="1754">
        <f t="shared" si="220"/>
        <v>0</v>
      </c>
      <c r="DL543" s="1754"/>
      <c r="DM543" s="1754"/>
      <c r="DN543" s="1754"/>
      <c r="DP543" s="383">
        <f t="shared" si="228"/>
        <v>206</v>
      </c>
      <c r="DQ543" s="1754">
        <f t="shared" si="240"/>
        <v>0</v>
      </c>
      <c r="DR543" s="1754"/>
      <c r="DS543" s="1754"/>
      <c r="DT543" s="1754"/>
      <c r="DU543" s="1754">
        <f t="shared" si="241"/>
        <v>0</v>
      </c>
      <c r="DV543" s="1754"/>
      <c r="DW543" s="1754"/>
      <c r="DX543" s="1754">
        <f t="shared" si="248"/>
        <v>0</v>
      </c>
      <c r="DY543" s="1754"/>
      <c r="DZ543" s="1754"/>
      <c r="EA543" s="1754">
        <f t="shared" si="249"/>
        <v>0</v>
      </c>
      <c r="EB543" s="1754"/>
      <c r="EC543" s="1754"/>
      <c r="ED543" s="1754"/>
      <c r="EE543" s="384"/>
      <c r="EF543" s="1750">
        <f t="shared" si="221"/>
        <v>0</v>
      </c>
      <c r="EG543" s="1751"/>
      <c r="EH543" s="1751"/>
      <c r="EI543" s="1751"/>
      <c r="EJ543" s="1752"/>
      <c r="EL543" s="1750">
        <f t="shared" ref="EL543:EL606" si="250">EL531</f>
        <v>0</v>
      </c>
      <c r="EM543" s="1751"/>
      <c r="EN543" s="1751"/>
      <c r="EO543" s="1751"/>
      <c r="EP543" s="1752"/>
      <c r="ER543" s="1750">
        <f t="shared" si="222"/>
        <v>0</v>
      </c>
      <c r="ES543" s="1751"/>
      <c r="ET543" s="1751"/>
      <c r="EU543" s="1751"/>
      <c r="EV543" s="1752"/>
      <c r="EX543" s="1750">
        <f>IF(BE543&gt;0,Einstrahlung!$K$12*Kalkulation!$P$62/100*$AY$29*POWER((100-$P$64)/100,BD543-1),0)</f>
        <v>0</v>
      </c>
      <c r="EY543" s="1751"/>
      <c r="EZ543" s="1751"/>
      <c r="FA543" s="1751"/>
      <c r="FB543" s="1752"/>
      <c r="FD543" s="1750">
        <f t="shared" si="229"/>
        <v>0</v>
      </c>
      <c r="FE543" s="1751"/>
      <c r="FF543" s="1751"/>
      <c r="FG543" s="1751"/>
      <c r="FH543" s="1752"/>
      <c r="FI543" s="385"/>
      <c r="FJ543" s="380">
        <f t="shared" si="239"/>
        <v>0</v>
      </c>
      <c r="FK543" s="385"/>
      <c r="FL543" s="380">
        <f t="shared" ref="FL543:FL553" si="251">IF(BE543&gt;0,IF($FL$336&gt;SUM($EX$542:$FB$553),SUM($EX$542:$FB$553)/12,$FL$336/12),0)</f>
        <v>0</v>
      </c>
      <c r="FM543" s="385"/>
      <c r="FN543" s="380">
        <f t="shared" si="231"/>
        <v>0</v>
      </c>
      <c r="FO543" s="962">
        <f t="shared" si="237"/>
        <v>335</v>
      </c>
      <c r="FP543" s="956">
        <f t="shared" si="223"/>
        <v>0.4</v>
      </c>
      <c r="FQ543" s="380">
        <f t="shared" si="243"/>
        <v>0</v>
      </c>
      <c r="FR543" s="626">
        <f t="shared" ref="FR543:FR551" si="252">IF(AND(GV543&gt;192,GV543&lt;=204),$FR$541,IF(AND(GV543&gt;204,GV543&lt;=216),$FR$553,0))</f>
        <v>1</v>
      </c>
      <c r="FT543" s="1819">
        <f t="shared" si="238"/>
        <v>0</v>
      </c>
      <c r="FU543" s="1820"/>
      <c r="FV543" s="1820"/>
      <c r="FW543" s="1820"/>
      <c r="FX543" s="1821"/>
      <c r="FY543" s="1819">
        <f t="shared" si="233"/>
        <v>0</v>
      </c>
      <c r="FZ543" s="1820"/>
      <c r="GA543" s="1820"/>
      <c r="GB543" s="1821"/>
      <c r="GC543" s="1825">
        <f t="shared" ref="GC543:GC606" si="253">FT543+FY543</f>
        <v>0</v>
      </c>
      <c r="GD543" s="1826"/>
      <c r="GE543" s="1826"/>
      <c r="GF543" s="1827"/>
      <c r="GH543" s="1750">
        <f t="shared" si="234"/>
        <v>0</v>
      </c>
      <c r="GI543" s="1751"/>
      <c r="GJ543" s="1751"/>
      <c r="GK543" s="1752"/>
      <c r="GL543" s="1750">
        <f t="shared" si="235"/>
        <v>0</v>
      </c>
      <c r="GM543" s="1751"/>
      <c r="GN543" s="1751"/>
      <c r="GO543" s="1752"/>
      <c r="GP543" s="385"/>
      <c r="GQ543" s="1750">
        <f t="shared" si="236"/>
        <v>0</v>
      </c>
      <c r="GR543" s="1751"/>
      <c r="GS543" s="1751"/>
      <c r="GT543" s="1752"/>
      <c r="GU543" s="192">
        <f t="shared" si="242"/>
        <v>1</v>
      </c>
      <c r="GV543" s="192">
        <f>SUM($GU$337:GU543)</f>
        <v>199</v>
      </c>
      <c r="GW543" s="318"/>
      <c r="HM543" s="380">
        <f t="shared" si="244"/>
        <v>0</v>
      </c>
      <c r="HX543" s="380"/>
    </row>
    <row r="544" spans="4:232">
      <c r="D544" s="409">
        <v>20</v>
      </c>
      <c r="E544" s="318"/>
      <c r="F544" s="428">
        <f>BR589</f>
        <v>0</v>
      </c>
      <c r="G544" s="428">
        <f>CH589</f>
        <v>0</v>
      </c>
      <c r="H544" s="428">
        <f>CX589</f>
        <v>0</v>
      </c>
      <c r="I544" s="247"/>
      <c r="J544" s="247"/>
      <c r="K544" s="429">
        <f>IF(AND(F544&gt;0,F547=0),$D544,0)</f>
        <v>0</v>
      </c>
      <c r="L544" s="429">
        <f>IF(AND(G544&gt;0,G547=0),$D544,0)</f>
        <v>0</v>
      </c>
      <c r="N544" s="429">
        <f>IF(AND(H544&gt;0,H547=0),$D544,0)</f>
        <v>0</v>
      </c>
      <c r="O544" s="430"/>
      <c r="Q544" s="1674">
        <f>IF($V$21=20,F544,0)</f>
        <v>0</v>
      </c>
      <c r="R544" s="1674"/>
      <c r="S544" s="1674"/>
      <c r="T544" s="1674">
        <f>IF($V$21=20,G544,0)</f>
        <v>0</v>
      </c>
      <c r="U544" s="1674"/>
      <c r="V544" s="1674"/>
      <c r="W544" s="1674">
        <f>IF($V$21=20,H544,0)</f>
        <v>0</v>
      </c>
      <c r="X544" s="1674"/>
      <c r="Y544" s="1674"/>
      <c r="Z544" s="1674"/>
      <c r="BD544" s="387">
        <f t="shared" si="245"/>
        <v>17</v>
      </c>
      <c r="BE544" s="382">
        <f>IF(BD544&gt;0,207,0)</f>
        <v>207</v>
      </c>
      <c r="BG544" s="383">
        <f>IF($BE544&gt;$R$66-3+($BR$335*12),207,0)</f>
        <v>207</v>
      </c>
      <c r="BH544" s="1754">
        <f t="shared" si="246"/>
        <v>0</v>
      </c>
      <c r="BI544" s="1754"/>
      <c r="BJ544" s="1754"/>
      <c r="BK544" s="1754"/>
      <c r="BL544" s="1754">
        <f t="shared" si="224"/>
        <v>0</v>
      </c>
      <c r="BM544" s="1754"/>
      <c r="BN544" s="1754"/>
      <c r="BO544" s="1754">
        <f t="shared" si="214"/>
        <v>0</v>
      </c>
      <c r="BP544" s="1754"/>
      <c r="BQ544" s="1754"/>
      <c r="BR544" s="1754">
        <f t="shared" si="247"/>
        <v>0</v>
      </c>
      <c r="BS544" s="1754"/>
      <c r="BT544" s="1754"/>
      <c r="BU544" s="1754"/>
      <c r="BW544" s="383">
        <f>IF($BE544&gt;$R$66-3+($CH$335*12),207,0)</f>
        <v>207</v>
      </c>
      <c r="BX544" s="1754">
        <f t="shared" si="205"/>
        <v>0</v>
      </c>
      <c r="BY544" s="1754"/>
      <c r="BZ544" s="1754"/>
      <c r="CA544" s="1754"/>
      <c r="CB544" s="1754">
        <f t="shared" si="225"/>
        <v>0</v>
      </c>
      <c r="CC544" s="1754"/>
      <c r="CD544" s="1754"/>
      <c r="CE544" s="1754">
        <f t="shared" si="216"/>
        <v>0</v>
      </c>
      <c r="CF544" s="1754"/>
      <c r="CG544" s="1754"/>
      <c r="CH544" s="1754">
        <f t="shared" si="217"/>
        <v>0</v>
      </c>
      <c r="CI544" s="1754"/>
      <c r="CJ544" s="1754"/>
      <c r="CK544" s="1754"/>
      <c r="CM544" s="383">
        <f>IF($BE544&gt;$R$66-3+($CX$335*12),207,0)</f>
        <v>207</v>
      </c>
      <c r="CN544" s="1754">
        <f t="shared" si="206"/>
        <v>0</v>
      </c>
      <c r="CO544" s="1754"/>
      <c r="CP544" s="1754"/>
      <c r="CQ544" s="1754"/>
      <c r="CR544" s="1754">
        <f t="shared" si="226"/>
        <v>0</v>
      </c>
      <c r="CS544" s="1754"/>
      <c r="CT544" s="1754"/>
      <c r="CU544" s="1754">
        <f t="shared" si="218"/>
        <v>0</v>
      </c>
      <c r="CV544" s="1754"/>
      <c r="CW544" s="1754"/>
      <c r="CX544" s="1754">
        <f t="shared" si="219"/>
        <v>0</v>
      </c>
      <c r="CY544" s="1754"/>
      <c r="CZ544" s="1754"/>
      <c r="DA544" s="1754"/>
      <c r="DC544" s="383">
        <f>IF($BE544&gt;$R$66-3,207,0)</f>
        <v>207</v>
      </c>
      <c r="DD544" s="1754">
        <f t="shared" si="207"/>
        <v>0</v>
      </c>
      <c r="DE544" s="1754"/>
      <c r="DF544" s="1754"/>
      <c r="DG544" s="1754"/>
      <c r="DH544" s="1754">
        <f t="shared" si="227"/>
        <v>0</v>
      </c>
      <c r="DI544" s="1754"/>
      <c r="DJ544" s="1754"/>
      <c r="DK544" s="1754">
        <f t="shared" si="220"/>
        <v>0</v>
      </c>
      <c r="DL544" s="1754"/>
      <c r="DM544" s="1754"/>
      <c r="DN544" s="1754"/>
      <c r="DP544" s="383">
        <f t="shared" si="228"/>
        <v>207</v>
      </c>
      <c r="DQ544" s="1754">
        <f t="shared" si="240"/>
        <v>0</v>
      </c>
      <c r="DR544" s="1754"/>
      <c r="DS544" s="1754"/>
      <c r="DT544" s="1754"/>
      <c r="DU544" s="1754">
        <f t="shared" si="241"/>
        <v>0</v>
      </c>
      <c r="DV544" s="1754"/>
      <c r="DW544" s="1754"/>
      <c r="DX544" s="1754">
        <f t="shared" si="248"/>
        <v>0</v>
      </c>
      <c r="DY544" s="1754"/>
      <c r="DZ544" s="1754"/>
      <c r="EA544" s="1754">
        <f t="shared" si="249"/>
        <v>0</v>
      </c>
      <c r="EB544" s="1754"/>
      <c r="EC544" s="1754"/>
      <c r="ED544" s="1754"/>
      <c r="EE544" s="384"/>
      <c r="EF544" s="1750">
        <f t="shared" si="221"/>
        <v>0</v>
      </c>
      <c r="EG544" s="1751"/>
      <c r="EH544" s="1751"/>
      <c r="EI544" s="1751"/>
      <c r="EJ544" s="1752"/>
      <c r="EL544" s="1750">
        <f t="shared" si="250"/>
        <v>0</v>
      </c>
      <c r="EM544" s="1751"/>
      <c r="EN544" s="1751"/>
      <c r="EO544" s="1751"/>
      <c r="EP544" s="1752"/>
      <c r="ER544" s="1750">
        <f t="shared" si="222"/>
        <v>0</v>
      </c>
      <c r="ES544" s="1751"/>
      <c r="ET544" s="1751"/>
      <c r="EU544" s="1751"/>
      <c r="EV544" s="1752"/>
      <c r="EX544" s="1750">
        <f>IF(BE544&gt;0,Einstrahlung!$K$14*Kalkulation!$P$62/100*$AY$29*POWER((100-$P$64)/100,BD544-1),0)</f>
        <v>0</v>
      </c>
      <c r="EY544" s="1751"/>
      <c r="EZ544" s="1751"/>
      <c r="FA544" s="1751"/>
      <c r="FB544" s="1752"/>
      <c r="FD544" s="1750">
        <f t="shared" si="229"/>
        <v>0</v>
      </c>
      <c r="FE544" s="1751"/>
      <c r="FF544" s="1751"/>
      <c r="FG544" s="1751"/>
      <c r="FH544" s="1752"/>
      <c r="FI544" s="385"/>
      <c r="FJ544" s="380">
        <f t="shared" si="239"/>
        <v>0</v>
      </c>
      <c r="FK544" s="385"/>
      <c r="FL544" s="380">
        <f t="shared" si="251"/>
        <v>0</v>
      </c>
      <c r="FM544" s="385"/>
      <c r="FN544" s="380">
        <f t="shared" si="231"/>
        <v>0</v>
      </c>
      <c r="FO544" s="962">
        <f t="shared" si="237"/>
        <v>336</v>
      </c>
      <c r="FP544" s="956">
        <f t="shared" si="223"/>
        <v>0.4</v>
      </c>
      <c r="FQ544" s="380">
        <f t="shared" si="243"/>
        <v>0</v>
      </c>
      <c r="FR544" s="626">
        <f t="shared" si="252"/>
        <v>1</v>
      </c>
      <c r="FT544" s="1819">
        <f t="shared" si="238"/>
        <v>0</v>
      </c>
      <c r="FU544" s="1820"/>
      <c r="FV544" s="1820"/>
      <c r="FW544" s="1820"/>
      <c r="FX544" s="1821"/>
      <c r="FY544" s="1819">
        <f t="shared" si="233"/>
        <v>0</v>
      </c>
      <c r="FZ544" s="1820"/>
      <c r="GA544" s="1820"/>
      <c r="GB544" s="1821"/>
      <c r="GC544" s="1825">
        <f t="shared" si="253"/>
        <v>0</v>
      </c>
      <c r="GD544" s="1826"/>
      <c r="GE544" s="1826"/>
      <c r="GF544" s="1827"/>
      <c r="GH544" s="1750">
        <f t="shared" si="234"/>
        <v>0</v>
      </c>
      <c r="GI544" s="1751"/>
      <c r="GJ544" s="1751"/>
      <c r="GK544" s="1752"/>
      <c r="GL544" s="1750">
        <f t="shared" si="235"/>
        <v>0</v>
      </c>
      <c r="GM544" s="1751"/>
      <c r="GN544" s="1751"/>
      <c r="GO544" s="1752"/>
      <c r="GP544" s="385"/>
      <c r="GQ544" s="1750">
        <f t="shared" si="236"/>
        <v>0</v>
      </c>
      <c r="GR544" s="1751"/>
      <c r="GS544" s="1751"/>
      <c r="GT544" s="1752"/>
      <c r="GU544" s="192">
        <f t="shared" si="242"/>
        <v>1</v>
      </c>
      <c r="GV544" s="192">
        <f>SUM($GU$337:GU544)</f>
        <v>200</v>
      </c>
      <c r="GW544" s="318"/>
      <c r="HM544" s="380">
        <f t="shared" si="244"/>
        <v>0</v>
      </c>
      <c r="HX544" s="380"/>
    </row>
    <row r="545" spans="4:232">
      <c r="D545" s="313"/>
      <c r="E545" s="247"/>
      <c r="F545" s="247"/>
      <c r="G545" s="247"/>
      <c r="H545" s="247"/>
      <c r="I545" s="428">
        <f>'Endfälliges Darlehen'!AG51</f>
        <v>0</v>
      </c>
      <c r="J545" s="247"/>
      <c r="K545" s="429"/>
      <c r="L545" s="429"/>
      <c r="M545" s="429"/>
      <c r="N545" s="429"/>
      <c r="O545" s="430">
        <f>IF(AND(I545&gt;0,I548=0),$D544,0)</f>
        <v>0</v>
      </c>
      <c r="BD545" s="387">
        <f t="shared" si="245"/>
        <v>17</v>
      </c>
      <c r="BE545" s="382">
        <f>IF(BD545&gt;0,208,0)</f>
        <v>208</v>
      </c>
      <c r="BG545" s="383">
        <f>IF($BE545&gt;$R$66-3+($BR$335*12),208,0)</f>
        <v>208</v>
      </c>
      <c r="BH545" s="1754">
        <f t="shared" si="246"/>
        <v>0</v>
      </c>
      <c r="BI545" s="1754"/>
      <c r="BJ545" s="1754"/>
      <c r="BK545" s="1754"/>
      <c r="BL545" s="1754">
        <f t="shared" si="224"/>
        <v>0</v>
      </c>
      <c r="BM545" s="1754"/>
      <c r="BN545" s="1754"/>
      <c r="BO545" s="1754">
        <f t="shared" si="214"/>
        <v>0</v>
      </c>
      <c r="BP545" s="1754"/>
      <c r="BQ545" s="1754"/>
      <c r="BR545" s="1754">
        <f t="shared" si="247"/>
        <v>0</v>
      </c>
      <c r="BS545" s="1754"/>
      <c r="BT545" s="1754"/>
      <c r="BU545" s="1754"/>
      <c r="BW545" s="383">
        <f>IF($BE545&gt;$R$66-3+($CH$335*12),208,0)</f>
        <v>208</v>
      </c>
      <c r="BX545" s="1754">
        <f t="shared" si="205"/>
        <v>0</v>
      </c>
      <c r="BY545" s="1754"/>
      <c r="BZ545" s="1754"/>
      <c r="CA545" s="1754"/>
      <c r="CB545" s="1754">
        <f t="shared" si="225"/>
        <v>0</v>
      </c>
      <c r="CC545" s="1754"/>
      <c r="CD545" s="1754"/>
      <c r="CE545" s="1754">
        <f t="shared" si="216"/>
        <v>0</v>
      </c>
      <c r="CF545" s="1754"/>
      <c r="CG545" s="1754"/>
      <c r="CH545" s="1754">
        <f t="shared" si="217"/>
        <v>0</v>
      </c>
      <c r="CI545" s="1754"/>
      <c r="CJ545" s="1754"/>
      <c r="CK545" s="1754"/>
      <c r="CM545" s="383">
        <f>IF($BE545&gt;$R$66-3+($CX$335*12),208,0)</f>
        <v>208</v>
      </c>
      <c r="CN545" s="1754">
        <f t="shared" si="206"/>
        <v>0</v>
      </c>
      <c r="CO545" s="1754"/>
      <c r="CP545" s="1754"/>
      <c r="CQ545" s="1754"/>
      <c r="CR545" s="1754">
        <f t="shared" si="226"/>
        <v>0</v>
      </c>
      <c r="CS545" s="1754"/>
      <c r="CT545" s="1754"/>
      <c r="CU545" s="1754">
        <f t="shared" si="218"/>
        <v>0</v>
      </c>
      <c r="CV545" s="1754"/>
      <c r="CW545" s="1754"/>
      <c r="CX545" s="1754">
        <f t="shared" si="219"/>
        <v>0</v>
      </c>
      <c r="CY545" s="1754"/>
      <c r="CZ545" s="1754"/>
      <c r="DA545" s="1754"/>
      <c r="DC545" s="383">
        <f>IF($BE545&gt;$R$66-3,208,0)</f>
        <v>208</v>
      </c>
      <c r="DD545" s="1754">
        <f t="shared" si="207"/>
        <v>0</v>
      </c>
      <c r="DE545" s="1754"/>
      <c r="DF545" s="1754"/>
      <c r="DG545" s="1754"/>
      <c r="DH545" s="1754">
        <f t="shared" si="227"/>
        <v>0</v>
      </c>
      <c r="DI545" s="1754"/>
      <c r="DJ545" s="1754"/>
      <c r="DK545" s="1754">
        <f t="shared" si="220"/>
        <v>0</v>
      </c>
      <c r="DL545" s="1754"/>
      <c r="DM545" s="1754"/>
      <c r="DN545" s="1754"/>
      <c r="DP545" s="383">
        <f t="shared" si="228"/>
        <v>208</v>
      </c>
      <c r="DQ545" s="1754">
        <f t="shared" si="240"/>
        <v>0</v>
      </c>
      <c r="DR545" s="1754"/>
      <c r="DS545" s="1754"/>
      <c r="DT545" s="1754"/>
      <c r="DU545" s="1754">
        <f t="shared" si="241"/>
        <v>0</v>
      </c>
      <c r="DV545" s="1754"/>
      <c r="DW545" s="1754"/>
      <c r="DX545" s="1754">
        <f t="shared" si="248"/>
        <v>0</v>
      </c>
      <c r="DY545" s="1754"/>
      <c r="DZ545" s="1754"/>
      <c r="EA545" s="1754">
        <f t="shared" si="249"/>
        <v>0</v>
      </c>
      <c r="EB545" s="1754"/>
      <c r="EC545" s="1754"/>
      <c r="ED545" s="1754"/>
      <c r="EE545" s="384"/>
      <c r="EF545" s="1750">
        <f t="shared" si="221"/>
        <v>0</v>
      </c>
      <c r="EG545" s="1751"/>
      <c r="EH545" s="1751"/>
      <c r="EI545" s="1751"/>
      <c r="EJ545" s="1752"/>
      <c r="EL545" s="1750">
        <f t="shared" si="250"/>
        <v>0</v>
      </c>
      <c r="EM545" s="1751"/>
      <c r="EN545" s="1751"/>
      <c r="EO545" s="1751"/>
      <c r="EP545" s="1752"/>
      <c r="ER545" s="1750">
        <f t="shared" si="222"/>
        <v>0</v>
      </c>
      <c r="ES545" s="1751"/>
      <c r="ET545" s="1751"/>
      <c r="EU545" s="1751"/>
      <c r="EV545" s="1752"/>
      <c r="EX545" s="1750">
        <f>IF(BE545&gt;0,Einstrahlung!$K$16*Kalkulation!$P$62/100*$AY$29*POWER((100-$P$64)/100,BD545-1),0)</f>
        <v>0</v>
      </c>
      <c r="EY545" s="1751"/>
      <c r="EZ545" s="1751"/>
      <c r="FA545" s="1751"/>
      <c r="FB545" s="1752"/>
      <c r="FD545" s="1750">
        <f t="shared" si="229"/>
        <v>0</v>
      </c>
      <c r="FE545" s="1751"/>
      <c r="FF545" s="1751"/>
      <c r="FG545" s="1751"/>
      <c r="FH545" s="1752"/>
      <c r="FI545" s="385"/>
      <c r="FJ545" s="380">
        <f t="shared" si="239"/>
        <v>0</v>
      </c>
      <c r="FK545" s="385"/>
      <c r="FL545" s="380">
        <f t="shared" si="251"/>
        <v>0</v>
      </c>
      <c r="FM545" s="385"/>
      <c r="FN545" s="380">
        <f t="shared" si="231"/>
        <v>0</v>
      </c>
      <c r="FO545" s="962">
        <f t="shared" si="237"/>
        <v>337</v>
      </c>
      <c r="FP545" s="956">
        <f t="shared" si="223"/>
        <v>0.4</v>
      </c>
      <c r="FQ545" s="380">
        <f t="shared" si="243"/>
        <v>0</v>
      </c>
      <c r="FR545" s="626">
        <f t="shared" si="252"/>
        <v>1</v>
      </c>
      <c r="FT545" s="1819">
        <f t="shared" si="238"/>
        <v>0</v>
      </c>
      <c r="FU545" s="1820"/>
      <c r="FV545" s="1820"/>
      <c r="FW545" s="1820"/>
      <c r="FX545" s="1821"/>
      <c r="FY545" s="1819">
        <f t="shared" si="233"/>
        <v>0</v>
      </c>
      <c r="FZ545" s="1820"/>
      <c r="GA545" s="1820"/>
      <c r="GB545" s="1821"/>
      <c r="GC545" s="1825">
        <f t="shared" si="253"/>
        <v>0</v>
      </c>
      <c r="GD545" s="1826"/>
      <c r="GE545" s="1826"/>
      <c r="GF545" s="1827"/>
      <c r="GH545" s="1750">
        <f t="shared" si="234"/>
        <v>0</v>
      </c>
      <c r="GI545" s="1751"/>
      <c r="GJ545" s="1751"/>
      <c r="GK545" s="1752"/>
      <c r="GL545" s="1750">
        <f t="shared" si="235"/>
        <v>0</v>
      </c>
      <c r="GM545" s="1751"/>
      <c r="GN545" s="1751"/>
      <c r="GO545" s="1752"/>
      <c r="GP545" s="385"/>
      <c r="GQ545" s="1750">
        <f t="shared" si="236"/>
        <v>0</v>
      </c>
      <c r="GR545" s="1751"/>
      <c r="GS545" s="1751"/>
      <c r="GT545" s="1752"/>
      <c r="GU545" s="192">
        <f t="shared" si="242"/>
        <v>1</v>
      </c>
      <c r="GV545" s="192">
        <f>SUM($GU$337:GU545)</f>
        <v>201</v>
      </c>
      <c r="GW545" s="318"/>
      <c r="HM545" s="380">
        <f t="shared" si="244"/>
        <v>0</v>
      </c>
      <c r="HX545" s="380"/>
    </row>
    <row r="546" spans="4:232">
      <c r="D546" s="313"/>
      <c r="E546" s="247"/>
      <c r="F546" s="247"/>
      <c r="G546" s="247"/>
      <c r="H546" s="247"/>
      <c r="I546" s="247"/>
      <c r="J546" s="428">
        <f>'Endfälliges Darlehen'!AV51</f>
        <v>0</v>
      </c>
      <c r="K546" s="429"/>
      <c r="L546" s="429"/>
      <c r="M546" s="429"/>
      <c r="N546" s="429"/>
      <c r="O546" s="430"/>
      <c r="BD546" s="387">
        <f t="shared" si="245"/>
        <v>17</v>
      </c>
      <c r="BE546" s="382">
        <f>IF(BD546&gt;0,209,0)</f>
        <v>209</v>
      </c>
      <c r="BG546" s="383">
        <f>IF($BE546&gt;$R$66-3+($BR$335*12),209,0)</f>
        <v>209</v>
      </c>
      <c r="BH546" s="1754">
        <f t="shared" si="246"/>
        <v>0</v>
      </c>
      <c r="BI546" s="1754"/>
      <c r="BJ546" s="1754"/>
      <c r="BK546" s="1754"/>
      <c r="BL546" s="1754">
        <f t="shared" si="224"/>
        <v>0</v>
      </c>
      <c r="BM546" s="1754"/>
      <c r="BN546" s="1754"/>
      <c r="BO546" s="1754">
        <f t="shared" si="214"/>
        <v>0</v>
      </c>
      <c r="BP546" s="1754"/>
      <c r="BQ546" s="1754"/>
      <c r="BR546" s="1754">
        <f t="shared" si="247"/>
        <v>0</v>
      </c>
      <c r="BS546" s="1754"/>
      <c r="BT546" s="1754"/>
      <c r="BU546" s="1754"/>
      <c r="BW546" s="383">
        <f>IF($BE546&gt;$R$66-3+($CH$335*12),209,0)</f>
        <v>209</v>
      </c>
      <c r="BX546" s="1754">
        <f t="shared" si="205"/>
        <v>0</v>
      </c>
      <c r="BY546" s="1754"/>
      <c r="BZ546" s="1754"/>
      <c r="CA546" s="1754"/>
      <c r="CB546" s="1754">
        <f t="shared" si="225"/>
        <v>0</v>
      </c>
      <c r="CC546" s="1754"/>
      <c r="CD546" s="1754"/>
      <c r="CE546" s="1754">
        <f t="shared" si="216"/>
        <v>0</v>
      </c>
      <c r="CF546" s="1754"/>
      <c r="CG546" s="1754"/>
      <c r="CH546" s="1754">
        <f t="shared" si="217"/>
        <v>0</v>
      </c>
      <c r="CI546" s="1754"/>
      <c r="CJ546" s="1754"/>
      <c r="CK546" s="1754"/>
      <c r="CM546" s="383">
        <f>IF($BE546&gt;$R$66-3+($CX$335*12),209,0)</f>
        <v>209</v>
      </c>
      <c r="CN546" s="1754">
        <f t="shared" si="206"/>
        <v>0</v>
      </c>
      <c r="CO546" s="1754"/>
      <c r="CP546" s="1754"/>
      <c r="CQ546" s="1754"/>
      <c r="CR546" s="1754">
        <f t="shared" si="226"/>
        <v>0</v>
      </c>
      <c r="CS546" s="1754"/>
      <c r="CT546" s="1754"/>
      <c r="CU546" s="1754">
        <f t="shared" si="218"/>
        <v>0</v>
      </c>
      <c r="CV546" s="1754"/>
      <c r="CW546" s="1754"/>
      <c r="CX546" s="1754">
        <f t="shared" si="219"/>
        <v>0</v>
      </c>
      <c r="CY546" s="1754"/>
      <c r="CZ546" s="1754"/>
      <c r="DA546" s="1754"/>
      <c r="DC546" s="383">
        <f>IF($BE546&gt;$R$66-3,209,0)</f>
        <v>209</v>
      </c>
      <c r="DD546" s="1754">
        <f t="shared" si="207"/>
        <v>0</v>
      </c>
      <c r="DE546" s="1754"/>
      <c r="DF546" s="1754"/>
      <c r="DG546" s="1754"/>
      <c r="DH546" s="1754">
        <f t="shared" si="227"/>
        <v>0</v>
      </c>
      <c r="DI546" s="1754"/>
      <c r="DJ546" s="1754"/>
      <c r="DK546" s="1754">
        <f t="shared" si="220"/>
        <v>0</v>
      </c>
      <c r="DL546" s="1754"/>
      <c r="DM546" s="1754"/>
      <c r="DN546" s="1754"/>
      <c r="DP546" s="383">
        <f t="shared" si="228"/>
        <v>209</v>
      </c>
      <c r="DQ546" s="1754">
        <f t="shared" si="240"/>
        <v>0</v>
      </c>
      <c r="DR546" s="1754"/>
      <c r="DS546" s="1754"/>
      <c r="DT546" s="1754"/>
      <c r="DU546" s="1754">
        <f t="shared" si="241"/>
        <v>0</v>
      </c>
      <c r="DV546" s="1754"/>
      <c r="DW546" s="1754"/>
      <c r="DX546" s="1754">
        <f t="shared" si="248"/>
        <v>0</v>
      </c>
      <c r="DY546" s="1754"/>
      <c r="DZ546" s="1754"/>
      <c r="EA546" s="1754">
        <f t="shared" si="249"/>
        <v>0</v>
      </c>
      <c r="EB546" s="1754"/>
      <c r="EC546" s="1754"/>
      <c r="ED546" s="1754"/>
      <c r="EE546" s="384"/>
      <c r="EF546" s="1750">
        <f t="shared" si="221"/>
        <v>0</v>
      </c>
      <c r="EG546" s="1751"/>
      <c r="EH546" s="1751"/>
      <c r="EI546" s="1751"/>
      <c r="EJ546" s="1752"/>
      <c r="EL546" s="1750">
        <f t="shared" si="250"/>
        <v>0</v>
      </c>
      <c r="EM546" s="1751"/>
      <c r="EN546" s="1751"/>
      <c r="EO546" s="1751"/>
      <c r="EP546" s="1752"/>
      <c r="ER546" s="1750">
        <f t="shared" si="222"/>
        <v>0</v>
      </c>
      <c r="ES546" s="1751"/>
      <c r="ET546" s="1751"/>
      <c r="EU546" s="1751"/>
      <c r="EV546" s="1752"/>
      <c r="EX546" s="1750">
        <f>IF(BE546&gt;0,Einstrahlung!$K$18*Kalkulation!$P$62/100*$AY$29*POWER((100-$P$64)/100,BD546-1),0)</f>
        <v>0</v>
      </c>
      <c r="EY546" s="1751"/>
      <c r="EZ546" s="1751"/>
      <c r="FA546" s="1751"/>
      <c r="FB546" s="1752"/>
      <c r="FD546" s="1750">
        <f t="shared" si="229"/>
        <v>0</v>
      </c>
      <c r="FE546" s="1751"/>
      <c r="FF546" s="1751"/>
      <c r="FG546" s="1751"/>
      <c r="FH546" s="1752"/>
      <c r="FI546" s="385"/>
      <c r="FJ546" s="380">
        <f t="shared" si="239"/>
        <v>0</v>
      </c>
      <c r="FK546" s="385"/>
      <c r="FL546" s="380">
        <f t="shared" si="251"/>
        <v>0</v>
      </c>
      <c r="FM546" s="385"/>
      <c r="FN546" s="380">
        <f t="shared" si="231"/>
        <v>0</v>
      </c>
      <c r="FO546" s="962">
        <f t="shared" si="237"/>
        <v>338</v>
      </c>
      <c r="FP546" s="956">
        <f t="shared" si="223"/>
        <v>0.4</v>
      </c>
      <c r="FQ546" s="380">
        <f t="shared" si="243"/>
        <v>0</v>
      </c>
      <c r="FR546" s="626">
        <f t="shared" si="252"/>
        <v>1</v>
      </c>
      <c r="FT546" s="1819">
        <f t="shared" si="238"/>
        <v>0</v>
      </c>
      <c r="FU546" s="1820"/>
      <c r="FV546" s="1820"/>
      <c r="FW546" s="1820"/>
      <c r="FX546" s="1821"/>
      <c r="FY546" s="1819">
        <f t="shared" si="233"/>
        <v>0</v>
      </c>
      <c r="FZ546" s="1820"/>
      <c r="GA546" s="1820"/>
      <c r="GB546" s="1821"/>
      <c r="GC546" s="1825">
        <f t="shared" si="253"/>
        <v>0</v>
      </c>
      <c r="GD546" s="1826"/>
      <c r="GE546" s="1826"/>
      <c r="GF546" s="1827"/>
      <c r="GH546" s="1750">
        <f t="shared" si="234"/>
        <v>0</v>
      </c>
      <c r="GI546" s="1751"/>
      <c r="GJ546" s="1751"/>
      <c r="GK546" s="1752"/>
      <c r="GL546" s="1750">
        <f t="shared" si="235"/>
        <v>0</v>
      </c>
      <c r="GM546" s="1751"/>
      <c r="GN546" s="1751"/>
      <c r="GO546" s="1752"/>
      <c r="GP546" s="385"/>
      <c r="GQ546" s="1750">
        <f t="shared" si="236"/>
        <v>0</v>
      </c>
      <c r="GR546" s="1751"/>
      <c r="GS546" s="1751"/>
      <c r="GT546" s="1752"/>
      <c r="GU546" s="192">
        <f t="shared" si="242"/>
        <v>1</v>
      </c>
      <c r="GV546" s="192">
        <f>SUM($GU$337:GU546)</f>
        <v>202</v>
      </c>
      <c r="GW546" s="318"/>
      <c r="HM546" s="380">
        <f t="shared" si="244"/>
        <v>0</v>
      </c>
      <c r="HX546" s="380"/>
    </row>
    <row r="547" spans="4:232">
      <c r="D547" s="409">
        <v>21</v>
      </c>
      <c r="E547" s="318"/>
      <c r="F547" s="428">
        <f>BR601</f>
        <v>0</v>
      </c>
      <c r="G547" s="428">
        <f>CH601</f>
        <v>0</v>
      </c>
      <c r="H547" s="428">
        <f>CX601</f>
        <v>0</v>
      </c>
      <c r="I547" s="247"/>
      <c r="J547" s="247"/>
      <c r="K547" s="429">
        <f>IF(AND(F547&gt;0,F550=0),$D547,0)</f>
        <v>0</v>
      </c>
      <c r="L547" s="429">
        <f>IF(AND(G547&gt;0,G550=0),$D547,0)</f>
        <v>0</v>
      </c>
      <c r="N547" s="429">
        <f>IF(AND(H547&gt;0,H550=0),$D547,0)</f>
        <v>0</v>
      </c>
      <c r="O547" s="430"/>
      <c r="Q547" s="1674">
        <f>IF($V$21=21,F547,0)</f>
        <v>0</v>
      </c>
      <c r="R547" s="1674"/>
      <c r="S547" s="1674"/>
      <c r="T547" s="1674">
        <f>IF($V$21=21,G547,0)</f>
        <v>0</v>
      </c>
      <c r="U547" s="1674"/>
      <c r="V547" s="1674"/>
      <c r="W547" s="1674">
        <f>IF($V$21=21,H547,0)</f>
        <v>0</v>
      </c>
      <c r="X547" s="1674"/>
      <c r="Y547" s="1674"/>
      <c r="Z547" s="1674"/>
      <c r="BD547" s="387">
        <f t="shared" si="245"/>
        <v>17</v>
      </c>
      <c r="BE547" s="382">
        <f>IF(BD547&gt;0,210,0)</f>
        <v>210</v>
      </c>
      <c r="BG547" s="383">
        <f>IF($BE547&gt;$R$66-3+($BR$335*12),210,0)</f>
        <v>210</v>
      </c>
      <c r="BH547" s="1754">
        <f t="shared" si="246"/>
        <v>0</v>
      </c>
      <c r="BI547" s="1754"/>
      <c r="BJ547" s="1754"/>
      <c r="BK547" s="1754"/>
      <c r="BL547" s="1754">
        <f t="shared" si="224"/>
        <v>0</v>
      </c>
      <c r="BM547" s="1754"/>
      <c r="BN547" s="1754"/>
      <c r="BO547" s="1754">
        <f t="shared" si="214"/>
        <v>0</v>
      </c>
      <c r="BP547" s="1754"/>
      <c r="BQ547" s="1754"/>
      <c r="BR547" s="1754">
        <f t="shared" si="247"/>
        <v>0</v>
      </c>
      <c r="BS547" s="1754"/>
      <c r="BT547" s="1754"/>
      <c r="BU547" s="1754"/>
      <c r="BW547" s="383">
        <f>IF($BE547&gt;$R$66-3+($CH$335*12),210,0)</f>
        <v>210</v>
      </c>
      <c r="BX547" s="1754">
        <f t="shared" si="205"/>
        <v>0</v>
      </c>
      <c r="BY547" s="1754"/>
      <c r="BZ547" s="1754"/>
      <c r="CA547" s="1754"/>
      <c r="CB547" s="1754">
        <f t="shared" si="225"/>
        <v>0</v>
      </c>
      <c r="CC547" s="1754"/>
      <c r="CD547" s="1754"/>
      <c r="CE547" s="1754">
        <f t="shared" si="216"/>
        <v>0</v>
      </c>
      <c r="CF547" s="1754"/>
      <c r="CG547" s="1754"/>
      <c r="CH547" s="1754">
        <f t="shared" si="217"/>
        <v>0</v>
      </c>
      <c r="CI547" s="1754"/>
      <c r="CJ547" s="1754"/>
      <c r="CK547" s="1754"/>
      <c r="CM547" s="383">
        <f>IF($BE547&gt;$R$66-3+($CX$335*12),210,0)</f>
        <v>210</v>
      </c>
      <c r="CN547" s="1754">
        <f t="shared" si="206"/>
        <v>0</v>
      </c>
      <c r="CO547" s="1754"/>
      <c r="CP547" s="1754"/>
      <c r="CQ547" s="1754"/>
      <c r="CR547" s="1754">
        <f t="shared" si="226"/>
        <v>0</v>
      </c>
      <c r="CS547" s="1754"/>
      <c r="CT547" s="1754"/>
      <c r="CU547" s="1754">
        <f t="shared" si="218"/>
        <v>0</v>
      </c>
      <c r="CV547" s="1754"/>
      <c r="CW547" s="1754"/>
      <c r="CX547" s="1754">
        <f t="shared" si="219"/>
        <v>0</v>
      </c>
      <c r="CY547" s="1754"/>
      <c r="CZ547" s="1754"/>
      <c r="DA547" s="1754"/>
      <c r="DC547" s="383">
        <f>IF($BE547&gt;$R$66-3,210,0)</f>
        <v>210</v>
      </c>
      <c r="DD547" s="1754">
        <f t="shared" si="207"/>
        <v>0</v>
      </c>
      <c r="DE547" s="1754"/>
      <c r="DF547" s="1754"/>
      <c r="DG547" s="1754"/>
      <c r="DH547" s="1754">
        <f t="shared" si="227"/>
        <v>0</v>
      </c>
      <c r="DI547" s="1754"/>
      <c r="DJ547" s="1754"/>
      <c r="DK547" s="1754">
        <f t="shared" si="220"/>
        <v>0</v>
      </c>
      <c r="DL547" s="1754"/>
      <c r="DM547" s="1754"/>
      <c r="DN547" s="1754"/>
      <c r="DP547" s="383">
        <f t="shared" si="228"/>
        <v>210</v>
      </c>
      <c r="DQ547" s="1754">
        <f t="shared" si="240"/>
        <v>0</v>
      </c>
      <c r="DR547" s="1754"/>
      <c r="DS547" s="1754"/>
      <c r="DT547" s="1754"/>
      <c r="DU547" s="1754">
        <f t="shared" si="241"/>
        <v>0</v>
      </c>
      <c r="DV547" s="1754"/>
      <c r="DW547" s="1754"/>
      <c r="DX547" s="1754">
        <f t="shared" si="248"/>
        <v>0</v>
      </c>
      <c r="DY547" s="1754"/>
      <c r="DZ547" s="1754"/>
      <c r="EA547" s="1754">
        <f t="shared" si="249"/>
        <v>0</v>
      </c>
      <c r="EB547" s="1754"/>
      <c r="EC547" s="1754"/>
      <c r="ED547" s="1754"/>
      <c r="EE547" s="384"/>
      <c r="EF547" s="1750">
        <f t="shared" si="221"/>
        <v>0</v>
      </c>
      <c r="EG547" s="1751"/>
      <c r="EH547" s="1751"/>
      <c r="EI547" s="1751"/>
      <c r="EJ547" s="1752"/>
      <c r="EL547" s="1750">
        <f t="shared" si="250"/>
        <v>0</v>
      </c>
      <c r="EM547" s="1751"/>
      <c r="EN547" s="1751"/>
      <c r="EO547" s="1751"/>
      <c r="EP547" s="1752"/>
      <c r="ER547" s="1750">
        <f t="shared" si="222"/>
        <v>0</v>
      </c>
      <c r="ES547" s="1751"/>
      <c r="ET547" s="1751"/>
      <c r="EU547" s="1751"/>
      <c r="EV547" s="1752"/>
      <c r="EX547" s="1750">
        <f>IF(BE547&gt;0,Einstrahlung!$K$20*Kalkulation!$P$62/100*$AY$29*POWER((100-$P$64)/100,BD547-1),0)</f>
        <v>0</v>
      </c>
      <c r="EY547" s="1751"/>
      <c r="EZ547" s="1751"/>
      <c r="FA547" s="1751"/>
      <c r="FB547" s="1752"/>
      <c r="FD547" s="1750">
        <f t="shared" si="229"/>
        <v>0</v>
      </c>
      <c r="FE547" s="1751"/>
      <c r="FF547" s="1751"/>
      <c r="FG547" s="1751"/>
      <c r="FH547" s="1752"/>
      <c r="FI547" s="385"/>
      <c r="FJ547" s="380">
        <f t="shared" si="239"/>
        <v>0</v>
      </c>
      <c r="FK547" s="385"/>
      <c r="FL547" s="380">
        <f t="shared" si="251"/>
        <v>0</v>
      </c>
      <c r="FM547" s="385"/>
      <c r="FN547" s="380">
        <f t="shared" si="231"/>
        <v>0</v>
      </c>
      <c r="FO547" s="962">
        <f t="shared" si="237"/>
        <v>339</v>
      </c>
      <c r="FP547" s="956">
        <f t="shared" si="223"/>
        <v>0.4</v>
      </c>
      <c r="FQ547" s="380">
        <f t="shared" si="243"/>
        <v>0</v>
      </c>
      <c r="FR547" s="626">
        <f t="shared" si="252"/>
        <v>1</v>
      </c>
      <c r="FT547" s="1819">
        <f t="shared" si="238"/>
        <v>0</v>
      </c>
      <c r="FU547" s="1820"/>
      <c r="FV547" s="1820"/>
      <c r="FW547" s="1820"/>
      <c r="FX547" s="1821"/>
      <c r="FY547" s="1819">
        <f t="shared" si="233"/>
        <v>0</v>
      </c>
      <c r="FZ547" s="1820"/>
      <c r="GA547" s="1820"/>
      <c r="GB547" s="1821"/>
      <c r="GC547" s="1825">
        <f t="shared" si="253"/>
        <v>0</v>
      </c>
      <c r="GD547" s="1826"/>
      <c r="GE547" s="1826"/>
      <c r="GF547" s="1827"/>
      <c r="GH547" s="1750">
        <f t="shared" si="234"/>
        <v>0</v>
      </c>
      <c r="GI547" s="1751"/>
      <c r="GJ547" s="1751"/>
      <c r="GK547" s="1752"/>
      <c r="GL547" s="1750">
        <f t="shared" si="235"/>
        <v>0</v>
      </c>
      <c r="GM547" s="1751"/>
      <c r="GN547" s="1751"/>
      <c r="GO547" s="1752"/>
      <c r="GP547" s="385"/>
      <c r="GQ547" s="1750">
        <f t="shared" si="236"/>
        <v>0</v>
      </c>
      <c r="GR547" s="1751"/>
      <c r="GS547" s="1751"/>
      <c r="GT547" s="1752"/>
      <c r="GU547" s="192">
        <f t="shared" si="242"/>
        <v>1</v>
      </c>
      <c r="GV547" s="192">
        <f>SUM($GU$337:GU547)</f>
        <v>203</v>
      </c>
      <c r="GW547" s="318"/>
      <c r="HM547" s="380">
        <f t="shared" si="244"/>
        <v>0</v>
      </c>
      <c r="HX547" s="380"/>
    </row>
    <row r="548" spans="4:232">
      <c r="D548" s="313"/>
      <c r="E548" s="247"/>
      <c r="F548" s="247"/>
      <c r="G548" s="247"/>
      <c r="H548" s="247"/>
      <c r="I548" s="428">
        <f>'Endfälliges Darlehen'!AG53</f>
        <v>0</v>
      </c>
      <c r="J548" s="247"/>
      <c r="K548" s="429"/>
      <c r="L548" s="429"/>
      <c r="M548" s="429"/>
      <c r="N548" s="429"/>
      <c r="O548" s="430">
        <f>IF(AND(I548&gt;0,I551=0),$D547,0)</f>
        <v>0</v>
      </c>
      <c r="BD548" s="387">
        <f t="shared" si="245"/>
        <v>17</v>
      </c>
      <c r="BE548" s="382">
        <f>IF(BD548&gt;0,211,0)</f>
        <v>211</v>
      </c>
      <c r="BG548" s="383">
        <f>IF($BE548&gt;$R$66-3+($BR$335*12),211,0)</f>
        <v>211</v>
      </c>
      <c r="BH548" s="1754">
        <f t="shared" si="246"/>
        <v>0</v>
      </c>
      <c r="BI548" s="1754"/>
      <c r="BJ548" s="1754"/>
      <c r="BK548" s="1754"/>
      <c r="BL548" s="1754">
        <f t="shared" si="224"/>
        <v>0</v>
      </c>
      <c r="BM548" s="1754"/>
      <c r="BN548" s="1754"/>
      <c r="BO548" s="1754">
        <f t="shared" si="214"/>
        <v>0</v>
      </c>
      <c r="BP548" s="1754"/>
      <c r="BQ548" s="1754"/>
      <c r="BR548" s="1754">
        <f t="shared" si="247"/>
        <v>0</v>
      </c>
      <c r="BS548" s="1754"/>
      <c r="BT548" s="1754"/>
      <c r="BU548" s="1754"/>
      <c r="BW548" s="383">
        <f>IF($BE548&gt;$R$66-3+($CH$335*12),211,0)</f>
        <v>211</v>
      </c>
      <c r="BX548" s="1754">
        <f t="shared" si="205"/>
        <v>0</v>
      </c>
      <c r="BY548" s="1754"/>
      <c r="BZ548" s="1754"/>
      <c r="CA548" s="1754"/>
      <c r="CB548" s="1754">
        <f t="shared" si="225"/>
        <v>0</v>
      </c>
      <c r="CC548" s="1754"/>
      <c r="CD548" s="1754"/>
      <c r="CE548" s="1754">
        <f t="shared" si="216"/>
        <v>0</v>
      </c>
      <c r="CF548" s="1754"/>
      <c r="CG548" s="1754"/>
      <c r="CH548" s="1754">
        <f t="shared" si="217"/>
        <v>0</v>
      </c>
      <c r="CI548" s="1754"/>
      <c r="CJ548" s="1754"/>
      <c r="CK548" s="1754"/>
      <c r="CM548" s="383">
        <f>IF($BE548&gt;$R$66-3+($CX$335*12),211,0)</f>
        <v>211</v>
      </c>
      <c r="CN548" s="1754">
        <f t="shared" si="206"/>
        <v>0</v>
      </c>
      <c r="CO548" s="1754"/>
      <c r="CP548" s="1754"/>
      <c r="CQ548" s="1754"/>
      <c r="CR548" s="1754">
        <f t="shared" si="226"/>
        <v>0</v>
      </c>
      <c r="CS548" s="1754"/>
      <c r="CT548" s="1754"/>
      <c r="CU548" s="1754">
        <f t="shared" si="218"/>
        <v>0</v>
      </c>
      <c r="CV548" s="1754"/>
      <c r="CW548" s="1754"/>
      <c r="CX548" s="1754">
        <f t="shared" si="219"/>
        <v>0</v>
      </c>
      <c r="CY548" s="1754"/>
      <c r="CZ548" s="1754"/>
      <c r="DA548" s="1754"/>
      <c r="DC548" s="383">
        <f>IF($BE548&gt;$R$66-3,211,0)</f>
        <v>211</v>
      </c>
      <c r="DD548" s="1754">
        <f t="shared" si="207"/>
        <v>0</v>
      </c>
      <c r="DE548" s="1754"/>
      <c r="DF548" s="1754"/>
      <c r="DG548" s="1754"/>
      <c r="DH548" s="1754">
        <f t="shared" si="227"/>
        <v>0</v>
      </c>
      <c r="DI548" s="1754"/>
      <c r="DJ548" s="1754"/>
      <c r="DK548" s="1754">
        <f t="shared" si="220"/>
        <v>0</v>
      </c>
      <c r="DL548" s="1754"/>
      <c r="DM548" s="1754"/>
      <c r="DN548" s="1754"/>
      <c r="DP548" s="383">
        <f t="shared" si="228"/>
        <v>211</v>
      </c>
      <c r="DQ548" s="1754">
        <f t="shared" si="240"/>
        <v>0</v>
      </c>
      <c r="DR548" s="1754"/>
      <c r="DS548" s="1754"/>
      <c r="DT548" s="1754"/>
      <c r="DU548" s="1754">
        <f t="shared" si="241"/>
        <v>0</v>
      </c>
      <c r="DV548" s="1754"/>
      <c r="DW548" s="1754"/>
      <c r="DX548" s="1754">
        <f t="shared" si="248"/>
        <v>0</v>
      </c>
      <c r="DY548" s="1754"/>
      <c r="DZ548" s="1754"/>
      <c r="EA548" s="1754">
        <f t="shared" si="249"/>
        <v>0</v>
      </c>
      <c r="EB548" s="1754"/>
      <c r="EC548" s="1754"/>
      <c r="ED548" s="1754"/>
      <c r="EE548" s="384"/>
      <c r="EF548" s="1750">
        <f t="shared" si="221"/>
        <v>0</v>
      </c>
      <c r="EG548" s="1751"/>
      <c r="EH548" s="1751"/>
      <c r="EI548" s="1751"/>
      <c r="EJ548" s="1752"/>
      <c r="EL548" s="1750">
        <f t="shared" si="250"/>
        <v>0</v>
      </c>
      <c r="EM548" s="1751"/>
      <c r="EN548" s="1751"/>
      <c r="EO548" s="1751"/>
      <c r="EP548" s="1752"/>
      <c r="ER548" s="1750">
        <f t="shared" si="222"/>
        <v>0</v>
      </c>
      <c r="ES548" s="1751"/>
      <c r="ET548" s="1751"/>
      <c r="EU548" s="1751"/>
      <c r="EV548" s="1752"/>
      <c r="EX548" s="1750">
        <f>IF(BE548&gt;0,Einstrahlung!$K$22*Kalkulation!$P$62/100*$AY$29*POWER((100-$P$64)/100,BD548-1),0)</f>
        <v>0</v>
      </c>
      <c r="EY548" s="1751"/>
      <c r="EZ548" s="1751"/>
      <c r="FA548" s="1751"/>
      <c r="FB548" s="1752"/>
      <c r="FD548" s="1750">
        <f t="shared" si="229"/>
        <v>0</v>
      </c>
      <c r="FE548" s="1751"/>
      <c r="FF548" s="1751"/>
      <c r="FG548" s="1751"/>
      <c r="FH548" s="1752"/>
      <c r="FI548" s="385"/>
      <c r="FJ548" s="380">
        <f t="shared" si="239"/>
        <v>0</v>
      </c>
      <c r="FK548" s="385"/>
      <c r="FL548" s="380">
        <f t="shared" si="251"/>
        <v>0</v>
      </c>
      <c r="FM548" s="385"/>
      <c r="FN548" s="380">
        <f t="shared" si="231"/>
        <v>0</v>
      </c>
      <c r="FO548" s="962">
        <f t="shared" si="237"/>
        <v>340</v>
      </c>
      <c r="FP548" s="956">
        <f t="shared" si="223"/>
        <v>0.4</v>
      </c>
      <c r="FQ548" s="380">
        <f t="shared" si="243"/>
        <v>0</v>
      </c>
      <c r="FR548" s="626">
        <f t="shared" si="252"/>
        <v>1</v>
      </c>
      <c r="FT548" s="1819">
        <f t="shared" si="238"/>
        <v>0</v>
      </c>
      <c r="FU548" s="1820"/>
      <c r="FV548" s="1820"/>
      <c r="FW548" s="1820"/>
      <c r="FX548" s="1821"/>
      <c r="FY548" s="1819">
        <f t="shared" si="233"/>
        <v>0</v>
      </c>
      <c r="FZ548" s="1820"/>
      <c r="GA548" s="1820"/>
      <c r="GB548" s="1821"/>
      <c r="GC548" s="1825">
        <f t="shared" si="253"/>
        <v>0</v>
      </c>
      <c r="GD548" s="1826"/>
      <c r="GE548" s="1826"/>
      <c r="GF548" s="1827"/>
      <c r="GH548" s="1750">
        <f t="shared" si="234"/>
        <v>0</v>
      </c>
      <c r="GI548" s="1751"/>
      <c r="GJ548" s="1751"/>
      <c r="GK548" s="1752"/>
      <c r="GL548" s="1750">
        <f t="shared" si="235"/>
        <v>0</v>
      </c>
      <c r="GM548" s="1751"/>
      <c r="GN548" s="1751"/>
      <c r="GO548" s="1752"/>
      <c r="GP548" s="385"/>
      <c r="GQ548" s="1750">
        <f t="shared" si="236"/>
        <v>0</v>
      </c>
      <c r="GR548" s="1751"/>
      <c r="GS548" s="1751"/>
      <c r="GT548" s="1752"/>
      <c r="GU548" s="192">
        <f t="shared" si="242"/>
        <v>1</v>
      </c>
      <c r="GV548" s="192">
        <f>SUM($GU$337:GU548)</f>
        <v>204</v>
      </c>
      <c r="GW548" s="318"/>
      <c r="HM548" s="380">
        <f t="shared" si="244"/>
        <v>0</v>
      </c>
      <c r="HX548" s="380"/>
    </row>
    <row r="549" spans="4:232">
      <c r="D549" s="313"/>
      <c r="E549" s="247"/>
      <c r="F549" s="247"/>
      <c r="G549" s="247"/>
      <c r="H549" s="247"/>
      <c r="I549" s="247"/>
      <c r="J549" s="428">
        <f>'Endfälliges Darlehen'!AV53</f>
        <v>0</v>
      </c>
      <c r="K549" s="429"/>
      <c r="L549" s="429"/>
      <c r="M549" s="429"/>
      <c r="N549" s="429"/>
      <c r="O549" s="430"/>
      <c r="BD549" s="387">
        <f t="shared" si="245"/>
        <v>17</v>
      </c>
      <c r="BE549" s="382">
        <f>IF(BD549&gt;0,212,0)</f>
        <v>212</v>
      </c>
      <c r="BG549" s="383">
        <f>IF($BE549&gt;$R$66-3+($BR$335*12),212,0)</f>
        <v>212</v>
      </c>
      <c r="BH549" s="1754">
        <f t="shared" si="246"/>
        <v>0</v>
      </c>
      <c r="BI549" s="1754"/>
      <c r="BJ549" s="1754"/>
      <c r="BK549" s="1754"/>
      <c r="BL549" s="1754">
        <f t="shared" si="224"/>
        <v>0</v>
      </c>
      <c r="BM549" s="1754"/>
      <c r="BN549" s="1754"/>
      <c r="BO549" s="1754">
        <f t="shared" si="214"/>
        <v>0</v>
      </c>
      <c r="BP549" s="1754"/>
      <c r="BQ549" s="1754"/>
      <c r="BR549" s="1754">
        <f t="shared" si="247"/>
        <v>0</v>
      </c>
      <c r="BS549" s="1754"/>
      <c r="BT549" s="1754"/>
      <c r="BU549" s="1754"/>
      <c r="BW549" s="383">
        <f>IF($BE549&gt;$R$66-3+($CH$335*12),212,0)</f>
        <v>212</v>
      </c>
      <c r="BX549" s="1754">
        <f t="shared" si="205"/>
        <v>0</v>
      </c>
      <c r="BY549" s="1754"/>
      <c r="BZ549" s="1754"/>
      <c r="CA549" s="1754"/>
      <c r="CB549" s="1754">
        <f t="shared" si="225"/>
        <v>0</v>
      </c>
      <c r="CC549" s="1754"/>
      <c r="CD549" s="1754"/>
      <c r="CE549" s="1754">
        <f t="shared" si="216"/>
        <v>0</v>
      </c>
      <c r="CF549" s="1754"/>
      <c r="CG549" s="1754"/>
      <c r="CH549" s="1754">
        <f t="shared" si="217"/>
        <v>0</v>
      </c>
      <c r="CI549" s="1754"/>
      <c r="CJ549" s="1754"/>
      <c r="CK549" s="1754"/>
      <c r="CM549" s="383">
        <f>IF($BE549&gt;$R$66-3+($CX$335*12),212,0)</f>
        <v>212</v>
      </c>
      <c r="CN549" s="1754">
        <f t="shared" si="206"/>
        <v>0</v>
      </c>
      <c r="CO549" s="1754"/>
      <c r="CP549" s="1754"/>
      <c r="CQ549" s="1754"/>
      <c r="CR549" s="1754">
        <f t="shared" si="226"/>
        <v>0</v>
      </c>
      <c r="CS549" s="1754"/>
      <c r="CT549" s="1754"/>
      <c r="CU549" s="1754">
        <f t="shared" si="218"/>
        <v>0</v>
      </c>
      <c r="CV549" s="1754"/>
      <c r="CW549" s="1754"/>
      <c r="CX549" s="1754">
        <f t="shared" si="219"/>
        <v>0</v>
      </c>
      <c r="CY549" s="1754"/>
      <c r="CZ549" s="1754"/>
      <c r="DA549" s="1754"/>
      <c r="DC549" s="383">
        <f>IF($BE549&gt;$R$66-3,212,0)</f>
        <v>212</v>
      </c>
      <c r="DD549" s="1754">
        <f t="shared" si="207"/>
        <v>0</v>
      </c>
      <c r="DE549" s="1754"/>
      <c r="DF549" s="1754"/>
      <c r="DG549" s="1754"/>
      <c r="DH549" s="1754">
        <f t="shared" si="227"/>
        <v>0</v>
      </c>
      <c r="DI549" s="1754"/>
      <c r="DJ549" s="1754"/>
      <c r="DK549" s="1754">
        <f t="shared" si="220"/>
        <v>0</v>
      </c>
      <c r="DL549" s="1754"/>
      <c r="DM549" s="1754"/>
      <c r="DN549" s="1754"/>
      <c r="DP549" s="383">
        <f t="shared" si="228"/>
        <v>212</v>
      </c>
      <c r="DQ549" s="1754">
        <f t="shared" si="240"/>
        <v>0</v>
      </c>
      <c r="DR549" s="1754"/>
      <c r="DS549" s="1754"/>
      <c r="DT549" s="1754"/>
      <c r="DU549" s="1754">
        <f t="shared" si="241"/>
        <v>0</v>
      </c>
      <c r="DV549" s="1754"/>
      <c r="DW549" s="1754"/>
      <c r="DX549" s="1754">
        <f t="shared" si="248"/>
        <v>0</v>
      </c>
      <c r="DY549" s="1754"/>
      <c r="DZ549" s="1754"/>
      <c r="EA549" s="1754">
        <f t="shared" si="249"/>
        <v>0</v>
      </c>
      <c r="EB549" s="1754"/>
      <c r="EC549" s="1754"/>
      <c r="ED549" s="1754"/>
      <c r="EE549" s="384"/>
      <c r="EF549" s="1750">
        <f t="shared" si="221"/>
        <v>0</v>
      </c>
      <c r="EG549" s="1751"/>
      <c r="EH549" s="1751"/>
      <c r="EI549" s="1751"/>
      <c r="EJ549" s="1752"/>
      <c r="EL549" s="1750">
        <f t="shared" si="250"/>
        <v>0</v>
      </c>
      <c r="EM549" s="1751"/>
      <c r="EN549" s="1751"/>
      <c r="EO549" s="1751"/>
      <c r="EP549" s="1752"/>
      <c r="ER549" s="1750">
        <f t="shared" si="222"/>
        <v>0</v>
      </c>
      <c r="ES549" s="1751"/>
      <c r="ET549" s="1751"/>
      <c r="EU549" s="1751"/>
      <c r="EV549" s="1752"/>
      <c r="EX549" s="1750">
        <f>IF(BE549&gt;0,Einstrahlung!$K$24*Kalkulation!$P$62/100*$AY$29*POWER((100-$P$64)/100,BD549-1),0)</f>
        <v>0</v>
      </c>
      <c r="EY549" s="1751"/>
      <c r="EZ549" s="1751"/>
      <c r="FA549" s="1751"/>
      <c r="FB549" s="1752"/>
      <c r="FD549" s="1750">
        <f t="shared" si="229"/>
        <v>0</v>
      </c>
      <c r="FE549" s="1751"/>
      <c r="FF549" s="1751"/>
      <c r="FG549" s="1751"/>
      <c r="FH549" s="1752"/>
      <c r="FI549" s="385"/>
      <c r="FJ549" s="380">
        <f t="shared" si="239"/>
        <v>0</v>
      </c>
      <c r="FK549" s="385"/>
      <c r="FL549" s="380">
        <f t="shared" si="251"/>
        <v>0</v>
      </c>
      <c r="FM549" s="385"/>
      <c r="FN549" s="380">
        <f t="shared" si="231"/>
        <v>0</v>
      </c>
      <c r="FO549" s="962">
        <f t="shared" si="237"/>
        <v>341</v>
      </c>
      <c r="FP549" s="956">
        <f t="shared" si="223"/>
        <v>0.4</v>
      </c>
      <c r="FQ549" s="380">
        <f t="shared" si="243"/>
        <v>0</v>
      </c>
      <c r="FR549" s="626">
        <f t="shared" si="252"/>
        <v>1</v>
      </c>
      <c r="FT549" s="1819">
        <f t="shared" si="238"/>
        <v>0</v>
      </c>
      <c r="FU549" s="1820"/>
      <c r="FV549" s="1820"/>
      <c r="FW549" s="1820"/>
      <c r="FX549" s="1821"/>
      <c r="FY549" s="1819">
        <f t="shared" si="233"/>
        <v>0</v>
      </c>
      <c r="FZ549" s="1820"/>
      <c r="GA549" s="1820"/>
      <c r="GB549" s="1821"/>
      <c r="GC549" s="1825">
        <f t="shared" si="253"/>
        <v>0</v>
      </c>
      <c r="GD549" s="1826"/>
      <c r="GE549" s="1826"/>
      <c r="GF549" s="1827"/>
      <c r="GH549" s="1750">
        <f t="shared" si="234"/>
        <v>0</v>
      </c>
      <c r="GI549" s="1751"/>
      <c r="GJ549" s="1751"/>
      <c r="GK549" s="1752"/>
      <c r="GL549" s="1750">
        <f t="shared" si="235"/>
        <v>0</v>
      </c>
      <c r="GM549" s="1751"/>
      <c r="GN549" s="1751"/>
      <c r="GO549" s="1752"/>
      <c r="GP549" s="385"/>
      <c r="GQ549" s="1750">
        <f t="shared" si="236"/>
        <v>0</v>
      </c>
      <c r="GR549" s="1751"/>
      <c r="GS549" s="1751"/>
      <c r="GT549" s="1752"/>
      <c r="GU549" s="192">
        <f t="shared" si="242"/>
        <v>1</v>
      </c>
      <c r="GV549" s="192">
        <f>SUM($GU$337:GU549)</f>
        <v>205</v>
      </c>
      <c r="GW549" s="318"/>
      <c r="HM549" s="380">
        <f t="shared" si="244"/>
        <v>0</v>
      </c>
      <c r="HX549" s="380"/>
    </row>
    <row r="550" spans="4:232">
      <c r="D550" s="409">
        <v>22</v>
      </c>
      <c r="E550" s="318"/>
      <c r="F550" s="428">
        <f>BR613</f>
        <v>0</v>
      </c>
      <c r="G550" s="428">
        <f>CH613</f>
        <v>0</v>
      </c>
      <c r="H550" s="428">
        <f>CX613</f>
        <v>0</v>
      </c>
      <c r="I550" s="247"/>
      <c r="J550" s="247"/>
      <c r="K550" s="429">
        <f>IF(AND(F550&gt;0,F553=0),$D550,0)</f>
        <v>0</v>
      </c>
      <c r="L550" s="429">
        <f>IF(AND(G550&gt;0,G553=0),$D550,0)</f>
        <v>0</v>
      </c>
      <c r="N550" s="429">
        <f>IF(AND(H550&gt;0,H553=0),$D550,0)</f>
        <v>0</v>
      </c>
      <c r="O550" s="430"/>
      <c r="Q550" s="1674">
        <f>IF($V$21=22,F550,0)</f>
        <v>0</v>
      </c>
      <c r="R550" s="1674"/>
      <c r="S550" s="1674"/>
      <c r="T550" s="1674">
        <f>IF($V$21=22,G550,0)</f>
        <v>0</v>
      </c>
      <c r="U550" s="1674"/>
      <c r="V550" s="1674"/>
      <c r="W550" s="1674">
        <f>IF($V$21=22,H550,0)</f>
        <v>0</v>
      </c>
      <c r="X550" s="1674"/>
      <c r="Y550" s="1674"/>
      <c r="Z550" s="1674"/>
      <c r="BD550" s="387">
        <f t="shared" si="245"/>
        <v>17</v>
      </c>
      <c r="BE550" s="382">
        <f>IF(BD550&gt;0,213,0)</f>
        <v>213</v>
      </c>
      <c r="BG550" s="383">
        <f>IF($BE550&gt;$R$66-3+($BR$335*12),213,0)</f>
        <v>213</v>
      </c>
      <c r="BH550" s="1754">
        <f t="shared" si="246"/>
        <v>0</v>
      </c>
      <c r="BI550" s="1754"/>
      <c r="BJ550" s="1754"/>
      <c r="BK550" s="1754"/>
      <c r="BL550" s="1754">
        <f t="shared" si="224"/>
        <v>0</v>
      </c>
      <c r="BM550" s="1754"/>
      <c r="BN550" s="1754"/>
      <c r="BO550" s="1754">
        <f t="shared" si="214"/>
        <v>0</v>
      </c>
      <c r="BP550" s="1754"/>
      <c r="BQ550" s="1754"/>
      <c r="BR550" s="1754">
        <f t="shared" si="247"/>
        <v>0</v>
      </c>
      <c r="BS550" s="1754"/>
      <c r="BT550" s="1754"/>
      <c r="BU550" s="1754"/>
      <c r="BW550" s="383">
        <f>IF($BE550&gt;$R$66-3+($CH$335*12),213,0)</f>
        <v>213</v>
      </c>
      <c r="BX550" s="1754">
        <f t="shared" si="205"/>
        <v>0</v>
      </c>
      <c r="BY550" s="1754"/>
      <c r="BZ550" s="1754"/>
      <c r="CA550" s="1754"/>
      <c r="CB550" s="1754">
        <f t="shared" si="225"/>
        <v>0</v>
      </c>
      <c r="CC550" s="1754"/>
      <c r="CD550" s="1754"/>
      <c r="CE550" s="1754">
        <f t="shared" si="216"/>
        <v>0</v>
      </c>
      <c r="CF550" s="1754"/>
      <c r="CG550" s="1754"/>
      <c r="CH550" s="1754">
        <f t="shared" si="217"/>
        <v>0</v>
      </c>
      <c r="CI550" s="1754"/>
      <c r="CJ550" s="1754"/>
      <c r="CK550" s="1754"/>
      <c r="CM550" s="383">
        <f>IF($BE550&gt;$R$66-3+($CX$335*12),213,0)</f>
        <v>213</v>
      </c>
      <c r="CN550" s="1754">
        <f t="shared" si="206"/>
        <v>0</v>
      </c>
      <c r="CO550" s="1754"/>
      <c r="CP550" s="1754"/>
      <c r="CQ550" s="1754"/>
      <c r="CR550" s="1754">
        <f t="shared" si="226"/>
        <v>0</v>
      </c>
      <c r="CS550" s="1754"/>
      <c r="CT550" s="1754"/>
      <c r="CU550" s="1754">
        <f t="shared" si="218"/>
        <v>0</v>
      </c>
      <c r="CV550" s="1754"/>
      <c r="CW550" s="1754"/>
      <c r="CX550" s="1754">
        <f t="shared" si="219"/>
        <v>0</v>
      </c>
      <c r="CY550" s="1754"/>
      <c r="CZ550" s="1754"/>
      <c r="DA550" s="1754"/>
      <c r="DC550" s="383">
        <f>IF($BE550&gt;$R$66-3,213,0)</f>
        <v>213</v>
      </c>
      <c r="DD550" s="1754">
        <f t="shared" si="207"/>
        <v>0</v>
      </c>
      <c r="DE550" s="1754"/>
      <c r="DF550" s="1754"/>
      <c r="DG550" s="1754"/>
      <c r="DH550" s="1754">
        <f t="shared" si="227"/>
        <v>0</v>
      </c>
      <c r="DI550" s="1754"/>
      <c r="DJ550" s="1754"/>
      <c r="DK550" s="1754">
        <f>IF(EA550&gt;(DD550),0,DD550)</f>
        <v>0</v>
      </c>
      <c r="DL550" s="1754"/>
      <c r="DM550" s="1754"/>
      <c r="DN550" s="1754"/>
      <c r="DP550" s="383">
        <f t="shared" si="228"/>
        <v>213</v>
      </c>
      <c r="DQ550" s="1754">
        <f t="shared" si="240"/>
        <v>0</v>
      </c>
      <c r="DR550" s="1754"/>
      <c r="DS550" s="1754"/>
      <c r="DT550" s="1754"/>
      <c r="DU550" s="1754">
        <f t="shared" si="241"/>
        <v>0</v>
      </c>
      <c r="DV550" s="1754"/>
      <c r="DW550" s="1754"/>
      <c r="DX550" s="1754">
        <f t="shared" si="248"/>
        <v>0</v>
      </c>
      <c r="DY550" s="1754"/>
      <c r="DZ550" s="1754"/>
      <c r="EA550" s="1754">
        <f t="shared" si="249"/>
        <v>0</v>
      </c>
      <c r="EB550" s="1754"/>
      <c r="EC550" s="1754"/>
      <c r="ED550" s="1754"/>
      <c r="EE550" s="384"/>
      <c r="EF550" s="1750">
        <f t="shared" si="221"/>
        <v>0</v>
      </c>
      <c r="EG550" s="1751"/>
      <c r="EH550" s="1751"/>
      <c r="EI550" s="1751"/>
      <c r="EJ550" s="1752"/>
      <c r="EL550" s="1750">
        <f t="shared" si="250"/>
        <v>0</v>
      </c>
      <c r="EM550" s="1751"/>
      <c r="EN550" s="1751"/>
      <c r="EO550" s="1751"/>
      <c r="EP550" s="1752"/>
      <c r="ER550" s="1750">
        <f t="shared" si="222"/>
        <v>0</v>
      </c>
      <c r="ES550" s="1751"/>
      <c r="ET550" s="1751"/>
      <c r="EU550" s="1751"/>
      <c r="EV550" s="1752"/>
      <c r="EX550" s="1750">
        <f>IF(BE550&gt;0,Einstrahlung!$K$26*Kalkulation!$P$62/100*$AY$29*POWER((100-$P$64)/100,BD550-1),0)</f>
        <v>0</v>
      </c>
      <c r="EY550" s="1751"/>
      <c r="EZ550" s="1751"/>
      <c r="FA550" s="1751"/>
      <c r="FB550" s="1752"/>
      <c r="FD550" s="1750">
        <f t="shared" si="229"/>
        <v>0</v>
      </c>
      <c r="FE550" s="1751"/>
      <c r="FF550" s="1751"/>
      <c r="FG550" s="1751"/>
      <c r="FH550" s="1752"/>
      <c r="FI550" s="385"/>
      <c r="FJ550" s="380">
        <f t="shared" si="239"/>
        <v>0</v>
      </c>
      <c r="FK550" s="385"/>
      <c r="FL550" s="380">
        <f t="shared" si="251"/>
        <v>0</v>
      </c>
      <c r="FM550" s="385"/>
      <c r="FN550" s="380">
        <f t="shared" si="231"/>
        <v>0</v>
      </c>
      <c r="FO550" s="962">
        <f t="shared" si="237"/>
        <v>342</v>
      </c>
      <c r="FP550" s="956">
        <f t="shared" si="223"/>
        <v>0.4</v>
      </c>
      <c r="FQ550" s="380">
        <f t="shared" si="243"/>
        <v>0</v>
      </c>
      <c r="FR550" s="626">
        <f t="shared" si="252"/>
        <v>1</v>
      </c>
      <c r="FT550" s="1819">
        <f t="shared" si="238"/>
        <v>0</v>
      </c>
      <c r="FU550" s="1820"/>
      <c r="FV550" s="1820"/>
      <c r="FW550" s="1820"/>
      <c r="FX550" s="1821"/>
      <c r="FY550" s="1819">
        <f t="shared" si="233"/>
        <v>0</v>
      </c>
      <c r="FZ550" s="1820"/>
      <c r="GA550" s="1820"/>
      <c r="GB550" s="1821"/>
      <c r="GC550" s="1825">
        <f t="shared" si="253"/>
        <v>0</v>
      </c>
      <c r="GD550" s="1826"/>
      <c r="GE550" s="1826"/>
      <c r="GF550" s="1827"/>
      <c r="GH550" s="1750">
        <f t="shared" si="234"/>
        <v>0</v>
      </c>
      <c r="GI550" s="1751"/>
      <c r="GJ550" s="1751"/>
      <c r="GK550" s="1752"/>
      <c r="GL550" s="1750">
        <f t="shared" si="235"/>
        <v>0</v>
      </c>
      <c r="GM550" s="1751"/>
      <c r="GN550" s="1751"/>
      <c r="GO550" s="1752"/>
      <c r="GP550" s="385"/>
      <c r="GQ550" s="1750">
        <f t="shared" si="236"/>
        <v>0</v>
      </c>
      <c r="GR550" s="1751"/>
      <c r="GS550" s="1751"/>
      <c r="GT550" s="1752"/>
      <c r="GU550" s="192">
        <f t="shared" si="242"/>
        <v>1</v>
      </c>
      <c r="GV550" s="192">
        <f>SUM($GU$337:GU550)</f>
        <v>206</v>
      </c>
      <c r="GW550" s="318"/>
      <c r="HM550" s="380">
        <f t="shared" si="244"/>
        <v>0</v>
      </c>
      <c r="HX550" s="380"/>
    </row>
    <row r="551" spans="4:232">
      <c r="D551" s="313"/>
      <c r="E551" s="247"/>
      <c r="F551" s="247"/>
      <c r="G551" s="247"/>
      <c r="H551" s="247"/>
      <c r="I551" s="428">
        <f>'Endfälliges Darlehen'!AG55</f>
        <v>0</v>
      </c>
      <c r="J551" s="247"/>
      <c r="K551" s="429"/>
      <c r="L551" s="429"/>
      <c r="M551" s="429"/>
      <c r="N551" s="429"/>
      <c r="O551" s="430">
        <f>IF(AND(I551&gt;0,I554=0),$D550,0)</f>
        <v>0</v>
      </c>
      <c r="BD551" s="387">
        <f t="shared" si="245"/>
        <v>17</v>
      </c>
      <c r="BE551" s="382">
        <f>IF(BD551&gt;0,214,0)</f>
        <v>214</v>
      </c>
      <c r="BG551" s="383">
        <f>IF($BE551&gt;$R$66-3+($BR$335*12),214,0)</f>
        <v>214</v>
      </c>
      <c r="BH551" s="1754">
        <f t="shared" si="246"/>
        <v>0</v>
      </c>
      <c r="BI551" s="1754"/>
      <c r="BJ551" s="1754"/>
      <c r="BK551" s="1754"/>
      <c r="BL551" s="1754">
        <f t="shared" si="224"/>
        <v>0</v>
      </c>
      <c r="BM551" s="1754"/>
      <c r="BN551" s="1754"/>
      <c r="BO551" s="1754">
        <f t="shared" si="214"/>
        <v>0</v>
      </c>
      <c r="BP551" s="1754"/>
      <c r="BQ551" s="1754"/>
      <c r="BR551" s="1754">
        <f t="shared" si="247"/>
        <v>0</v>
      </c>
      <c r="BS551" s="1754"/>
      <c r="BT551" s="1754"/>
      <c r="BU551" s="1754"/>
      <c r="BW551" s="383">
        <f>IF($BE551&gt;$R$66-3+($CH$335*12),214,0)</f>
        <v>214</v>
      </c>
      <c r="BX551" s="1754">
        <f t="shared" si="205"/>
        <v>0</v>
      </c>
      <c r="BY551" s="1754"/>
      <c r="BZ551" s="1754"/>
      <c r="CA551" s="1754"/>
      <c r="CB551" s="1754">
        <f t="shared" si="225"/>
        <v>0</v>
      </c>
      <c r="CC551" s="1754"/>
      <c r="CD551" s="1754"/>
      <c r="CE551" s="1754">
        <f t="shared" si="216"/>
        <v>0</v>
      </c>
      <c r="CF551" s="1754"/>
      <c r="CG551" s="1754"/>
      <c r="CH551" s="1754">
        <f t="shared" si="217"/>
        <v>0</v>
      </c>
      <c r="CI551" s="1754"/>
      <c r="CJ551" s="1754"/>
      <c r="CK551" s="1754"/>
      <c r="CM551" s="383">
        <f>IF($BE551&gt;$R$66-3+($CX$335*12),214,0)</f>
        <v>214</v>
      </c>
      <c r="CN551" s="1754">
        <f t="shared" si="206"/>
        <v>0</v>
      </c>
      <c r="CO551" s="1754"/>
      <c r="CP551" s="1754"/>
      <c r="CQ551" s="1754"/>
      <c r="CR551" s="1754">
        <f t="shared" si="226"/>
        <v>0</v>
      </c>
      <c r="CS551" s="1754"/>
      <c r="CT551" s="1754"/>
      <c r="CU551" s="1754">
        <f t="shared" si="218"/>
        <v>0</v>
      </c>
      <c r="CV551" s="1754"/>
      <c r="CW551" s="1754"/>
      <c r="CX551" s="1754">
        <f t="shared" si="219"/>
        <v>0</v>
      </c>
      <c r="CY551" s="1754"/>
      <c r="CZ551" s="1754"/>
      <c r="DA551" s="1754"/>
      <c r="DC551" s="383">
        <f>IF($BE551&gt;$R$66-3,214,0)</f>
        <v>214</v>
      </c>
      <c r="DD551" s="1754">
        <f t="shared" si="207"/>
        <v>0</v>
      </c>
      <c r="DE551" s="1754"/>
      <c r="DF551" s="1754"/>
      <c r="DG551" s="1754"/>
      <c r="DH551" s="1754">
        <f t="shared" si="227"/>
        <v>0</v>
      </c>
      <c r="DI551" s="1754"/>
      <c r="DJ551" s="1754"/>
      <c r="DK551" s="1754">
        <f t="shared" ref="DK551:DK614" si="254">IF(EA551&gt;(DD551),0,DD551)</f>
        <v>0</v>
      </c>
      <c r="DL551" s="1754"/>
      <c r="DM551" s="1754"/>
      <c r="DN551" s="1754"/>
      <c r="DP551" s="383">
        <f t="shared" si="228"/>
        <v>214</v>
      </c>
      <c r="DQ551" s="1754">
        <f t="shared" si="240"/>
        <v>0</v>
      </c>
      <c r="DR551" s="1754"/>
      <c r="DS551" s="1754"/>
      <c r="DT551" s="1754"/>
      <c r="DU551" s="1754">
        <f t="shared" si="241"/>
        <v>0</v>
      </c>
      <c r="DV551" s="1754"/>
      <c r="DW551" s="1754"/>
      <c r="DX551" s="1754">
        <f t="shared" si="248"/>
        <v>0</v>
      </c>
      <c r="DY551" s="1754"/>
      <c r="DZ551" s="1754"/>
      <c r="EA551" s="1754">
        <f t="shared" si="249"/>
        <v>0</v>
      </c>
      <c r="EB551" s="1754"/>
      <c r="EC551" s="1754"/>
      <c r="ED551" s="1754"/>
      <c r="EE551" s="384"/>
      <c r="EF551" s="1750">
        <f t="shared" si="221"/>
        <v>0</v>
      </c>
      <c r="EG551" s="1751"/>
      <c r="EH551" s="1751"/>
      <c r="EI551" s="1751"/>
      <c r="EJ551" s="1752"/>
      <c r="EL551" s="1750">
        <f t="shared" si="250"/>
        <v>0</v>
      </c>
      <c r="EM551" s="1751"/>
      <c r="EN551" s="1751"/>
      <c r="EO551" s="1751"/>
      <c r="EP551" s="1752"/>
      <c r="ER551" s="1750">
        <f t="shared" si="222"/>
        <v>0</v>
      </c>
      <c r="ES551" s="1751"/>
      <c r="ET551" s="1751"/>
      <c r="EU551" s="1751"/>
      <c r="EV551" s="1752"/>
      <c r="EX551" s="1750">
        <f>IF(BE551&gt;0,Einstrahlung!$K$28*Kalkulation!$P$62/100*$AY$29*POWER((100-$P$64)/100,BD551-1),0)</f>
        <v>0</v>
      </c>
      <c r="EY551" s="1751"/>
      <c r="EZ551" s="1751"/>
      <c r="FA551" s="1751"/>
      <c r="FB551" s="1752"/>
      <c r="FD551" s="1750">
        <f t="shared" si="229"/>
        <v>0</v>
      </c>
      <c r="FE551" s="1751"/>
      <c r="FF551" s="1751"/>
      <c r="FG551" s="1751"/>
      <c r="FH551" s="1752"/>
      <c r="FI551" s="385"/>
      <c r="FJ551" s="380">
        <f t="shared" si="239"/>
        <v>0</v>
      </c>
      <c r="FK551" s="385"/>
      <c r="FL551" s="380">
        <f t="shared" si="251"/>
        <v>0</v>
      </c>
      <c r="FM551" s="385"/>
      <c r="FN551" s="380">
        <f t="shared" si="231"/>
        <v>0</v>
      </c>
      <c r="FO551" s="962">
        <f t="shared" si="237"/>
        <v>343</v>
      </c>
      <c r="FP551" s="956">
        <f t="shared" si="223"/>
        <v>0.4</v>
      </c>
      <c r="FQ551" s="380">
        <f t="shared" si="243"/>
        <v>0</v>
      </c>
      <c r="FR551" s="626">
        <f t="shared" si="252"/>
        <v>1</v>
      </c>
      <c r="FT551" s="1819">
        <f t="shared" si="238"/>
        <v>0</v>
      </c>
      <c r="FU551" s="1820"/>
      <c r="FV551" s="1820"/>
      <c r="FW551" s="1820"/>
      <c r="FX551" s="1821"/>
      <c r="FY551" s="1819">
        <f t="shared" si="233"/>
        <v>0</v>
      </c>
      <c r="FZ551" s="1820"/>
      <c r="GA551" s="1820"/>
      <c r="GB551" s="1821"/>
      <c r="GC551" s="1825">
        <f t="shared" si="253"/>
        <v>0</v>
      </c>
      <c r="GD551" s="1826"/>
      <c r="GE551" s="1826"/>
      <c r="GF551" s="1827"/>
      <c r="GH551" s="1750">
        <f t="shared" si="234"/>
        <v>0</v>
      </c>
      <c r="GI551" s="1751"/>
      <c r="GJ551" s="1751"/>
      <c r="GK551" s="1752"/>
      <c r="GL551" s="1750">
        <f t="shared" si="235"/>
        <v>0</v>
      </c>
      <c r="GM551" s="1751"/>
      <c r="GN551" s="1751"/>
      <c r="GO551" s="1752"/>
      <c r="GP551" s="385"/>
      <c r="GQ551" s="1750">
        <f t="shared" si="236"/>
        <v>0</v>
      </c>
      <c r="GR551" s="1751"/>
      <c r="GS551" s="1751"/>
      <c r="GT551" s="1752"/>
      <c r="GU551" s="192">
        <f t="shared" si="242"/>
        <v>1</v>
      </c>
      <c r="GV551" s="192">
        <f>SUM($GU$337:GU551)</f>
        <v>207</v>
      </c>
      <c r="GW551" s="318"/>
      <c r="HM551" s="380">
        <f t="shared" si="244"/>
        <v>0</v>
      </c>
      <c r="HX551" s="380"/>
    </row>
    <row r="552" spans="4:232">
      <c r="D552" s="313"/>
      <c r="E552" s="247"/>
      <c r="F552" s="247"/>
      <c r="G552" s="247"/>
      <c r="H552" s="247"/>
      <c r="I552" s="247"/>
      <c r="J552" s="428">
        <f>'Endfälliges Darlehen'!AV55</f>
        <v>0</v>
      </c>
      <c r="K552" s="429"/>
      <c r="L552" s="429"/>
      <c r="M552" s="429"/>
      <c r="N552" s="429"/>
      <c r="O552" s="430"/>
      <c r="BD552" s="387">
        <f t="shared" si="245"/>
        <v>17</v>
      </c>
      <c r="BE552" s="382">
        <f>IF(BD552&gt;0,215,0)</f>
        <v>215</v>
      </c>
      <c r="BG552" s="383">
        <f>IF($BE552&gt;$R$66-3+($BR$335*12),215,0)</f>
        <v>215</v>
      </c>
      <c r="BH552" s="1754">
        <f t="shared" si="246"/>
        <v>0</v>
      </c>
      <c r="BI552" s="1754"/>
      <c r="BJ552" s="1754"/>
      <c r="BK552" s="1754"/>
      <c r="BL552" s="1754">
        <f t="shared" si="224"/>
        <v>0</v>
      </c>
      <c r="BM552" s="1754"/>
      <c r="BN552" s="1754"/>
      <c r="BO552" s="1754">
        <f t="shared" si="214"/>
        <v>0</v>
      </c>
      <c r="BP552" s="1754"/>
      <c r="BQ552" s="1754"/>
      <c r="BR552" s="1754">
        <f t="shared" si="247"/>
        <v>0</v>
      </c>
      <c r="BS552" s="1754"/>
      <c r="BT552" s="1754"/>
      <c r="BU552" s="1754"/>
      <c r="BW552" s="383">
        <f>IF($BE552&gt;$R$66-3+($CH$335*12),215,0)</f>
        <v>215</v>
      </c>
      <c r="BX552" s="1754">
        <f t="shared" si="205"/>
        <v>0</v>
      </c>
      <c r="BY552" s="1754"/>
      <c r="BZ552" s="1754"/>
      <c r="CA552" s="1754"/>
      <c r="CB552" s="1754">
        <f t="shared" si="225"/>
        <v>0</v>
      </c>
      <c r="CC552" s="1754"/>
      <c r="CD552" s="1754"/>
      <c r="CE552" s="1754">
        <f t="shared" si="216"/>
        <v>0</v>
      </c>
      <c r="CF552" s="1754"/>
      <c r="CG552" s="1754"/>
      <c r="CH552" s="1754">
        <f t="shared" si="217"/>
        <v>0</v>
      </c>
      <c r="CI552" s="1754"/>
      <c r="CJ552" s="1754"/>
      <c r="CK552" s="1754"/>
      <c r="CM552" s="383">
        <f>IF($BE552&gt;$R$66-3+($CX$335*12),215,0)</f>
        <v>215</v>
      </c>
      <c r="CN552" s="1754">
        <f t="shared" si="206"/>
        <v>0</v>
      </c>
      <c r="CO552" s="1754"/>
      <c r="CP552" s="1754"/>
      <c r="CQ552" s="1754"/>
      <c r="CR552" s="1754">
        <f t="shared" si="226"/>
        <v>0</v>
      </c>
      <c r="CS552" s="1754"/>
      <c r="CT552" s="1754"/>
      <c r="CU552" s="1754">
        <f t="shared" si="218"/>
        <v>0</v>
      </c>
      <c r="CV552" s="1754"/>
      <c r="CW552" s="1754"/>
      <c r="CX552" s="1754">
        <f t="shared" si="219"/>
        <v>0</v>
      </c>
      <c r="CY552" s="1754"/>
      <c r="CZ552" s="1754"/>
      <c r="DA552" s="1754"/>
      <c r="DC552" s="383">
        <f>IF($BE552&gt;$R$66-3,215,0)</f>
        <v>215</v>
      </c>
      <c r="DD552" s="1754">
        <f t="shared" si="207"/>
        <v>0</v>
      </c>
      <c r="DE552" s="1754"/>
      <c r="DF552" s="1754"/>
      <c r="DG552" s="1754"/>
      <c r="DH552" s="1754">
        <f t="shared" si="227"/>
        <v>0</v>
      </c>
      <c r="DI552" s="1754"/>
      <c r="DJ552" s="1754"/>
      <c r="DK552" s="1754">
        <f t="shared" si="254"/>
        <v>0</v>
      </c>
      <c r="DL552" s="1754"/>
      <c r="DM552" s="1754"/>
      <c r="DN552" s="1754"/>
      <c r="DP552" s="383">
        <f t="shared" si="228"/>
        <v>215</v>
      </c>
      <c r="DQ552" s="1754">
        <f t="shared" si="240"/>
        <v>0</v>
      </c>
      <c r="DR552" s="1754"/>
      <c r="DS552" s="1754"/>
      <c r="DT552" s="1754"/>
      <c r="DU552" s="1754">
        <f t="shared" si="241"/>
        <v>0</v>
      </c>
      <c r="DV552" s="1754"/>
      <c r="DW552" s="1754"/>
      <c r="DX552" s="1754">
        <f t="shared" si="248"/>
        <v>0</v>
      </c>
      <c r="DY552" s="1754"/>
      <c r="DZ552" s="1754"/>
      <c r="EA552" s="1754">
        <f t="shared" si="249"/>
        <v>0</v>
      </c>
      <c r="EB552" s="1754"/>
      <c r="EC552" s="1754"/>
      <c r="ED552" s="1754"/>
      <c r="EE552" s="384"/>
      <c r="EF552" s="1750">
        <f t="shared" si="221"/>
        <v>0</v>
      </c>
      <c r="EG552" s="1751"/>
      <c r="EH552" s="1751"/>
      <c r="EI552" s="1751"/>
      <c r="EJ552" s="1752"/>
      <c r="EL552" s="1750">
        <f t="shared" si="250"/>
        <v>0</v>
      </c>
      <c r="EM552" s="1751"/>
      <c r="EN552" s="1751"/>
      <c r="EO552" s="1751"/>
      <c r="EP552" s="1752"/>
      <c r="ER552" s="1750">
        <f t="shared" si="222"/>
        <v>0</v>
      </c>
      <c r="ES552" s="1751"/>
      <c r="ET552" s="1751"/>
      <c r="EU552" s="1751"/>
      <c r="EV552" s="1752"/>
      <c r="EX552" s="1750">
        <f>IF(BE552&gt;0,Einstrahlung!$K$30*Kalkulation!$P$62/100*$AY$29*POWER((100-$P$64)/100,BD552-1),0)</f>
        <v>0</v>
      </c>
      <c r="EY552" s="1751"/>
      <c r="EZ552" s="1751"/>
      <c r="FA552" s="1751"/>
      <c r="FB552" s="1752"/>
      <c r="FD552" s="1750">
        <f t="shared" si="229"/>
        <v>0</v>
      </c>
      <c r="FE552" s="1751"/>
      <c r="FF552" s="1751"/>
      <c r="FG552" s="1751"/>
      <c r="FH552" s="1752"/>
      <c r="FI552" s="385"/>
      <c r="FJ552" s="380">
        <f t="shared" si="239"/>
        <v>0</v>
      </c>
      <c r="FK552" s="385"/>
      <c r="FL552" s="380">
        <f t="shared" si="251"/>
        <v>0</v>
      </c>
      <c r="FM552" s="385"/>
      <c r="FN552" s="380">
        <f t="shared" si="231"/>
        <v>0</v>
      </c>
      <c r="FO552" s="962">
        <f t="shared" si="237"/>
        <v>344</v>
      </c>
      <c r="FP552" s="956">
        <f t="shared" si="223"/>
        <v>0.4</v>
      </c>
      <c r="FQ552" s="380">
        <f t="shared" si="243"/>
        <v>0</v>
      </c>
      <c r="FR552" s="626">
        <f>IF(AND(GV552&gt;192,GV552&lt;=204),$FR$541,IF(AND(GV552&gt;204,GV552&lt;=216),$FR$553,0))</f>
        <v>1</v>
      </c>
      <c r="FT552" s="1819">
        <f t="shared" si="238"/>
        <v>0</v>
      </c>
      <c r="FU552" s="1820"/>
      <c r="FV552" s="1820"/>
      <c r="FW552" s="1820"/>
      <c r="FX552" s="1821"/>
      <c r="FY552" s="1819">
        <f t="shared" si="233"/>
        <v>0</v>
      </c>
      <c r="FZ552" s="1820"/>
      <c r="GA552" s="1820"/>
      <c r="GB552" s="1821"/>
      <c r="GC552" s="1825">
        <f t="shared" si="253"/>
        <v>0</v>
      </c>
      <c r="GD552" s="1826"/>
      <c r="GE552" s="1826"/>
      <c r="GF552" s="1827"/>
      <c r="GH552" s="1750">
        <f t="shared" si="234"/>
        <v>0</v>
      </c>
      <c r="GI552" s="1751"/>
      <c r="GJ552" s="1751"/>
      <c r="GK552" s="1752"/>
      <c r="GL552" s="1750">
        <f t="shared" si="235"/>
        <v>0</v>
      </c>
      <c r="GM552" s="1751"/>
      <c r="GN552" s="1751"/>
      <c r="GO552" s="1752"/>
      <c r="GP552" s="385"/>
      <c r="GQ552" s="1750">
        <f t="shared" si="236"/>
        <v>0</v>
      </c>
      <c r="GR552" s="1751"/>
      <c r="GS552" s="1751"/>
      <c r="GT552" s="1752"/>
      <c r="GU552" s="192">
        <f t="shared" si="242"/>
        <v>1</v>
      </c>
      <c r="GV552" s="192">
        <f>SUM($GU$337:GU552)</f>
        <v>208</v>
      </c>
      <c r="GW552" s="318"/>
      <c r="HM552" s="380">
        <f t="shared" si="244"/>
        <v>0</v>
      </c>
      <c r="HX552" s="380"/>
    </row>
    <row r="553" spans="4:232" ht="13.5" thickBot="1">
      <c r="D553" s="409">
        <v>23</v>
      </c>
      <c r="E553" s="318"/>
      <c r="F553" s="428">
        <f>BR625</f>
        <v>0</v>
      </c>
      <c r="G553" s="428">
        <f>CH625</f>
        <v>0</v>
      </c>
      <c r="H553" s="428">
        <f>CX625</f>
        <v>0</v>
      </c>
      <c r="I553" s="247"/>
      <c r="J553" s="247"/>
      <c r="K553" s="429">
        <f>IF(AND(F553&gt;0,F556=0),$D553,0)</f>
        <v>0</v>
      </c>
      <c r="L553" s="429">
        <f>IF(AND(G553&gt;0,G556=0),$D553,0)</f>
        <v>0</v>
      </c>
      <c r="N553" s="429">
        <f>IF(AND(H553&gt;0,H556=0),$D553,0)</f>
        <v>0</v>
      </c>
      <c r="O553" s="430"/>
      <c r="Q553" s="1674">
        <f>IF($V$21=23,F553,0)</f>
        <v>0</v>
      </c>
      <c r="R553" s="1674"/>
      <c r="S553" s="1674"/>
      <c r="T553" s="1674">
        <f>IF($V$21=23,G553,0)</f>
        <v>0</v>
      </c>
      <c r="U553" s="1674"/>
      <c r="V553" s="1674"/>
      <c r="W553" s="1674">
        <f>IF($V$21=23,H553,0)</f>
        <v>0</v>
      </c>
      <c r="X553" s="1674"/>
      <c r="Y553" s="1674"/>
      <c r="Z553" s="1674"/>
      <c r="BD553" s="389">
        <f t="shared" si="245"/>
        <v>17</v>
      </c>
      <c r="BE553" s="390">
        <f>IF(BD553&gt;0,216,0)</f>
        <v>216</v>
      </c>
      <c r="BG553" s="391">
        <f>IF($BE553&gt;$R$66-3+($BR$335*12),216,0)</f>
        <v>216</v>
      </c>
      <c r="BH553" s="1753">
        <f t="shared" si="246"/>
        <v>0</v>
      </c>
      <c r="BI553" s="1753"/>
      <c r="BJ553" s="1753"/>
      <c r="BK553" s="1753"/>
      <c r="BL553" s="1753">
        <f t="shared" si="224"/>
        <v>0</v>
      </c>
      <c r="BM553" s="1753"/>
      <c r="BN553" s="1753"/>
      <c r="BO553" s="1753">
        <f t="shared" si="214"/>
        <v>0</v>
      </c>
      <c r="BP553" s="1753"/>
      <c r="BQ553" s="1753"/>
      <c r="BR553" s="1753">
        <f t="shared" si="247"/>
        <v>0</v>
      </c>
      <c r="BS553" s="1753"/>
      <c r="BT553" s="1753"/>
      <c r="BU553" s="1753"/>
      <c r="BW553" s="391">
        <f>IF($BE553&gt;$R$66-3+($CH$335*12),216,0)</f>
        <v>216</v>
      </c>
      <c r="BX553" s="1753">
        <f t="shared" si="205"/>
        <v>0</v>
      </c>
      <c r="BY553" s="1753"/>
      <c r="BZ553" s="1753"/>
      <c r="CA553" s="1753"/>
      <c r="CB553" s="1753">
        <f t="shared" si="225"/>
        <v>0</v>
      </c>
      <c r="CC553" s="1753"/>
      <c r="CD553" s="1753"/>
      <c r="CE553" s="1753">
        <f t="shared" si="216"/>
        <v>0</v>
      </c>
      <c r="CF553" s="1753"/>
      <c r="CG553" s="1753"/>
      <c r="CH553" s="1753">
        <f t="shared" si="217"/>
        <v>0</v>
      </c>
      <c r="CI553" s="1753"/>
      <c r="CJ553" s="1753"/>
      <c r="CK553" s="1753"/>
      <c r="CM553" s="391">
        <f>IF($BE553&gt;$R$66-3+($CX$335*12),216,0)</f>
        <v>216</v>
      </c>
      <c r="CN553" s="1753">
        <f t="shared" si="206"/>
        <v>0</v>
      </c>
      <c r="CO553" s="1753"/>
      <c r="CP553" s="1753"/>
      <c r="CQ553" s="1753"/>
      <c r="CR553" s="1753">
        <f t="shared" si="226"/>
        <v>0</v>
      </c>
      <c r="CS553" s="1753"/>
      <c r="CT553" s="1753"/>
      <c r="CU553" s="1753">
        <f t="shared" si="218"/>
        <v>0</v>
      </c>
      <c r="CV553" s="1753"/>
      <c r="CW553" s="1753"/>
      <c r="CX553" s="1753">
        <f t="shared" si="219"/>
        <v>0</v>
      </c>
      <c r="CY553" s="1753"/>
      <c r="CZ553" s="1753"/>
      <c r="DA553" s="1753"/>
      <c r="DC553" s="391">
        <f>IF($BE553&gt;$R$66-3,216,0)</f>
        <v>216</v>
      </c>
      <c r="DD553" s="1753">
        <f t="shared" si="207"/>
        <v>0</v>
      </c>
      <c r="DE553" s="1753"/>
      <c r="DF553" s="1753"/>
      <c r="DG553" s="1753"/>
      <c r="DH553" s="1753">
        <f t="shared" si="227"/>
        <v>0</v>
      </c>
      <c r="DI553" s="1753"/>
      <c r="DJ553" s="1753"/>
      <c r="DK553" s="1753">
        <f t="shared" si="254"/>
        <v>0</v>
      </c>
      <c r="DL553" s="1753"/>
      <c r="DM553" s="1753"/>
      <c r="DN553" s="1753"/>
      <c r="DP553" s="391">
        <f t="shared" si="228"/>
        <v>216</v>
      </c>
      <c r="DQ553" s="1753">
        <f t="shared" si="240"/>
        <v>0</v>
      </c>
      <c r="DR553" s="1753"/>
      <c r="DS553" s="1753"/>
      <c r="DT553" s="1753"/>
      <c r="DU553" s="1753">
        <f t="shared" si="241"/>
        <v>0</v>
      </c>
      <c r="DV553" s="1753"/>
      <c r="DW553" s="1753"/>
      <c r="DX553" s="1753">
        <f t="shared" si="248"/>
        <v>0</v>
      </c>
      <c r="DY553" s="1753"/>
      <c r="DZ553" s="1753"/>
      <c r="EA553" s="1753">
        <f t="shared" si="249"/>
        <v>0</v>
      </c>
      <c r="EB553" s="1753"/>
      <c r="EC553" s="1753"/>
      <c r="ED553" s="1753"/>
      <c r="EE553" s="384"/>
      <c r="EF553" s="1744">
        <f t="shared" si="221"/>
        <v>0</v>
      </c>
      <c r="EG553" s="1745"/>
      <c r="EH553" s="1745"/>
      <c r="EI553" s="1745"/>
      <c r="EJ553" s="1746"/>
      <c r="EL553" s="1744">
        <f t="shared" si="250"/>
        <v>0</v>
      </c>
      <c r="EM553" s="1745"/>
      <c r="EN553" s="1745"/>
      <c r="EO553" s="1745"/>
      <c r="EP553" s="1746"/>
      <c r="ER553" s="1744">
        <f t="shared" si="222"/>
        <v>0</v>
      </c>
      <c r="ES553" s="1745"/>
      <c r="ET553" s="1745"/>
      <c r="EU553" s="1745"/>
      <c r="EV553" s="1746"/>
      <c r="EX553" s="1744">
        <f>IF(BE553&gt;0,Einstrahlung!$K$32*Kalkulation!$P$62/100*$AY$29*POWER((100-$P$64)/100,BD553-1),0)</f>
        <v>0</v>
      </c>
      <c r="EY553" s="1745"/>
      <c r="EZ553" s="1745"/>
      <c r="FA553" s="1745"/>
      <c r="FB553" s="1746"/>
      <c r="FD553" s="1744">
        <f t="shared" si="229"/>
        <v>0</v>
      </c>
      <c r="FE553" s="1745"/>
      <c r="FF553" s="1745"/>
      <c r="FG553" s="1745"/>
      <c r="FH553" s="1746"/>
      <c r="FI553" s="385"/>
      <c r="FJ553" s="453">
        <f t="shared" si="239"/>
        <v>0</v>
      </c>
      <c r="FK553" s="385"/>
      <c r="FL553" s="453">
        <f t="shared" si="251"/>
        <v>0</v>
      </c>
      <c r="FM553" s="385"/>
      <c r="FN553" s="453">
        <f t="shared" si="231"/>
        <v>0</v>
      </c>
      <c r="FO553" s="962">
        <f t="shared" si="237"/>
        <v>345</v>
      </c>
      <c r="FP553" s="956">
        <f t="shared" si="223"/>
        <v>0.4</v>
      </c>
      <c r="FQ553" s="453">
        <f t="shared" si="243"/>
        <v>0</v>
      </c>
      <c r="FR553" s="957">
        <f>POWER(1+$FQ$333,FS553)</f>
        <v>1</v>
      </c>
      <c r="FS553" s="617">
        <f>FS541+1</f>
        <v>17</v>
      </c>
      <c r="FT553" s="1822">
        <f t="shared" si="238"/>
        <v>0</v>
      </c>
      <c r="FU553" s="1823"/>
      <c r="FV553" s="1823"/>
      <c r="FW553" s="1823"/>
      <c r="FX553" s="1824"/>
      <c r="FY553" s="1822">
        <f t="shared" si="233"/>
        <v>0</v>
      </c>
      <c r="FZ553" s="1823"/>
      <c r="GA553" s="1823"/>
      <c r="GB553" s="1824"/>
      <c r="GC553" s="1831">
        <f t="shared" si="253"/>
        <v>0</v>
      </c>
      <c r="GD553" s="1832"/>
      <c r="GE553" s="1832"/>
      <c r="GF553" s="1833"/>
      <c r="GH553" s="1744">
        <f t="shared" si="234"/>
        <v>0</v>
      </c>
      <c r="GI553" s="1745"/>
      <c r="GJ553" s="1745"/>
      <c r="GK553" s="1746"/>
      <c r="GL553" s="1744">
        <f t="shared" si="235"/>
        <v>0</v>
      </c>
      <c r="GM553" s="1745"/>
      <c r="GN553" s="1745"/>
      <c r="GO553" s="1746"/>
      <c r="GP553" s="385"/>
      <c r="GQ553" s="1744">
        <f t="shared" si="236"/>
        <v>0</v>
      </c>
      <c r="GR553" s="1745"/>
      <c r="GS553" s="1745"/>
      <c r="GT553" s="1746"/>
      <c r="GU553" s="192">
        <f t="shared" si="242"/>
        <v>1</v>
      </c>
      <c r="GV553" s="192">
        <f>SUM($GU$337:GU553)</f>
        <v>209</v>
      </c>
      <c r="GW553" s="318"/>
      <c r="HN553" s="380">
        <f t="shared" ref="HN553:HN564" si="255">IF(GV553=216,SUM(GQ542:GT553),0)</f>
        <v>0</v>
      </c>
      <c r="HX553" s="380"/>
    </row>
    <row r="554" spans="4:232">
      <c r="D554" s="313"/>
      <c r="E554" s="247"/>
      <c r="F554" s="247"/>
      <c r="G554" s="247"/>
      <c r="H554" s="247"/>
      <c r="I554" s="428">
        <f>'Endfälliges Darlehen'!AG57</f>
        <v>0</v>
      </c>
      <c r="J554" s="247"/>
      <c r="K554" s="429"/>
      <c r="L554" s="429"/>
      <c r="M554" s="429"/>
      <c r="N554" s="429"/>
      <c r="O554" s="430">
        <f>IF(AND(I554&gt;0,I557=0),$D553,0)</f>
        <v>0</v>
      </c>
      <c r="BD554" s="381">
        <f t="shared" ref="BD554:BD565" si="256">IF(BH554&lt;0,0,IF($V$21&gt;0,18,0))</f>
        <v>18</v>
      </c>
      <c r="BE554" s="382">
        <f>IF(BD554&gt;0,217,0)</f>
        <v>217</v>
      </c>
      <c r="BG554" s="395">
        <f>IF($BE554&gt;$R$66-3+($BR$335*12),217,0)</f>
        <v>217</v>
      </c>
      <c r="BH554" s="1754">
        <f t="shared" ref="BH554:BH565" si="257">IF(BR553&lt;=0,0,BR553)</f>
        <v>0</v>
      </c>
      <c r="BI554" s="1754"/>
      <c r="BJ554" s="1754"/>
      <c r="BK554" s="1754"/>
      <c r="BL554" s="1754">
        <f t="shared" si="224"/>
        <v>0</v>
      </c>
      <c r="BM554" s="1754"/>
      <c r="BN554" s="1754"/>
      <c r="BO554" s="1754">
        <f t="shared" si="214"/>
        <v>0</v>
      </c>
      <c r="BP554" s="1754"/>
      <c r="BQ554" s="1754"/>
      <c r="BR554" s="1754">
        <f t="shared" ref="BR554:BR565" si="258">BH554-BL554</f>
        <v>0</v>
      </c>
      <c r="BS554" s="1754"/>
      <c r="BT554" s="1754"/>
      <c r="BU554" s="1754"/>
      <c r="BW554" s="395">
        <f>IF($BE554&gt;$R$66-3+($CH$335*12),217,0)</f>
        <v>217</v>
      </c>
      <c r="BX554" s="1754">
        <f t="shared" si="205"/>
        <v>0</v>
      </c>
      <c r="BY554" s="1754"/>
      <c r="BZ554" s="1754"/>
      <c r="CA554" s="1754"/>
      <c r="CB554" s="1754">
        <f t="shared" si="225"/>
        <v>0</v>
      </c>
      <c r="CC554" s="1754"/>
      <c r="CD554" s="1754"/>
      <c r="CE554" s="1754">
        <f t="shared" si="216"/>
        <v>0</v>
      </c>
      <c r="CF554" s="1754"/>
      <c r="CG554" s="1754"/>
      <c r="CH554" s="1754">
        <f t="shared" si="217"/>
        <v>0</v>
      </c>
      <c r="CI554" s="1754"/>
      <c r="CJ554" s="1754"/>
      <c r="CK554" s="1754"/>
      <c r="CM554" s="395">
        <f>IF($BE554&gt;$R$66-3+($CX$335*12),217,0)</f>
        <v>217</v>
      </c>
      <c r="CN554" s="1754">
        <f t="shared" si="206"/>
        <v>0</v>
      </c>
      <c r="CO554" s="1754"/>
      <c r="CP554" s="1754"/>
      <c r="CQ554" s="1754"/>
      <c r="CR554" s="1754">
        <f t="shared" si="226"/>
        <v>0</v>
      </c>
      <c r="CS554" s="1754"/>
      <c r="CT554" s="1754"/>
      <c r="CU554" s="1754">
        <f t="shared" si="218"/>
        <v>0</v>
      </c>
      <c r="CV554" s="1754"/>
      <c r="CW554" s="1754"/>
      <c r="CX554" s="1754">
        <f t="shared" si="219"/>
        <v>0</v>
      </c>
      <c r="CY554" s="1754"/>
      <c r="CZ554" s="1754"/>
      <c r="DA554" s="1754"/>
      <c r="DC554" s="395">
        <f>IF($BE554&gt;$R$66-3,217,0)</f>
        <v>217</v>
      </c>
      <c r="DD554" s="1754">
        <f t="shared" si="207"/>
        <v>0</v>
      </c>
      <c r="DE554" s="1754"/>
      <c r="DF554" s="1754"/>
      <c r="DG554" s="1754"/>
      <c r="DH554" s="1754">
        <f t="shared" si="227"/>
        <v>0</v>
      </c>
      <c r="DI554" s="1754"/>
      <c r="DJ554" s="1754"/>
      <c r="DK554" s="1758">
        <f t="shared" si="254"/>
        <v>0</v>
      </c>
      <c r="DL554" s="1759"/>
      <c r="DM554" s="1759"/>
      <c r="DN554" s="1760"/>
      <c r="DP554" s="395">
        <f t="shared" si="228"/>
        <v>217</v>
      </c>
      <c r="DQ554" s="1754">
        <f t="shared" si="240"/>
        <v>0</v>
      </c>
      <c r="DR554" s="1754"/>
      <c r="DS554" s="1754"/>
      <c r="DT554" s="1754"/>
      <c r="DU554" s="1754">
        <f t="shared" si="241"/>
        <v>0</v>
      </c>
      <c r="DV554" s="1754"/>
      <c r="DW554" s="1754"/>
      <c r="DX554" s="1754">
        <f t="shared" si="248"/>
        <v>0</v>
      </c>
      <c r="DY554" s="1754"/>
      <c r="DZ554" s="1754"/>
      <c r="EA554" s="1754">
        <f t="shared" si="249"/>
        <v>0</v>
      </c>
      <c r="EB554" s="1754"/>
      <c r="EC554" s="1754"/>
      <c r="ED554" s="1754"/>
      <c r="EE554" s="384"/>
      <c r="EF554" s="1750">
        <f t="shared" si="221"/>
        <v>0</v>
      </c>
      <c r="EG554" s="1751"/>
      <c r="EH554" s="1751"/>
      <c r="EI554" s="1751"/>
      <c r="EJ554" s="1752"/>
      <c r="EL554" s="1750">
        <f t="shared" si="250"/>
        <v>0</v>
      </c>
      <c r="EM554" s="1751"/>
      <c r="EN554" s="1751"/>
      <c r="EO554" s="1751"/>
      <c r="EP554" s="1752"/>
      <c r="ER554" s="1750">
        <f t="shared" si="222"/>
        <v>0</v>
      </c>
      <c r="ES554" s="1751"/>
      <c r="ET554" s="1751"/>
      <c r="EU554" s="1751"/>
      <c r="EV554" s="1752"/>
      <c r="EX554" s="1750">
        <f>IF(BE554&gt;0,Einstrahlung!$K$10*Kalkulation!$P$62/100*$AY$29*POWER((100-$P$64)/100,BD554-1),0)</f>
        <v>0</v>
      </c>
      <c r="EY554" s="1751"/>
      <c r="EZ554" s="1751"/>
      <c r="FA554" s="1751"/>
      <c r="FB554" s="1752"/>
      <c r="FD554" s="1750">
        <f t="shared" si="229"/>
        <v>0</v>
      </c>
      <c r="FE554" s="1751"/>
      <c r="FF554" s="1751"/>
      <c r="FG554" s="1751"/>
      <c r="FH554" s="1752"/>
      <c r="FI554" s="385"/>
      <c r="FJ554" s="380">
        <f t="shared" si="239"/>
        <v>0</v>
      </c>
      <c r="FK554" s="385"/>
      <c r="FL554" s="380">
        <f>IF(BE554&gt;0,IF($FL$336&gt;SUM($EX$554:$FB$565),SUM($EX$554:$FB$565)/12,$FL$336/12),0)</f>
        <v>0</v>
      </c>
      <c r="FM554" s="385"/>
      <c r="FN554" s="380">
        <f t="shared" si="231"/>
        <v>0</v>
      </c>
      <c r="FO554" s="962">
        <f t="shared" si="237"/>
        <v>346</v>
      </c>
      <c r="FP554" s="956">
        <f t="shared" si="223"/>
        <v>0.4</v>
      </c>
      <c r="FQ554" s="380">
        <f t="shared" si="243"/>
        <v>0</v>
      </c>
      <c r="FR554" s="626">
        <f>IF(AND(GV554&gt;204,GV554&lt;=216),$FR$553,IF(AND(GV554&gt;216,GV554&lt;=228),$FR$565,0))</f>
        <v>1</v>
      </c>
      <c r="FT554" s="1819">
        <f t="shared" si="238"/>
        <v>0</v>
      </c>
      <c r="FU554" s="1820"/>
      <c r="FV554" s="1820"/>
      <c r="FW554" s="1820"/>
      <c r="FX554" s="1821"/>
      <c r="FY554" s="1819">
        <f t="shared" si="233"/>
        <v>0</v>
      </c>
      <c r="FZ554" s="1820"/>
      <c r="GA554" s="1820"/>
      <c r="GB554" s="1821"/>
      <c r="GC554" s="1825">
        <f t="shared" si="253"/>
        <v>0</v>
      </c>
      <c r="GD554" s="1826"/>
      <c r="GE554" s="1826"/>
      <c r="GF554" s="1827"/>
      <c r="GH554" s="1750">
        <f t="shared" si="234"/>
        <v>0</v>
      </c>
      <c r="GI554" s="1751"/>
      <c r="GJ554" s="1751"/>
      <c r="GK554" s="1751"/>
      <c r="GL554" s="1750">
        <f t="shared" si="235"/>
        <v>0</v>
      </c>
      <c r="GM554" s="1751"/>
      <c r="GN554" s="1751"/>
      <c r="GO554" s="1752"/>
      <c r="GP554" s="385"/>
      <c r="GQ554" s="1865">
        <f t="shared" si="236"/>
        <v>0</v>
      </c>
      <c r="GR554" s="1866"/>
      <c r="GS554" s="1866"/>
      <c r="GT554" s="1867"/>
      <c r="GU554" s="192">
        <f t="shared" si="242"/>
        <v>1</v>
      </c>
      <c r="GV554" s="192">
        <f>SUM($GU$337:GU554)</f>
        <v>210</v>
      </c>
      <c r="GW554" s="318"/>
      <c r="HN554" s="380">
        <f t="shared" si="255"/>
        <v>0</v>
      </c>
      <c r="HX554" s="380"/>
    </row>
    <row r="555" spans="4:232">
      <c r="D555" s="313"/>
      <c r="E555" s="247"/>
      <c r="F555" s="247"/>
      <c r="G555" s="247"/>
      <c r="H555" s="247"/>
      <c r="I555" s="247"/>
      <c r="J555" s="428">
        <f>'Endfälliges Darlehen'!AV57</f>
        <v>0</v>
      </c>
      <c r="K555" s="429"/>
      <c r="L555" s="429"/>
      <c r="M555" s="429"/>
      <c r="N555" s="429"/>
      <c r="O555" s="430"/>
      <c r="BD555" s="387">
        <f t="shared" si="256"/>
        <v>18</v>
      </c>
      <c r="BE555" s="382">
        <f>IF(BD555&gt;0,218,0)</f>
        <v>218</v>
      </c>
      <c r="BG555" s="383">
        <f>IF($BE555&gt;$R$66-3+($BR$335*12),218,0)</f>
        <v>218</v>
      </c>
      <c r="BH555" s="1754">
        <f t="shared" si="257"/>
        <v>0</v>
      </c>
      <c r="BI555" s="1754"/>
      <c r="BJ555" s="1754"/>
      <c r="BK555" s="1754"/>
      <c r="BL555" s="1754">
        <f t="shared" si="224"/>
        <v>0</v>
      </c>
      <c r="BM555" s="1754"/>
      <c r="BN555" s="1754"/>
      <c r="BO555" s="1754">
        <f t="shared" si="214"/>
        <v>0</v>
      </c>
      <c r="BP555" s="1754"/>
      <c r="BQ555" s="1754"/>
      <c r="BR555" s="1754">
        <f t="shared" si="258"/>
        <v>0</v>
      </c>
      <c r="BS555" s="1754"/>
      <c r="BT555" s="1754"/>
      <c r="BU555" s="1754"/>
      <c r="BW555" s="383">
        <f>IF($BE555&gt;$R$66-3+($CH$335*12),218,0)</f>
        <v>218</v>
      </c>
      <c r="BX555" s="1754">
        <f t="shared" si="205"/>
        <v>0</v>
      </c>
      <c r="BY555" s="1754"/>
      <c r="BZ555" s="1754"/>
      <c r="CA555" s="1754"/>
      <c r="CB555" s="1754">
        <f t="shared" si="225"/>
        <v>0</v>
      </c>
      <c r="CC555" s="1754"/>
      <c r="CD555" s="1754"/>
      <c r="CE555" s="1754">
        <f t="shared" si="216"/>
        <v>0</v>
      </c>
      <c r="CF555" s="1754"/>
      <c r="CG555" s="1754"/>
      <c r="CH555" s="1754">
        <f t="shared" si="217"/>
        <v>0</v>
      </c>
      <c r="CI555" s="1754"/>
      <c r="CJ555" s="1754"/>
      <c r="CK555" s="1754"/>
      <c r="CM555" s="383">
        <f>IF($BE555&gt;$R$66-3+($CX$335*12),218,0)</f>
        <v>218</v>
      </c>
      <c r="CN555" s="1754">
        <f t="shared" si="206"/>
        <v>0</v>
      </c>
      <c r="CO555" s="1754"/>
      <c r="CP555" s="1754"/>
      <c r="CQ555" s="1754"/>
      <c r="CR555" s="1754">
        <f t="shared" si="226"/>
        <v>0</v>
      </c>
      <c r="CS555" s="1754"/>
      <c r="CT555" s="1754"/>
      <c r="CU555" s="1754">
        <f t="shared" si="218"/>
        <v>0</v>
      </c>
      <c r="CV555" s="1754"/>
      <c r="CW555" s="1754"/>
      <c r="CX555" s="1754">
        <f t="shared" si="219"/>
        <v>0</v>
      </c>
      <c r="CY555" s="1754"/>
      <c r="CZ555" s="1754"/>
      <c r="DA555" s="1754"/>
      <c r="DC555" s="383">
        <f>IF($BE555&gt;$R$66-3,218,0)</f>
        <v>218</v>
      </c>
      <c r="DD555" s="1754">
        <f t="shared" si="207"/>
        <v>0</v>
      </c>
      <c r="DE555" s="1754"/>
      <c r="DF555" s="1754"/>
      <c r="DG555" s="1754"/>
      <c r="DH555" s="1754">
        <f t="shared" si="227"/>
        <v>0</v>
      </c>
      <c r="DI555" s="1754"/>
      <c r="DJ555" s="1754"/>
      <c r="DK555" s="1747">
        <f t="shared" si="254"/>
        <v>0</v>
      </c>
      <c r="DL555" s="1748"/>
      <c r="DM555" s="1748"/>
      <c r="DN555" s="1749"/>
      <c r="DP555" s="383">
        <f t="shared" si="228"/>
        <v>218</v>
      </c>
      <c r="DQ555" s="1754">
        <f t="shared" si="240"/>
        <v>0</v>
      </c>
      <c r="DR555" s="1754"/>
      <c r="DS555" s="1754"/>
      <c r="DT555" s="1754"/>
      <c r="DU555" s="1754">
        <f t="shared" si="241"/>
        <v>0</v>
      </c>
      <c r="DV555" s="1754"/>
      <c r="DW555" s="1754"/>
      <c r="DX555" s="1754">
        <f t="shared" si="248"/>
        <v>0</v>
      </c>
      <c r="DY555" s="1754"/>
      <c r="DZ555" s="1754"/>
      <c r="EA555" s="1754">
        <f t="shared" si="249"/>
        <v>0</v>
      </c>
      <c r="EB555" s="1754"/>
      <c r="EC555" s="1754"/>
      <c r="ED555" s="1754"/>
      <c r="EE555" s="384"/>
      <c r="EF555" s="1750">
        <f t="shared" si="221"/>
        <v>0</v>
      </c>
      <c r="EG555" s="1751"/>
      <c r="EH555" s="1751"/>
      <c r="EI555" s="1751"/>
      <c r="EJ555" s="1752"/>
      <c r="EL555" s="1750">
        <f t="shared" si="250"/>
        <v>0</v>
      </c>
      <c r="EM555" s="1751"/>
      <c r="EN555" s="1751"/>
      <c r="EO555" s="1751"/>
      <c r="EP555" s="1752"/>
      <c r="ER555" s="1750">
        <f t="shared" si="222"/>
        <v>0</v>
      </c>
      <c r="ES555" s="1751"/>
      <c r="ET555" s="1751"/>
      <c r="EU555" s="1751"/>
      <c r="EV555" s="1752"/>
      <c r="EX555" s="1750">
        <f>IF(BE555&gt;0,Einstrahlung!$K$12*Kalkulation!$P$62/100*$AY$29*POWER((100-$P$64)/100,BD555-1),0)</f>
        <v>0</v>
      </c>
      <c r="EY555" s="1751"/>
      <c r="EZ555" s="1751"/>
      <c r="FA555" s="1751"/>
      <c r="FB555" s="1752"/>
      <c r="FD555" s="1750">
        <f t="shared" si="229"/>
        <v>0</v>
      </c>
      <c r="FE555" s="1751"/>
      <c r="FF555" s="1751"/>
      <c r="FG555" s="1751"/>
      <c r="FH555" s="1752"/>
      <c r="FI555" s="385"/>
      <c r="FJ555" s="380">
        <f t="shared" si="239"/>
        <v>0</v>
      </c>
      <c r="FK555" s="385"/>
      <c r="FL555" s="380">
        <f t="shared" ref="FL555:FL565" si="259">IF(BE555&gt;0,IF($FL$336&gt;SUM($EX$554:$FB$565),SUM($EX$554:$FB$565)/12,$FL$336/12),0)</f>
        <v>0</v>
      </c>
      <c r="FM555" s="385"/>
      <c r="FN555" s="380">
        <f t="shared" si="231"/>
        <v>0</v>
      </c>
      <c r="FO555" s="962">
        <f t="shared" si="237"/>
        <v>347</v>
      </c>
      <c r="FP555" s="956">
        <f t="shared" si="223"/>
        <v>0.4</v>
      </c>
      <c r="FQ555" s="380">
        <f t="shared" si="243"/>
        <v>0</v>
      </c>
      <c r="FR555" s="626">
        <f t="shared" ref="FR555:FR564" si="260">IF(AND(GV555&gt;204,GV555&lt;=216),$FR$553,IF(AND(GV555&gt;216,GV555&lt;=228),$FR$565,0))</f>
        <v>1</v>
      </c>
      <c r="FT555" s="1819">
        <f t="shared" si="238"/>
        <v>0</v>
      </c>
      <c r="FU555" s="1820"/>
      <c r="FV555" s="1820"/>
      <c r="FW555" s="1820"/>
      <c r="FX555" s="1821"/>
      <c r="FY555" s="1819">
        <f t="shared" si="233"/>
        <v>0</v>
      </c>
      <c r="FZ555" s="1820"/>
      <c r="GA555" s="1820"/>
      <c r="GB555" s="1821"/>
      <c r="GC555" s="1825">
        <f t="shared" si="253"/>
        <v>0</v>
      </c>
      <c r="GD555" s="1826"/>
      <c r="GE555" s="1826"/>
      <c r="GF555" s="1827"/>
      <c r="GH555" s="1750">
        <f t="shared" si="234"/>
        <v>0</v>
      </c>
      <c r="GI555" s="1751"/>
      <c r="GJ555" s="1751"/>
      <c r="GK555" s="1752"/>
      <c r="GL555" s="1750">
        <f t="shared" si="235"/>
        <v>0</v>
      </c>
      <c r="GM555" s="1751"/>
      <c r="GN555" s="1751"/>
      <c r="GO555" s="1752"/>
      <c r="GP555" s="385"/>
      <c r="GQ555" s="1750">
        <f t="shared" si="236"/>
        <v>0</v>
      </c>
      <c r="GR555" s="1751"/>
      <c r="GS555" s="1751"/>
      <c r="GT555" s="1752"/>
      <c r="GU555" s="192">
        <f t="shared" si="242"/>
        <v>1</v>
      </c>
      <c r="GV555" s="192">
        <f>SUM($GU$337:GU555)</f>
        <v>211</v>
      </c>
      <c r="GW555" s="318"/>
      <c r="HN555" s="380">
        <f t="shared" si="255"/>
        <v>0</v>
      </c>
      <c r="HX555" s="380"/>
    </row>
    <row r="556" spans="4:232">
      <c r="D556" s="409">
        <v>24</v>
      </c>
      <c r="E556" s="318"/>
      <c r="F556" s="428">
        <f>BR637</f>
        <v>0</v>
      </c>
      <c r="G556" s="428">
        <f>CH637</f>
        <v>0</v>
      </c>
      <c r="H556" s="428">
        <f>CX637</f>
        <v>0</v>
      </c>
      <c r="I556" s="247"/>
      <c r="J556" s="247"/>
      <c r="K556" s="429">
        <f>IF(AND(F556&gt;0,F559=0),$D556,0)</f>
        <v>0</v>
      </c>
      <c r="L556" s="429">
        <f>IF(AND(G556&gt;0,G559=0),$D556,0)</f>
        <v>0</v>
      </c>
      <c r="N556" s="429">
        <f>IF(AND(H556&gt;0,H559=0),$D556,0)</f>
        <v>0</v>
      </c>
      <c r="O556" s="430"/>
      <c r="Q556" s="1674">
        <f>IF($V$21=24,F556,0)</f>
        <v>0</v>
      </c>
      <c r="R556" s="1674"/>
      <c r="S556" s="1674"/>
      <c r="T556" s="1674">
        <f>IF($V$21=24,G556,0)</f>
        <v>0</v>
      </c>
      <c r="U556" s="1674"/>
      <c r="V556" s="1674"/>
      <c r="W556" s="1674">
        <f>IF($V$21=24,H556,0)</f>
        <v>0</v>
      </c>
      <c r="X556" s="1674"/>
      <c r="Y556" s="1674"/>
      <c r="Z556" s="1674"/>
      <c r="BD556" s="387">
        <f t="shared" si="256"/>
        <v>18</v>
      </c>
      <c r="BE556" s="382">
        <f>IF(BD556&gt;0,219,0)</f>
        <v>219</v>
      </c>
      <c r="BG556" s="383">
        <f>IF($BE556&gt;$R$66-3+($BR$335*12),219,0)</f>
        <v>219</v>
      </c>
      <c r="BH556" s="1754">
        <f t="shared" si="257"/>
        <v>0</v>
      </c>
      <c r="BI556" s="1754"/>
      <c r="BJ556" s="1754"/>
      <c r="BK556" s="1754"/>
      <c r="BL556" s="1754">
        <f t="shared" si="224"/>
        <v>0</v>
      </c>
      <c r="BM556" s="1754"/>
      <c r="BN556" s="1754"/>
      <c r="BO556" s="1754">
        <f t="shared" si="214"/>
        <v>0</v>
      </c>
      <c r="BP556" s="1754"/>
      <c r="BQ556" s="1754"/>
      <c r="BR556" s="1754">
        <f t="shared" si="258"/>
        <v>0</v>
      </c>
      <c r="BS556" s="1754"/>
      <c r="BT556" s="1754"/>
      <c r="BU556" s="1754"/>
      <c r="BW556" s="383">
        <f>IF($BE556&gt;$R$66-3+($CH$335*12),219,0)</f>
        <v>219</v>
      </c>
      <c r="BX556" s="1754">
        <f t="shared" si="205"/>
        <v>0</v>
      </c>
      <c r="BY556" s="1754"/>
      <c r="BZ556" s="1754"/>
      <c r="CA556" s="1754"/>
      <c r="CB556" s="1754">
        <f t="shared" si="225"/>
        <v>0</v>
      </c>
      <c r="CC556" s="1754"/>
      <c r="CD556" s="1754"/>
      <c r="CE556" s="1754">
        <f t="shared" si="216"/>
        <v>0</v>
      </c>
      <c r="CF556" s="1754"/>
      <c r="CG556" s="1754"/>
      <c r="CH556" s="1754">
        <f t="shared" si="217"/>
        <v>0</v>
      </c>
      <c r="CI556" s="1754"/>
      <c r="CJ556" s="1754"/>
      <c r="CK556" s="1754"/>
      <c r="CM556" s="383">
        <f>IF($BE556&gt;$R$66-3+($CX$335*12),219,0)</f>
        <v>219</v>
      </c>
      <c r="CN556" s="1754">
        <f t="shared" si="206"/>
        <v>0</v>
      </c>
      <c r="CO556" s="1754"/>
      <c r="CP556" s="1754"/>
      <c r="CQ556" s="1754"/>
      <c r="CR556" s="1754">
        <f t="shared" si="226"/>
        <v>0</v>
      </c>
      <c r="CS556" s="1754"/>
      <c r="CT556" s="1754"/>
      <c r="CU556" s="1754">
        <f t="shared" si="218"/>
        <v>0</v>
      </c>
      <c r="CV556" s="1754"/>
      <c r="CW556" s="1754"/>
      <c r="CX556" s="1754">
        <f t="shared" si="219"/>
        <v>0</v>
      </c>
      <c r="CY556" s="1754"/>
      <c r="CZ556" s="1754"/>
      <c r="DA556" s="1754"/>
      <c r="DC556" s="383">
        <f>IF($BE556&gt;$R$66-3,219,0)</f>
        <v>219</v>
      </c>
      <c r="DD556" s="1754">
        <f t="shared" si="207"/>
        <v>0</v>
      </c>
      <c r="DE556" s="1754"/>
      <c r="DF556" s="1754"/>
      <c r="DG556" s="1754"/>
      <c r="DH556" s="1754">
        <f t="shared" si="227"/>
        <v>0</v>
      </c>
      <c r="DI556" s="1754"/>
      <c r="DJ556" s="1754"/>
      <c r="DK556" s="1747">
        <f t="shared" si="254"/>
        <v>0</v>
      </c>
      <c r="DL556" s="1748"/>
      <c r="DM556" s="1748"/>
      <c r="DN556" s="1749"/>
      <c r="DP556" s="383">
        <f t="shared" si="228"/>
        <v>219</v>
      </c>
      <c r="DQ556" s="1754">
        <f t="shared" si="240"/>
        <v>0</v>
      </c>
      <c r="DR556" s="1754"/>
      <c r="DS556" s="1754"/>
      <c r="DT556" s="1754"/>
      <c r="DU556" s="1754">
        <f t="shared" si="241"/>
        <v>0</v>
      </c>
      <c r="DV556" s="1754"/>
      <c r="DW556" s="1754"/>
      <c r="DX556" s="1754">
        <f t="shared" si="248"/>
        <v>0</v>
      </c>
      <c r="DY556" s="1754"/>
      <c r="DZ556" s="1754"/>
      <c r="EA556" s="1754">
        <f t="shared" si="249"/>
        <v>0</v>
      </c>
      <c r="EB556" s="1754"/>
      <c r="EC556" s="1754"/>
      <c r="ED556" s="1754"/>
      <c r="EE556" s="384"/>
      <c r="EF556" s="1750">
        <f t="shared" si="221"/>
        <v>0</v>
      </c>
      <c r="EG556" s="1751"/>
      <c r="EH556" s="1751"/>
      <c r="EI556" s="1751"/>
      <c r="EJ556" s="1752"/>
      <c r="EL556" s="1750">
        <f t="shared" si="250"/>
        <v>0</v>
      </c>
      <c r="EM556" s="1751"/>
      <c r="EN556" s="1751"/>
      <c r="EO556" s="1751"/>
      <c r="EP556" s="1752"/>
      <c r="ER556" s="1750">
        <f t="shared" si="222"/>
        <v>0</v>
      </c>
      <c r="ES556" s="1751"/>
      <c r="ET556" s="1751"/>
      <c r="EU556" s="1751"/>
      <c r="EV556" s="1752"/>
      <c r="EX556" s="1750">
        <f>IF(BE556&gt;0,Einstrahlung!$K$14*Kalkulation!$P$62/100*$AY$29*POWER((100-$P$64)/100,BD556-1),0)</f>
        <v>0</v>
      </c>
      <c r="EY556" s="1751"/>
      <c r="EZ556" s="1751"/>
      <c r="FA556" s="1751"/>
      <c r="FB556" s="1752"/>
      <c r="FD556" s="1750">
        <f t="shared" si="229"/>
        <v>0</v>
      </c>
      <c r="FE556" s="1751"/>
      <c r="FF556" s="1751"/>
      <c r="FG556" s="1751"/>
      <c r="FH556" s="1752"/>
      <c r="FI556" s="385"/>
      <c r="FJ556" s="380">
        <f t="shared" si="239"/>
        <v>0</v>
      </c>
      <c r="FK556" s="385"/>
      <c r="FL556" s="380">
        <f t="shared" si="259"/>
        <v>0</v>
      </c>
      <c r="FM556" s="385"/>
      <c r="FN556" s="380">
        <f t="shared" si="231"/>
        <v>0</v>
      </c>
      <c r="FO556" s="962">
        <f t="shared" si="237"/>
        <v>348</v>
      </c>
      <c r="FP556" s="956">
        <f t="shared" si="223"/>
        <v>0.4</v>
      </c>
      <c r="FQ556" s="380">
        <f t="shared" si="243"/>
        <v>0</v>
      </c>
      <c r="FR556" s="626">
        <f t="shared" si="260"/>
        <v>1</v>
      </c>
      <c r="FT556" s="1819">
        <f t="shared" si="238"/>
        <v>0</v>
      </c>
      <c r="FU556" s="1820"/>
      <c r="FV556" s="1820"/>
      <c r="FW556" s="1820"/>
      <c r="FX556" s="1821"/>
      <c r="FY556" s="1819">
        <f t="shared" si="233"/>
        <v>0</v>
      </c>
      <c r="FZ556" s="1820"/>
      <c r="GA556" s="1820"/>
      <c r="GB556" s="1821"/>
      <c r="GC556" s="1825">
        <f t="shared" si="253"/>
        <v>0</v>
      </c>
      <c r="GD556" s="1826"/>
      <c r="GE556" s="1826"/>
      <c r="GF556" s="1827"/>
      <c r="GH556" s="1750">
        <f t="shared" si="234"/>
        <v>0</v>
      </c>
      <c r="GI556" s="1751"/>
      <c r="GJ556" s="1751"/>
      <c r="GK556" s="1752"/>
      <c r="GL556" s="1750">
        <f t="shared" si="235"/>
        <v>0</v>
      </c>
      <c r="GM556" s="1751"/>
      <c r="GN556" s="1751"/>
      <c r="GO556" s="1752"/>
      <c r="GP556" s="385"/>
      <c r="GQ556" s="1750">
        <f t="shared" si="236"/>
        <v>0</v>
      </c>
      <c r="GR556" s="1751"/>
      <c r="GS556" s="1751"/>
      <c r="GT556" s="1752"/>
      <c r="GU556" s="192">
        <f t="shared" si="242"/>
        <v>1</v>
      </c>
      <c r="GV556" s="192">
        <f>SUM($GU$337:GU556)</f>
        <v>212</v>
      </c>
      <c r="GW556" s="318"/>
      <c r="HN556" s="380">
        <f t="shared" si="255"/>
        <v>0</v>
      </c>
      <c r="HX556" s="380"/>
    </row>
    <row r="557" spans="4:232">
      <c r="D557" s="313"/>
      <c r="E557" s="247"/>
      <c r="F557" s="247"/>
      <c r="G557" s="247"/>
      <c r="H557" s="247"/>
      <c r="I557" s="428">
        <f>'Endfälliges Darlehen'!AG59</f>
        <v>0</v>
      </c>
      <c r="J557" s="247"/>
      <c r="K557" s="429"/>
      <c r="L557" s="429"/>
      <c r="M557" s="429"/>
      <c r="N557" s="429"/>
      <c r="O557" s="430">
        <f>IF(AND(I557&gt;0,I560=0),$D556,0)</f>
        <v>0</v>
      </c>
      <c r="BD557" s="387">
        <f t="shared" si="256"/>
        <v>18</v>
      </c>
      <c r="BE557" s="382">
        <f>IF(BD557&gt;0,220,0)</f>
        <v>220</v>
      </c>
      <c r="BG557" s="383">
        <f>IF($BE557&gt;$R$66-3+($BR$335*12),220,0)</f>
        <v>220</v>
      </c>
      <c r="BH557" s="1754">
        <f t="shared" si="257"/>
        <v>0</v>
      </c>
      <c r="BI557" s="1754"/>
      <c r="BJ557" s="1754"/>
      <c r="BK557" s="1754"/>
      <c r="BL557" s="1754">
        <f t="shared" si="224"/>
        <v>0</v>
      </c>
      <c r="BM557" s="1754"/>
      <c r="BN557" s="1754"/>
      <c r="BO557" s="1754">
        <f t="shared" si="214"/>
        <v>0</v>
      </c>
      <c r="BP557" s="1754"/>
      <c r="BQ557" s="1754"/>
      <c r="BR557" s="1754">
        <f t="shared" si="258"/>
        <v>0</v>
      </c>
      <c r="BS557" s="1754"/>
      <c r="BT557" s="1754"/>
      <c r="BU557" s="1754"/>
      <c r="BW557" s="383">
        <f>IF($BE557&gt;$R$66-3+($CH$335*12),220,0)</f>
        <v>220</v>
      </c>
      <c r="BX557" s="1754">
        <f t="shared" si="205"/>
        <v>0</v>
      </c>
      <c r="BY557" s="1754"/>
      <c r="BZ557" s="1754"/>
      <c r="CA557" s="1754"/>
      <c r="CB557" s="1754">
        <f t="shared" si="225"/>
        <v>0</v>
      </c>
      <c r="CC557" s="1754"/>
      <c r="CD557" s="1754"/>
      <c r="CE557" s="1754">
        <f t="shared" si="216"/>
        <v>0</v>
      </c>
      <c r="CF557" s="1754"/>
      <c r="CG557" s="1754"/>
      <c r="CH557" s="1754">
        <f t="shared" si="217"/>
        <v>0</v>
      </c>
      <c r="CI557" s="1754"/>
      <c r="CJ557" s="1754"/>
      <c r="CK557" s="1754"/>
      <c r="CM557" s="383">
        <f>IF($BE557&gt;$R$66-3+($CX$335*12),220,0)</f>
        <v>220</v>
      </c>
      <c r="CN557" s="1754">
        <f t="shared" si="206"/>
        <v>0</v>
      </c>
      <c r="CO557" s="1754"/>
      <c r="CP557" s="1754"/>
      <c r="CQ557" s="1754"/>
      <c r="CR557" s="1754">
        <f t="shared" si="226"/>
        <v>0</v>
      </c>
      <c r="CS557" s="1754"/>
      <c r="CT557" s="1754"/>
      <c r="CU557" s="1754">
        <f t="shared" si="218"/>
        <v>0</v>
      </c>
      <c r="CV557" s="1754"/>
      <c r="CW557" s="1754"/>
      <c r="CX557" s="1754">
        <f t="shared" si="219"/>
        <v>0</v>
      </c>
      <c r="CY557" s="1754"/>
      <c r="CZ557" s="1754"/>
      <c r="DA557" s="1754"/>
      <c r="DC557" s="383">
        <f>IF($BE557&gt;$R$66-3,220,0)</f>
        <v>220</v>
      </c>
      <c r="DD557" s="1754">
        <f t="shared" si="207"/>
        <v>0</v>
      </c>
      <c r="DE557" s="1754"/>
      <c r="DF557" s="1754"/>
      <c r="DG557" s="1754"/>
      <c r="DH557" s="1754">
        <f t="shared" si="227"/>
        <v>0</v>
      </c>
      <c r="DI557" s="1754"/>
      <c r="DJ557" s="1754"/>
      <c r="DK557" s="1747">
        <f t="shared" si="254"/>
        <v>0</v>
      </c>
      <c r="DL557" s="1748"/>
      <c r="DM557" s="1748"/>
      <c r="DN557" s="1749"/>
      <c r="DP557" s="383">
        <f t="shared" si="228"/>
        <v>220</v>
      </c>
      <c r="DQ557" s="1754">
        <f t="shared" si="240"/>
        <v>0</v>
      </c>
      <c r="DR557" s="1754"/>
      <c r="DS557" s="1754"/>
      <c r="DT557" s="1754"/>
      <c r="DU557" s="1754">
        <f t="shared" si="241"/>
        <v>0</v>
      </c>
      <c r="DV557" s="1754"/>
      <c r="DW557" s="1754"/>
      <c r="DX557" s="1754">
        <f t="shared" si="248"/>
        <v>0</v>
      </c>
      <c r="DY557" s="1754"/>
      <c r="DZ557" s="1754"/>
      <c r="EA557" s="1754">
        <f t="shared" si="249"/>
        <v>0</v>
      </c>
      <c r="EB557" s="1754"/>
      <c r="EC557" s="1754"/>
      <c r="ED557" s="1754"/>
      <c r="EE557" s="384"/>
      <c r="EF557" s="1750">
        <f t="shared" si="221"/>
        <v>0</v>
      </c>
      <c r="EG557" s="1751"/>
      <c r="EH557" s="1751"/>
      <c r="EI557" s="1751"/>
      <c r="EJ557" s="1752"/>
      <c r="EL557" s="1750">
        <f t="shared" si="250"/>
        <v>0</v>
      </c>
      <c r="EM557" s="1751"/>
      <c r="EN557" s="1751"/>
      <c r="EO557" s="1751"/>
      <c r="EP557" s="1752"/>
      <c r="ER557" s="1750">
        <f t="shared" si="222"/>
        <v>0</v>
      </c>
      <c r="ES557" s="1751"/>
      <c r="ET557" s="1751"/>
      <c r="EU557" s="1751"/>
      <c r="EV557" s="1752"/>
      <c r="EX557" s="1750">
        <f>IF(BE557&gt;0,Einstrahlung!$K$16*Kalkulation!$P$62/100*$AY$29*POWER((100-$P$64)/100,BD557-1),0)</f>
        <v>0</v>
      </c>
      <c r="EY557" s="1751"/>
      <c r="EZ557" s="1751"/>
      <c r="FA557" s="1751"/>
      <c r="FB557" s="1752"/>
      <c r="FD557" s="1750">
        <f t="shared" si="229"/>
        <v>0</v>
      </c>
      <c r="FE557" s="1751"/>
      <c r="FF557" s="1751"/>
      <c r="FG557" s="1751"/>
      <c r="FH557" s="1752"/>
      <c r="FI557" s="385"/>
      <c r="FJ557" s="380">
        <f t="shared" si="239"/>
        <v>0</v>
      </c>
      <c r="FK557" s="385"/>
      <c r="FL557" s="380">
        <f t="shared" si="259"/>
        <v>0</v>
      </c>
      <c r="FM557" s="385"/>
      <c r="FN557" s="380">
        <f t="shared" si="231"/>
        <v>0</v>
      </c>
      <c r="FO557" s="962">
        <f t="shared" si="237"/>
        <v>349</v>
      </c>
      <c r="FP557" s="956">
        <f t="shared" si="223"/>
        <v>0.4</v>
      </c>
      <c r="FQ557" s="380">
        <f t="shared" si="243"/>
        <v>0</v>
      </c>
      <c r="FR557" s="626">
        <f t="shared" si="260"/>
        <v>1</v>
      </c>
      <c r="FT557" s="1819">
        <f t="shared" si="238"/>
        <v>0</v>
      </c>
      <c r="FU557" s="1820"/>
      <c r="FV557" s="1820"/>
      <c r="FW557" s="1820"/>
      <c r="FX557" s="1821"/>
      <c r="FY557" s="1819">
        <f t="shared" si="233"/>
        <v>0</v>
      </c>
      <c r="FZ557" s="1820"/>
      <c r="GA557" s="1820"/>
      <c r="GB557" s="1821"/>
      <c r="GC557" s="1825">
        <f t="shared" si="253"/>
        <v>0</v>
      </c>
      <c r="GD557" s="1826"/>
      <c r="GE557" s="1826"/>
      <c r="GF557" s="1827"/>
      <c r="GH557" s="1750">
        <f t="shared" si="234"/>
        <v>0</v>
      </c>
      <c r="GI557" s="1751"/>
      <c r="GJ557" s="1751"/>
      <c r="GK557" s="1752"/>
      <c r="GL557" s="1750">
        <f t="shared" si="235"/>
        <v>0</v>
      </c>
      <c r="GM557" s="1751"/>
      <c r="GN557" s="1751"/>
      <c r="GO557" s="1752"/>
      <c r="GP557" s="385"/>
      <c r="GQ557" s="1750">
        <f t="shared" si="236"/>
        <v>0</v>
      </c>
      <c r="GR557" s="1751"/>
      <c r="GS557" s="1751"/>
      <c r="GT557" s="1752"/>
      <c r="GU557" s="192">
        <f t="shared" si="242"/>
        <v>1</v>
      </c>
      <c r="GV557" s="192">
        <f>SUM($GU$337:GU557)</f>
        <v>213</v>
      </c>
      <c r="GW557" s="318"/>
      <c r="HN557" s="380">
        <f t="shared" si="255"/>
        <v>0</v>
      </c>
      <c r="HX557" s="380"/>
    </row>
    <row r="558" spans="4:232">
      <c r="D558" s="313"/>
      <c r="E558" s="247"/>
      <c r="F558" s="247"/>
      <c r="G558" s="247"/>
      <c r="H558" s="247"/>
      <c r="I558" s="247"/>
      <c r="J558" s="428">
        <f>'Endfälliges Darlehen'!AV59</f>
        <v>0</v>
      </c>
      <c r="K558" s="429"/>
      <c r="L558" s="429"/>
      <c r="M558" s="429"/>
      <c r="N558" s="429"/>
      <c r="O558" s="430"/>
      <c r="BD558" s="387">
        <f t="shared" si="256"/>
        <v>18</v>
      </c>
      <c r="BE558" s="382">
        <f>IF(BD558&gt;0,221,0)</f>
        <v>221</v>
      </c>
      <c r="BG558" s="383">
        <f>IF($BE558&gt;$R$66-3+($BR$335*12),221,0)</f>
        <v>221</v>
      </c>
      <c r="BH558" s="1754">
        <f t="shared" si="257"/>
        <v>0</v>
      </c>
      <c r="BI558" s="1754"/>
      <c r="BJ558" s="1754"/>
      <c r="BK558" s="1754"/>
      <c r="BL558" s="1754">
        <f t="shared" si="224"/>
        <v>0</v>
      </c>
      <c r="BM558" s="1754"/>
      <c r="BN558" s="1754"/>
      <c r="BO558" s="1754">
        <f t="shared" si="214"/>
        <v>0</v>
      </c>
      <c r="BP558" s="1754"/>
      <c r="BQ558" s="1754"/>
      <c r="BR558" s="1754">
        <f t="shared" si="258"/>
        <v>0</v>
      </c>
      <c r="BS558" s="1754"/>
      <c r="BT558" s="1754"/>
      <c r="BU558" s="1754"/>
      <c r="BW558" s="383">
        <f>IF($BE558&gt;$R$66-3+($CH$335*12),221,0)</f>
        <v>221</v>
      </c>
      <c r="BX558" s="1754">
        <f t="shared" si="205"/>
        <v>0</v>
      </c>
      <c r="BY558" s="1754"/>
      <c r="BZ558" s="1754"/>
      <c r="CA558" s="1754"/>
      <c r="CB558" s="1754">
        <f t="shared" si="225"/>
        <v>0</v>
      </c>
      <c r="CC558" s="1754"/>
      <c r="CD558" s="1754"/>
      <c r="CE558" s="1754">
        <f t="shared" si="216"/>
        <v>0</v>
      </c>
      <c r="CF558" s="1754"/>
      <c r="CG558" s="1754"/>
      <c r="CH558" s="1754">
        <f t="shared" si="217"/>
        <v>0</v>
      </c>
      <c r="CI558" s="1754"/>
      <c r="CJ558" s="1754"/>
      <c r="CK558" s="1754"/>
      <c r="CM558" s="383">
        <f>IF($BE558&gt;$R$66-3+($CX$335*12),221,0)</f>
        <v>221</v>
      </c>
      <c r="CN558" s="1754">
        <f t="shared" si="206"/>
        <v>0</v>
      </c>
      <c r="CO558" s="1754"/>
      <c r="CP558" s="1754"/>
      <c r="CQ558" s="1754"/>
      <c r="CR558" s="1754">
        <f t="shared" si="226"/>
        <v>0</v>
      </c>
      <c r="CS558" s="1754"/>
      <c r="CT558" s="1754"/>
      <c r="CU558" s="1754">
        <f t="shared" si="218"/>
        <v>0</v>
      </c>
      <c r="CV558" s="1754"/>
      <c r="CW558" s="1754"/>
      <c r="CX558" s="1754">
        <f t="shared" si="219"/>
        <v>0</v>
      </c>
      <c r="CY558" s="1754"/>
      <c r="CZ558" s="1754"/>
      <c r="DA558" s="1754"/>
      <c r="DC558" s="383">
        <f>IF($BE558&gt;$R$66-3,221,0)</f>
        <v>221</v>
      </c>
      <c r="DD558" s="1754">
        <f t="shared" si="207"/>
        <v>0</v>
      </c>
      <c r="DE558" s="1754"/>
      <c r="DF558" s="1754"/>
      <c r="DG558" s="1754"/>
      <c r="DH558" s="1754">
        <f t="shared" si="227"/>
        <v>0</v>
      </c>
      <c r="DI558" s="1754"/>
      <c r="DJ558" s="1754"/>
      <c r="DK558" s="1747">
        <f t="shared" si="254"/>
        <v>0</v>
      </c>
      <c r="DL558" s="1748"/>
      <c r="DM558" s="1748"/>
      <c r="DN558" s="1749"/>
      <c r="DP558" s="383">
        <f t="shared" si="228"/>
        <v>221</v>
      </c>
      <c r="DQ558" s="1754">
        <f t="shared" si="240"/>
        <v>0</v>
      </c>
      <c r="DR558" s="1754"/>
      <c r="DS558" s="1754"/>
      <c r="DT558" s="1754"/>
      <c r="DU558" s="1754">
        <f t="shared" si="241"/>
        <v>0</v>
      </c>
      <c r="DV558" s="1754"/>
      <c r="DW558" s="1754"/>
      <c r="DX558" s="1754">
        <f t="shared" si="248"/>
        <v>0</v>
      </c>
      <c r="DY558" s="1754"/>
      <c r="DZ558" s="1754"/>
      <c r="EA558" s="1754">
        <f t="shared" si="249"/>
        <v>0</v>
      </c>
      <c r="EB558" s="1754"/>
      <c r="EC558" s="1754"/>
      <c r="ED558" s="1754"/>
      <c r="EE558" s="384"/>
      <c r="EF558" s="1750">
        <f t="shared" si="221"/>
        <v>0</v>
      </c>
      <c r="EG558" s="1751"/>
      <c r="EH558" s="1751"/>
      <c r="EI558" s="1751"/>
      <c r="EJ558" s="1752"/>
      <c r="EL558" s="1750">
        <f t="shared" si="250"/>
        <v>0</v>
      </c>
      <c r="EM558" s="1751"/>
      <c r="EN558" s="1751"/>
      <c r="EO558" s="1751"/>
      <c r="EP558" s="1752"/>
      <c r="ER558" s="1750">
        <f t="shared" si="222"/>
        <v>0</v>
      </c>
      <c r="ES558" s="1751"/>
      <c r="ET558" s="1751"/>
      <c r="EU558" s="1751"/>
      <c r="EV558" s="1752"/>
      <c r="EX558" s="1750">
        <f>IF(BE558&gt;0,Einstrahlung!$K$18*Kalkulation!$P$62/100*$AY$29*POWER((100-$P$64)/100,BD558-1),0)</f>
        <v>0</v>
      </c>
      <c r="EY558" s="1751"/>
      <c r="EZ558" s="1751"/>
      <c r="FA558" s="1751"/>
      <c r="FB558" s="1752"/>
      <c r="FD558" s="1750">
        <f t="shared" si="229"/>
        <v>0</v>
      </c>
      <c r="FE558" s="1751"/>
      <c r="FF558" s="1751"/>
      <c r="FG558" s="1751"/>
      <c r="FH558" s="1752"/>
      <c r="FI558" s="385"/>
      <c r="FJ558" s="380">
        <f t="shared" si="239"/>
        <v>0</v>
      </c>
      <c r="FK558" s="385"/>
      <c r="FL558" s="380">
        <f t="shared" si="259"/>
        <v>0</v>
      </c>
      <c r="FM558" s="385"/>
      <c r="FN558" s="380">
        <f t="shared" si="231"/>
        <v>0</v>
      </c>
      <c r="FO558" s="962">
        <f t="shared" si="237"/>
        <v>350</v>
      </c>
      <c r="FP558" s="956">
        <f t="shared" si="223"/>
        <v>0.4</v>
      </c>
      <c r="FQ558" s="380">
        <f t="shared" si="243"/>
        <v>0</v>
      </c>
      <c r="FR558" s="626">
        <f t="shared" si="260"/>
        <v>1</v>
      </c>
      <c r="FT558" s="1819">
        <f t="shared" si="238"/>
        <v>0</v>
      </c>
      <c r="FU558" s="1820"/>
      <c r="FV558" s="1820"/>
      <c r="FW558" s="1820"/>
      <c r="FX558" s="1821"/>
      <c r="FY558" s="1819">
        <f t="shared" si="233"/>
        <v>0</v>
      </c>
      <c r="FZ558" s="1820"/>
      <c r="GA558" s="1820"/>
      <c r="GB558" s="1821"/>
      <c r="GC558" s="1825">
        <f t="shared" si="253"/>
        <v>0</v>
      </c>
      <c r="GD558" s="1826"/>
      <c r="GE558" s="1826"/>
      <c r="GF558" s="1827"/>
      <c r="GH558" s="1750">
        <f t="shared" si="234"/>
        <v>0</v>
      </c>
      <c r="GI558" s="1751"/>
      <c r="GJ558" s="1751"/>
      <c r="GK558" s="1752"/>
      <c r="GL558" s="1750">
        <f t="shared" si="235"/>
        <v>0</v>
      </c>
      <c r="GM558" s="1751"/>
      <c r="GN558" s="1751"/>
      <c r="GO558" s="1752"/>
      <c r="GP558" s="385"/>
      <c r="GQ558" s="1750">
        <f t="shared" si="236"/>
        <v>0</v>
      </c>
      <c r="GR558" s="1751"/>
      <c r="GS558" s="1751"/>
      <c r="GT558" s="1752"/>
      <c r="GU558" s="192">
        <f t="shared" si="242"/>
        <v>1</v>
      </c>
      <c r="GV558" s="192">
        <f>SUM($GU$337:GU558)</f>
        <v>214</v>
      </c>
      <c r="GW558" s="318"/>
      <c r="HN558" s="380">
        <f t="shared" si="255"/>
        <v>0</v>
      </c>
      <c r="HX558" s="380"/>
    </row>
    <row r="559" spans="4:232">
      <c r="D559" s="409">
        <v>25</v>
      </c>
      <c r="E559" s="318"/>
      <c r="F559" s="428">
        <f>BR649</f>
        <v>0</v>
      </c>
      <c r="G559" s="428">
        <f>CH649</f>
        <v>0</v>
      </c>
      <c r="H559" s="428">
        <f>CX649</f>
        <v>0</v>
      </c>
      <c r="I559" s="247"/>
      <c r="J559" s="247"/>
      <c r="K559" s="429">
        <f>IF(AND(F559&gt;0,F562=0),$D559,0)</f>
        <v>0</v>
      </c>
      <c r="L559" s="429">
        <f>IF(AND(G559&gt;0,G562=0),$D559,0)</f>
        <v>0</v>
      </c>
      <c r="N559" s="429">
        <f>IF(AND(H559&gt;0,H562=0),$D559,0)</f>
        <v>0</v>
      </c>
      <c r="O559" s="430"/>
      <c r="Q559" s="1674">
        <f>IF($V$21=25,F559,0)</f>
        <v>0</v>
      </c>
      <c r="R559" s="1674"/>
      <c r="S559" s="1674"/>
      <c r="T559" s="1674">
        <f>IF($V$21=25,G559,0)</f>
        <v>0</v>
      </c>
      <c r="U559" s="1674"/>
      <c r="V559" s="1674"/>
      <c r="W559" s="1674">
        <f>IF($V$21=25,H559,0)</f>
        <v>0</v>
      </c>
      <c r="X559" s="1674"/>
      <c r="Y559" s="1674"/>
      <c r="Z559" s="1674"/>
      <c r="BD559" s="387">
        <f t="shared" si="256"/>
        <v>18</v>
      </c>
      <c r="BE559" s="382">
        <f>IF(BD559&gt;0,222,0)</f>
        <v>222</v>
      </c>
      <c r="BG559" s="383">
        <f>IF($BE559&gt;$R$66-3+($BR$335*12),222,0)</f>
        <v>222</v>
      </c>
      <c r="BH559" s="1754">
        <f t="shared" si="257"/>
        <v>0</v>
      </c>
      <c r="BI559" s="1754"/>
      <c r="BJ559" s="1754"/>
      <c r="BK559" s="1754"/>
      <c r="BL559" s="1754">
        <f t="shared" si="224"/>
        <v>0</v>
      </c>
      <c r="BM559" s="1754"/>
      <c r="BN559" s="1754"/>
      <c r="BO559" s="1754">
        <f t="shared" si="214"/>
        <v>0</v>
      </c>
      <c r="BP559" s="1754"/>
      <c r="BQ559" s="1754"/>
      <c r="BR559" s="1754">
        <f t="shared" si="258"/>
        <v>0</v>
      </c>
      <c r="BS559" s="1754"/>
      <c r="BT559" s="1754"/>
      <c r="BU559" s="1754"/>
      <c r="BW559" s="383">
        <f>IF($BE559&gt;$R$66-3+($CH$335*12),222,0)</f>
        <v>222</v>
      </c>
      <c r="BX559" s="1754">
        <f t="shared" si="205"/>
        <v>0</v>
      </c>
      <c r="BY559" s="1754"/>
      <c r="BZ559" s="1754"/>
      <c r="CA559" s="1754"/>
      <c r="CB559" s="1754">
        <f t="shared" si="225"/>
        <v>0</v>
      </c>
      <c r="CC559" s="1754"/>
      <c r="CD559" s="1754"/>
      <c r="CE559" s="1754">
        <f t="shared" si="216"/>
        <v>0</v>
      </c>
      <c r="CF559" s="1754"/>
      <c r="CG559" s="1754"/>
      <c r="CH559" s="1754">
        <f t="shared" si="217"/>
        <v>0</v>
      </c>
      <c r="CI559" s="1754"/>
      <c r="CJ559" s="1754"/>
      <c r="CK559" s="1754"/>
      <c r="CM559" s="383">
        <f>IF($BE559&gt;$R$66-3+($CX$335*12),222,0)</f>
        <v>222</v>
      </c>
      <c r="CN559" s="1754">
        <f t="shared" si="206"/>
        <v>0</v>
      </c>
      <c r="CO559" s="1754"/>
      <c r="CP559" s="1754"/>
      <c r="CQ559" s="1754"/>
      <c r="CR559" s="1754">
        <f t="shared" si="226"/>
        <v>0</v>
      </c>
      <c r="CS559" s="1754"/>
      <c r="CT559" s="1754"/>
      <c r="CU559" s="1754">
        <f t="shared" si="218"/>
        <v>0</v>
      </c>
      <c r="CV559" s="1754"/>
      <c r="CW559" s="1754"/>
      <c r="CX559" s="1754">
        <f t="shared" si="219"/>
        <v>0</v>
      </c>
      <c r="CY559" s="1754"/>
      <c r="CZ559" s="1754"/>
      <c r="DA559" s="1754"/>
      <c r="DC559" s="383">
        <f>IF($BE559&gt;$R$66-3,222,0)</f>
        <v>222</v>
      </c>
      <c r="DD559" s="1754">
        <f t="shared" si="207"/>
        <v>0</v>
      </c>
      <c r="DE559" s="1754"/>
      <c r="DF559" s="1754"/>
      <c r="DG559" s="1754"/>
      <c r="DH559" s="1754">
        <f t="shared" si="227"/>
        <v>0</v>
      </c>
      <c r="DI559" s="1754"/>
      <c r="DJ559" s="1754"/>
      <c r="DK559" s="1747">
        <f t="shared" si="254"/>
        <v>0</v>
      </c>
      <c r="DL559" s="1748"/>
      <c r="DM559" s="1748"/>
      <c r="DN559" s="1749"/>
      <c r="DP559" s="383">
        <f t="shared" si="228"/>
        <v>222</v>
      </c>
      <c r="DQ559" s="1754">
        <f t="shared" si="240"/>
        <v>0</v>
      </c>
      <c r="DR559" s="1754"/>
      <c r="DS559" s="1754"/>
      <c r="DT559" s="1754"/>
      <c r="DU559" s="1754">
        <f t="shared" si="241"/>
        <v>0</v>
      </c>
      <c r="DV559" s="1754"/>
      <c r="DW559" s="1754"/>
      <c r="DX559" s="1754">
        <f t="shared" si="248"/>
        <v>0</v>
      </c>
      <c r="DY559" s="1754"/>
      <c r="DZ559" s="1754"/>
      <c r="EA559" s="1754">
        <f t="shared" si="249"/>
        <v>0</v>
      </c>
      <c r="EB559" s="1754"/>
      <c r="EC559" s="1754"/>
      <c r="ED559" s="1754"/>
      <c r="EE559" s="384"/>
      <c r="EF559" s="1750">
        <f t="shared" si="221"/>
        <v>0</v>
      </c>
      <c r="EG559" s="1751"/>
      <c r="EH559" s="1751"/>
      <c r="EI559" s="1751"/>
      <c r="EJ559" s="1752"/>
      <c r="EL559" s="1750">
        <f t="shared" si="250"/>
        <v>0</v>
      </c>
      <c r="EM559" s="1751"/>
      <c r="EN559" s="1751"/>
      <c r="EO559" s="1751"/>
      <c r="EP559" s="1752"/>
      <c r="ER559" s="1750">
        <f t="shared" si="222"/>
        <v>0</v>
      </c>
      <c r="ES559" s="1751"/>
      <c r="ET559" s="1751"/>
      <c r="EU559" s="1751"/>
      <c r="EV559" s="1752"/>
      <c r="EX559" s="1750">
        <f>IF(BE559&gt;0,Einstrahlung!$K$20*Kalkulation!$P$62/100*$AY$29*POWER((100-$P$64)/100,BD559-1),0)</f>
        <v>0</v>
      </c>
      <c r="EY559" s="1751"/>
      <c r="EZ559" s="1751"/>
      <c r="FA559" s="1751"/>
      <c r="FB559" s="1752"/>
      <c r="FD559" s="1750">
        <f t="shared" si="229"/>
        <v>0</v>
      </c>
      <c r="FE559" s="1751"/>
      <c r="FF559" s="1751"/>
      <c r="FG559" s="1751"/>
      <c r="FH559" s="1752"/>
      <c r="FI559" s="385"/>
      <c r="FJ559" s="380">
        <f t="shared" si="239"/>
        <v>0</v>
      </c>
      <c r="FK559" s="385"/>
      <c r="FL559" s="380">
        <f t="shared" si="259"/>
        <v>0</v>
      </c>
      <c r="FM559" s="385"/>
      <c r="FN559" s="380">
        <f t="shared" si="231"/>
        <v>0</v>
      </c>
      <c r="FO559" s="962">
        <f t="shared" si="237"/>
        <v>351</v>
      </c>
      <c r="FP559" s="956">
        <f t="shared" si="223"/>
        <v>0.4</v>
      </c>
      <c r="FQ559" s="380">
        <f t="shared" si="243"/>
        <v>0</v>
      </c>
      <c r="FR559" s="626">
        <f t="shared" si="260"/>
        <v>1</v>
      </c>
      <c r="FT559" s="1819">
        <f t="shared" si="238"/>
        <v>0</v>
      </c>
      <c r="FU559" s="1820"/>
      <c r="FV559" s="1820"/>
      <c r="FW559" s="1820"/>
      <c r="FX559" s="1821"/>
      <c r="FY559" s="1819">
        <f t="shared" si="233"/>
        <v>0</v>
      </c>
      <c r="FZ559" s="1820"/>
      <c r="GA559" s="1820"/>
      <c r="GB559" s="1821"/>
      <c r="GC559" s="1825">
        <f t="shared" si="253"/>
        <v>0</v>
      </c>
      <c r="GD559" s="1826"/>
      <c r="GE559" s="1826"/>
      <c r="GF559" s="1827"/>
      <c r="GH559" s="1750">
        <f t="shared" si="234"/>
        <v>0</v>
      </c>
      <c r="GI559" s="1751"/>
      <c r="GJ559" s="1751"/>
      <c r="GK559" s="1752"/>
      <c r="GL559" s="1750">
        <f t="shared" si="235"/>
        <v>0</v>
      </c>
      <c r="GM559" s="1751"/>
      <c r="GN559" s="1751"/>
      <c r="GO559" s="1752"/>
      <c r="GP559" s="385"/>
      <c r="GQ559" s="1750">
        <f t="shared" si="236"/>
        <v>0</v>
      </c>
      <c r="GR559" s="1751"/>
      <c r="GS559" s="1751"/>
      <c r="GT559" s="1752"/>
      <c r="GU559" s="192">
        <f t="shared" si="242"/>
        <v>1</v>
      </c>
      <c r="GV559" s="192">
        <f>SUM($GU$337:GU559)</f>
        <v>215</v>
      </c>
      <c r="GW559" s="318"/>
      <c r="HN559" s="380">
        <f t="shared" si="255"/>
        <v>0</v>
      </c>
      <c r="HX559" s="380"/>
    </row>
    <row r="560" spans="4:232" ht="13.5" thickBot="1">
      <c r="D560" s="313"/>
      <c r="E560" s="247"/>
      <c r="F560" s="247"/>
      <c r="G560" s="247"/>
      <c r="H560" s="247"/>
      <c r="I560" s="428">
        <f>'Endfälliges Darlehen'!AG61</f>
        <v>0</v>
      </c>
      <c r="J560" s="247"/>
      <c r="K560" s="429"/>
      <c r="L560" s="429"/>
      <c r="M560" s="429"/>
      <c r="N560" s="429"/>
      <c r="O560" s="430">
        <f>IF(AND(I560&gt;0,I563=0),$D559,0)</f>
        <v>0</v>
      </c>
      <c r="BD560" s="387">
        <f t="shared" si="256"/>
        <v>18</v>
      </c>
      <c r="BE560" s="382">
        <f>IF(BD560&gt;0,223,0)</f>
        <v>223</v>
      </c>
      <c r="BG560" s="383">
        <f>IF($BE560&gt;$R$66-3+($BR$335*12),223,0)</f>
        <v>223</v>
      </c>
      <c r="BH560" s="1754">
        <f t="shared" si="257"/>
        <v>0</v>
      </c>
      <c r="BI560" s="1754"/>
      <c r="BJ560" s="1754"/>
      <c r="BK560" s="1754"/>
      <c r="BL560" s="1754">
        <f t="shared" si="224"/>
        <v>0</v>
      </c>
      <c r="BM560" s="1754"/>
      <c r="BN560" s="1754"/>
      <c r="BO560" s="1754">
        <f t="shared" si="214"/>
        <v>0</v>
      </c>
      <c r="BP560" s="1754"/>
      <c r="BQ560" s="1754"/>
      <c r="BR560" s="1754">
        <f t="shared" si="258"/>
        <v>0</v>
      </c>
      <c r="BS560" s="1754"/>
      <c r="BT560" s="1754"/>
      <c r="BU560" s="1754"/>
      <c r="BW560" s="383">
        <f>IF($BE560&gt;$R$66-3+($CH$335*12),223,0)</f>
        <v>223</v>
      </c>
      <c r="BX560" s="1754">
        <f t="shared" si="205"/>
        <v>0</v>
      </c>
      <c r="BY560" s="1754"/>
      <c r="BZ560" s="1754"/>
      <c r="CA560" s="1754"/>
      <c r="CB560" s="1754">
        <f t="shared" si="225"/>
        <v>0</v>
      </c>
      <c r="CC560" s="1754"/>
      <c r="CD560" s="1754"/>
      <c r="CE560" s="1754">
        <f t="shared" si="216"/>
        <v>0</v>
      </c>
      <c r="CF560" s="1754"/>
      <c r="CG560" s="1754"/>
      <c r="CH560" s="1754">
        <f t="shared" si="217"/>
        <v>0</v>
      </c>
      <c r="CI560" s="1754"/>
      <c r="CJ560" s="1754"/>
      <c r="CK560" s="1754"/>
      <c r="CM560" s="383">
        <f>IF($BE560&gt;$R$66-3+($CX$335*12),223,0)</f>
        <v>223</v>
      </c>
      <c r="CN560" s="1754">
        <f t="shared" si="206"/>
        <v>0</v>
      </c>
      <c r="CO560" s="1754"/>
      <c r="CP560" s="1754"/>
      <c r="CQ560" s="1754"/>
      <c r="CR560" s="1754">
        <f t="shared" si="226"/>
        <v>0</v>
      </c>
      <c r="CS560" s="1754"/>
      <c r="CT560" s="1754"/>
      <c r="CU560" s="1754">
        <f t="shared" si="218"/>
        <v>0</v>
      </c>
      <c r="CV560" s="1754"/>
      <c r="CW560" s="1754"/>
      <c r="CX560" s="1754">
        <f t="shared" si="219"/>
        <v>0</v>
      </c>
      <c r="CY560" s="1754"/>
      <c r="CZ560" s="1754"/>
      <c r="DA560" s="1754"/>
      <c r="DC560" s="383">
        <f>IF($BE560&gt;$R$66-3,223,0)</f>
        <v>223</v>
      </c>
      <c r="DD560" s="1754">
        <f t="shared" si="207"/>
        <v>0</v>
      </c>
      <c r="DE560" s="1754"/>
      <c r="DF560" s="1754"/>
      <c r="DG560" s="1754"/>
      <c r="DH560" s="1754">
        <f t="shared" si="227"/>
        <v>0</v>
      </c>
      <c r="DI560" s="1754"/>
      <c r="DJ560" s="1754"/>
      <c r="DK560" s="1747">
        <f t="shared" si="254"/>
        <v>0</v>
      </c>
      <c r="DL560" s="1748"/>
      <c r="DM560" s="1748"/>
      <c r="DN560" s="1749"/>
      <c r="DP560" s="383">
        <f t="shared" si="228"/>
        <v>223</v>
      </c>
      <c r="DQ560" s="1754">
        <f t="shared" si="240"/>
        <v>0</v>
      </c>
      <c r="DR560" s="1754"/>
      <c r="DS560" s="1754"/>
      <c r="DT560" s="1754"/>
      <c r="DU560" s="1754">
        <f t="shared" si="241"/>
        <v>0</v>
      </c>
      <c r="DV560" s="1754"/>
      <c r="DW560" s="1754"/>
      <c r="DX560" s="1754">
        <f t="shared" si="248"/>
        <v>0</v>
      </c>
      <c r="DY560" s="1754"/>
      <c r="DZ560" s="1754"/>
      <c r="EA560" s="1754">
        <f t="shared" si="249"/>
        <v>0</v>
      </c>
      <c r="EB560" s="1754"/>
      <c r="EC560" s="1754"/>
      <c r="ED560" s="1754"/>
      <c r="EE560" s="384"/>
      <c r="EF560" s="1750">
        <f t="shared" si="221"/>
        <v>0</v>
      </c>
      <c r="EG560" s="1751"/>
      <c r="EH560" s="1751"/>
      <c r="EI560" s="1751"/>
      <c r="EJ560" s="1752"/>
      <c r="EL560" s="1750">
        <f t="shared" si="250"/>
        <v>0</v>
      </c>
      <c r="EM560" s="1751"/>
      <c r="EN560" s="1751"/>
      <c r="EO560" s="1751"/>
      <c r="EP560" s="1752"/>
      <c r="ER560" s="1750">
        <f t="shared" si="222"/>
        <v>0</v>
      </c>
      <c r="ES560" s="1751"/>
      <c r="ET560" s="1751"/>
      <c r="EU560" s="1751"/>
      <c r="EV560" s="1752"/>
      <c r="EX560" s="1750">
        <f>IF(BE560&gt;0,Einstrahlung!$K$22*Kalkulation!$P$62/100*$AY$29*POWER((100-$P$64)/100,BD560-1),0)</f>
        <v>0</v>
      </c>
      <c r="EY560" s="1751"/>
      <c r="EZ560" s="1751"/>
      <c r="FA560" s="1751"/>
      <c r="FB560" s="1752"/>
      <c r="FD560" s="1750">
        <f t="shared" si="229"/>
        <v>0</v>
      </c>
      <c r="FE560" s="1751"/>
      <c r="FF560" s="1751"/>
      <c r="FG560" s="1751"/>
      <c r="FH560" s="1752"/>
      <c r="FI560" s="385"/>
      <c r="FJ560" s="380">
        <f t="shared" si="239"/>
        <v>0</v>
      </c>
      <c r="FK560" s="385"/>
      <c r="FL560" s="380">
        <f t="shared" si="259"/>
        <v>0</v>
      </c>
      <c r="FM560" s="385"/>
      <c r="FN560" s="380">
        <f t="shared" si="231"/>
        <v>0</v>
      </c>
      <c r="FO560" s="962">
        <f t="shared" si="237"/>
        <v>352</v>
      </c>
      <c r="FP560" s="956">
        <f t="shared" si="223"/>
        <v>0.4</v>
      </c>
      <c r="FQ560" s="380">
        <f t="shared" si="243"/>
        <v>0</v>
      </c>
      <c r="FR560" s="626">
        <f t="shared" si="260"/>
        <v>1</v>
      </c>
      <c r="FT560" s="1819">
        <f t="shared" si="238"/>
        <v>0</v>
      </c>
      <c r="FU560" s="1820"/>
      <c r="FV560" s="1820"/>
      <c r="FW560" s="1820"/>
      <c r="FX560" s="1821"/>
      <c r="FY560" s="1819">
        <f t="shared" si="233"/>
        <v>0</v>
      </c>
      <c r="FZ560" s="1820"/>
      <c r="GA560" s="1820"/>
      <c r="GB560" s="1821"/>
      <c r="GC560" s="1825">
        <f t="shared" si="253"/>
        <v>0</v>
      </c>
      <c r="GD560" s="1826"/>
      <c r="GE560" s="1826"/>
      <c r="GF560" s="1827"/>
      <c r="GH560" s="1750">
        <f t="shared" si="234"/>
        <v>0</v>
      </c>
      <c r="GI560" s="1751"/>
      <c r="GJ560" s="1751"/>
      <c r="GK560" s="1752"/>
      <c r="GL560" s="1750">
        <f t="shared" si="235"/>
        <v>0</v>
      </c>
      <c r="GM560" s="1751"/>
      <c r="GN560" s="1751"/>
      <c r="GO560" s="1752"/>
      <c r="GP560" s="385"/>
      <c r="GQ560" s="1750">
        <f t="shared" si="236"/>
        <v>0</v>
      </c>
      <c r="GR560" s="1751"/>
      <c r="GS560" s="1751"/>
      <c r="GT560" s="1752"/>
      <c r="GU560" s="192">
        <f t="shared" si="242"/>
        <v>1</v>
      </c>
      <c r="GV560" s="192">
        <f>SUM($GU$337:GU560)</f>
        <v>216</v>
      </c>
      <c r="GW560" s="318"/>
      <c r="HN560" s="380">
        <f t="shared" si="255"/>
        <v>0</v>
      </c>
      <c r="HX560" s="380"/>
    </row>
    <row r="561" spans="4:232" ht="13.5" thickBot="1">
      <c r="D561" s="324"/>
      <c r="E561" s="402"/>
      <c r="F561" s="402"/>
      <c r="G561" s="402"/>
      <c r="H561" s="402"/>
      <c r="I561" s="402"/>
      <c r="J561" s="437">
        <f>'Endfälliges Darlehen'!AV61</f>
        <v>0</v>
      </c>
      <c r="K561" s="438"/>
      <c r="L561" s="438"/>
      <c r="M561" s="438"/>
      <c r="N561" s="438"/>
      <c r="O561" s="439"/>
      <c r="Q561" s="1680">
        <f>SUM(Q544:Q559)</f>
        <v>0</v>
      </c>
      <c r="R561" s="1680"/>
      <c r="S561" s="1680"/>
      <c r="T561" s="1680">
        <f>SUM(T544:T559)</f>
        <v>0</v>
      </c>
      <c r="U561" s="1680"/>
      <c r="V561" s="1680"/>
      <c r="W561" s="1680">
        <f>SUM(W544:W559)</f>
        <v>0</v>
      </c>
      <c r="X561" s="1680"/>
      <c r="Y561" s="1680"/>
      <c r="Z561" s="1680"/>
      <c r="BD561" s="387">
        <f t="shared" si="256"/>
        <v>18</v>
      </c>
      <c r="BE561" s="382">
        <f>IF(BD561&gt;0,224,0)</f>
        <v>224</v>
      </c>
      <c r="BG561" s="383">
        <f>IF($BE561&gt;$R$66-3+($BR$335*12),224,0)</f>
        <v>224</v>
      </c>
      <c r="BH561" s="1754">
        <f t="shared" si="257"/>
        <v>0</v>
      </c>
      <c r="BI561" s="1754"/>
      <c r="BJ561" s="1754"/>
      <c r="BK561" s="1754"/>
      <c r="BL561" s="1754">
        <f t="shared" si="224"/>
        <v>0</v>
      </c>
      <c r="BM561" s="1754"/>
      <c r="BN561" s="1754"/>
      <c r="BO561" s="1754">
        <f t="shared" si="214"/>
        <v>0</v>
      </c>
      <c r="BP561" s="1754"/>
      <c r="BQ561" s="1754"/>
      <c r="BR561" s="1754">
        <f t="shared" si="258"/>
        <v>0</v>
      </c>
      <c r="BS561" s="1754"/>
      <c r="BT561" s="1754"/>
      <c r="BU561" s="1754"/>
      <c r="BW561" s="383">
        <f>IF($BE561&gt;$R$66-3+($CH$335*12),224,0)</f>
        <v>224</v>
      </c>
      <c r="BX561" s="1754">
        <f t="shared" si="205"/>
        <v>0</v>
      </c>
      <c r="BY561" s="1754"/>
      <c r="BZ561" s="1754"/>
      <c r="CA561" s="1754"/>
      <c r="CB561" s="1754">
        <f t="shared" si="225"/>
        <v>0</v>
      </c>
      <c r="CC561" s="1754"/>
      <c r="CD561" s="1754"/>
      <c r="CE561" s="1754">
        <f t="shared" si="216"/>
        <v>0</v>
      </c>
      <c r="CF561" s="1754"/>
      <c r="CG561" s="1754"/>
      <c r="CH561" s="1754">
        <f t="shared" si="217"/>
        <v>0</v>
      </c>
      <c r="CI561" s="1754"/>
      <c r="CJ561" s="1754"/>
      <c r="CK561" s="1754"/>
      <c r="CM561" s="383">
        <f>IF($BE561&gt;$R$66-3+($CX$335*12),224,0)</f>
        <v>224</v>
      </c>
      <c r="CN561" s="1754">
        <f t="shared" si="206"/>
        <v>0</v>
      </c>
      <c r="CO561" s="1754"/>
      <c r="CP561" s="1754"/>
      <c r="CQ561" s="1754"/>
      <c r="CR561" s="1754">
        <f t="shared" si="226"/>
        <v>0</v>
      </c>
      <c r="CS561" s="1754"/>
      <c r="CT561" s="1754"/>
      <c r="CU561" s="1754">
        <f t="shared" si="218"/>
        <v>0</v>
      </c>
      <c r="CV561" s="1754"/>
      <c r="CW561" s="1754"/>
      <c r="CX561" s="1754">
        <f t="shared" si="219"/>
        <v>0</v>
      </c>
      <c r="CY561" s="1754"/>
      <c r="CZ561" s="1754"/>
      <c r="DA561" s="1754"/>
      <c r="DC561" s="383">
        <f>IF($BE561&gt;$R$66-3,224,0)</f>
        <v>224</v>
      </c>
      <c r="DD561" s="1754">
        <f t="shared" si="207"/>
        <v>0</v>
      </c>
      <c r="DE561" s="1754"/>
      <c r="DF561" s="1754"/>
      <c r="DG561" s="1754"/>
      <c r="DH561" s="1754">
        <f t="shared" si="227"/>
        <v>0</v>
      </c>
      <c r="DI561" s="1754"/>
      <c r="DJ561" s="1754"/>
      <c r="DK561" s="1747">
        <f t="shared" si="254"/>
        <v>0</v>
      </c>
      <c r="DL561" s="1748"/>
      <c r="DM561" s="1748"/>
      <c r="DN561" s="1749"/>
      <c r="DP561" s="383">
        <f t="shared" si="228"/>
        <v>224</v>
      </c>
      <c r="DQ561" s="1754">
        <f t="shared" si="240"/>
        <v>0</v>
      </c>
      <c r="DR561" s="1754"/>
      <c r="DS561" s="1754"/>
      <c r="DT561" s="1754"/>
      <c r="DU561" s="1754">
        <f t="shared" si="241"/>
        <v>0</v>
      </c>
      <c r="DV561" s="1754"/>
      <c r="DW561" s="1754"/>
      <c r="DX561" s="1754">
        <f t="shared" si="248"/>
        <v>0</v>
      </c>
      <c r="DY561" s="1754"/>
      <c r="DZ561" s="1754"/>
      <c r="EA561" s="1754">
        <f t="shared" si="249"/>
        <v>0</v>
      </c>
      <c r="EB561" s="1754"/>
      <c r="EC561" s="1754"/>
      <c r="ED561" s="1754"/>
      <c r="EE561" s="384"/>
      <c r="EF561" s="1750">
        <f t="shared" si="221"/>
        <v>0</v>
      </c>
      <c r="EG561" s="1751"/>
      <c r="EH561" s="1751"/>
      <c r="EI561" s="1751"/>
      <c r="EJ561" s="1752"/>
      <c r="EL561" s="1750">
        <f t="shared" si="250"/>
        <v>0</v>
      </c>
      <c r="EM561" s="1751"/>
      <c r="EN561" s="1751"/>
      <c r="EO561" s="1751"/>
      <c r="EP561" s="1752"/>
      <c r="ER561" s="1750">
        <f t="shared" si="222"/>
        <v>0</v>
      </c>
      <c r="ES561" s="1751"/>
      <c r="ET561" s="1751"/>
      <c r="EU561" s="1751"/>
      <c r="EV561" s="1752"/>
      <c r="EX561" s="1750">
        <f>IF(BE561&gt;0,Einstrahlung!$K$24*Kalkulation!$P$62/100*$AY$29*POWER((100-$P$64)/100,BD561-1),0)</f>
        <v>0</v>
      </c>
      <c r="EY561" s="1751"/>
      <c r="EZ561" s="1751"/>
      <c r="FA561" s="1751"/>
      <c r="FB561" s="1752"/>
      <c r="FD561" s="1750">
        <f t="shared" si="229"/>
        <v>0</v>
      </c>
      <c r="FE561" s="1751"/>
      <c r="FF561" s="1751"/>
      <c r="FG561" s="1751"/>
      <c r="FH561" s="1752"/>
      <c r="FI561" s="385"/>
      <c r="FJ561" s="380">
        <f t="shared" si="239"/>
        <v>0</v>
      </c>
      <c r="FK561" s="385"/>
      <c r="FL561" s="380">
        <f t="shared" si="259"/>
        <v>0</v>
      </c>
      <c r="FM561" s="385"/>
      <c r="FN561" s="380">
        <f t="shared" si="231"/>
        <v>0</v>
      </c>
      <c r="FO561" s="962">
        <f t="shared" si="237"/>
        <v>353</v>
      </c>
      <c r="FP561" s="956">
        <f t="shared" si="223"/>
        <v>0.4</v>
      </c>
      <c r="FQ561" s="380">
        <f t="shared" si="243"/>
        <v>0</v>
      </c>
      <c r="FR561" s="626">
        <f t="shared" si="260"/>
        <v>1</v>
      </c>
      <c r="FT561" s="1819">
        <f t="shared" si="238"/>
        <v>0</v>
      </c>
      <c r="FU561" s="1820"/>
      <c r="FV561" s="1820"/>
      <c r="FW561" s="1820"/>
      <c r="FX561" s="1821"/>
      <c r="FY561" s="1819">
        <f t="shared" si="233"/>
        <v>0</v>
      </c>
      <c r="FZ561" s="1820"/>
      <c r="GA561" s="1820"/>
      <c r="GB561" s="1821"/>
      <c r="GC561" s="1825">
        <f t="shared" si="253"/>
        <v>0</v>
      </c>
      <c r="GD561" s="1826"/>
      <c r="GE561" s="1826"/>
      <c r="GF561" s="1827"/>
      <c r="GH561" s="1750">
        <f t="shared" si="234"/>
        <v>0</v>
      </c>
      <c r="GI561" s="1751"/>
      <c r="GJ561" s="1751"/>
      <c r="GK561" s="1752"/>
      <c r="GL561" s="1750">
        <f t="shared" si="235"/>
        <v>0</v>
      </c>
      <c r="GM561" s="1751"/>
      <c r="GN561" s="1751"/>
      <c r="GO561" s="1752"/>
      <c r="GP561" s="385"/>
      <c r="GQ561" s="1750">
        <f t="shared" si="236"/>
        <v>0</v>
      </c>
      <c r="GR561" s="1751"/>
      <c r="GS561" s="1751"/>
      <c r="GT561" s="1752"/>
      <c r="GU561" s="192">
        <f t="shared" si="242"/>
        <v>1</v>
      </c>
      <c r="GV561" s="192">
        <f>SUM($GU$337:GU561)</f>
        <v>217</v>
      </c>
      <c r="GW561" s="318"/>
      <c r="HN561" s="380">
        <f t="shared" si="255"/>
        <v>0</v>
      </c>
      <c r="HX561" s="380"/>
    </row>
    <row r="562" spans="4:232">
      <c r="BD562" s="387">
        <f t="shared" si="256"/>
        <v>18</v>
      </c>
      <c r="BE562" s="382">
        <f>IF(BD562&gt;0,225,0)</f>
        <v>225</v>
      </c>
      <c r="BG562" s="383">
        <f>IF($BE562&gt;$R$66-3+($BR$335*12),225,0)</f>
        <v>225</v>
      </c>
      <c r="BH562" s="1754">
        <f t="shared" si="257"/>
        <v>0</v>
      </c>
      <c r="BI562" s="1754"/>
      <c r="BJ562" s="1754"/>
      <c r="BK562" s="1754"/>
      <c r="BL562" s="1754">
        <f t="shared" si="224"/>
        <v>0</v>
      </c>
      <c r="BM562" s="1754"/>
      <c r="BN562" s="1754"/>
      <c r="BO562" s="1754">
        <f t="shared" si="214"/>
        <v>0</v>
      </c>
      <c r="BP562" s="1754"/>
      <c r="BQ562" s="1754"/>
      <c r="BR562" s="1754">
        <f t="shared" si="258"/>
        <v>0</v>
      </c>
      <c r="BS562" s="1754"/>
      <c r="BT562" s="1754"/>
      <c r="BU562" s="1754"/>
      <c r="BW562" s="383">
        <f>IF($BE562&gt;$R$66-3+($CH$335*12),225,0)</f>
        <v>225</v>
      </c>
      <c r="BX562" s="1754">
        <f t="shared" si="205"/>
        <v>0</v>
      </c>
      <c r="BY562" s="1754"/>
      <c r="BZ562" s="1754"/>
      <c r="CA562" s="1754"/>
      <c r="CB562" s="1754">
        <f t="shared" si="225"/>
        <v>0</v>
      </c>
      <c r="CC562" s="1754"/>
      <c r="CD562" s="1754"/>
      <c r="CE562" s="1754">
        <f t="shared" si="216"/>
        <v>0</v>
      </c>
      <c r="CF562" s="1754"/>
      <c r="CG562" s="1754"/>
      <c r="CH562" s="1754">
        <f t="shared" si="217"/>
        <v>0</v>
      </c>
      <c r="CI562" s="1754"/>
      <c r="CJ562" s="1754"/>
      <c r="CK562" s="1754"/>
      <c r="CM562" s="383">
        <f>IF($BE562&gt;$R$66-3+($CX$335*12),225,0)</f>
        <v>225</v>
      </c>
      <c r="CN562" s="1754">
        <f t="shared" si="206"/>
        <v>0</v>
      </c>
      <c r="CO562" s="1754"/>
      <c r="CP562" s="1754"/>
      <c r="CQ562" s="1754"/>
      <c r="CR562" s="1754">
        <f t="shared" si="226"/>
        <v>0</v>
      </c>
      <c r="CS562" s="1754"/>
      <c r="CT562" s="1754"/>
      <c r="CU562" s="1754">
        <f t="shared" si="218"/>
        <v>0</v>
      </c>
      <c r="CV562" s="1754"/>
      <c r="CW562" s="1754"/>
      <c r="CX562" s="1754">
        <f t="shared" si="219"/>
        <v>0</v>
      </c>
      <c r="CY562" s="1754"/>
      <c r="CZ562" s="1754"/>
      <c r="DA562" s="1754"/>
      <c r="DC562" s="383">
        <f>IF($BE562&gt;$R$66-3,225,0)</f>
        <v>225</v>
      </c>
      <c r="DD562" s="1754">
        <f t="shared" si="207"/>
        <v>0</v>
      </c>
      <c r="DE562" s="1754"/>
      <c r="DF562" s="1754"/>
      <c r="DG562" s="1754"/>
      <c r="DH562" s="1754">
        <f t="shared" si="227"/>
        <v>0</v>
      </c>
      <c r="DI562" s="1754"/>
      <c r="DJ562" s="1754"/>
      <c r="DK562" s="1747">
        <f t="shared" si="254"/>
        <v>0</v>
      </c>
      <c r="DL562" s="1748"/>
      <c r="DM562" s="1748"/>
      <c r="DN562" s="1749"/>
      <c r="DP562" s="383">
        <f t="shared" si="228"/>
        <v>225</v>
      </c>
      <c r="DQ562" s="1754">
        <f t="shared" si="240"/>
        <v>0</v>
      </c>
      <c r="DR562" s="1754"/>
      <c r="DS562" s="1754"/>
      <c r="DT562" s="1754"/>
      <c r="DU562" s="1754">
        <f t="shared" si="241"/>
        <v>0</v>
      </c>
      <c r="DV562" s="1754"/>
      <c r="DW562" s="1754"/>
      <c r="DX562" s="1754">
        <f t="shared" si="248"/>
        <v>0</v>
      </c>
      <c r="DY562" s="1754"/>
      <c r="DZ562" s="1754"/>
      <c r="EA562" s="1754">
        <f t="shared" si="249"/>
        <v>0</v>
      </c>
      <c r="EB562" s="1754"/>
      <c r="EC562" s="1754"/>
      <c r="ED562" s="1754"/>
      <c r="EE562" s="384"/>
      <c r="EF562" s="1750">
        <f t="shared" si="221"/>
        <v>0</v>
      </c>
      <c r="EG562" s="1751"/>
      <c r="EH562" s="1751"/>
      <c r="EI562" s="1751"/>
      <c r="EJ562" s="1752"/>
      <c r="EL562" s="1750">
        <f t="shared" si="250"/>
        <v>0</v>
      </c>
      <c r="EM562" s="1751"/>
      <c r="EN562" s="1751"/>
      <c r="EO562" s="1751"/>
      <c r="EP562" s="1752"/>
      <c r="ER562" s="1750">
        <f t="shared" si="222"/>
        <v>0</v>
      </c>
      <c r="ES562" s="1751"/>
      <c r="ET562" s="1751"/>
      <c r="EU562" s="1751"/>
      <c r="EV562" s="1752"/>
      <c r="EX562" s="1750">
        <f>IF(BE562&gt;0,Einstrahlung!$K$26*Kalkulation!$P$62/100*$AY$29*POWER((100-$P$64)/100,BD562-1),0)</f>
        <v>0</v>
      </c>
      <c r="EY562" s="1751"/>
      <c r="EZ562" s="1751"/>
      <c r="FA562" s="1751"/>
      <c r="FB562" s="1752"/>
      <c r="FD562" s="1750">
        <f t="shared" si="229"/>
        <v>0</v>
      </c>
      <c r="FE562" s="1751"/>
      <c r="FF562" s="1751"/>
      <c r="FG562" s="1751"/>
      <c r="FH562" s="1752"/>
      <c r="FI562" s="385"/>
      <c r="FJ562" s="380">
        <f t="shared" si="239"/>
        <v>0</v>
      </c>
      <c r="FK562" s="385"/>
      <c r="FL562" s="380">
        <f t="shared" si="259"/>
        <v>0</v>
      </c>
      <c r="FM562" s="385"/>
      <c r="FN562" s="380">
        <f t="shared" si="231"/>
        <v>0</v>
      </c>
      <c r="FO562" s="962">
        <f t="shared" si="237"/>
        <v>354</v>
      </c>
      <c r="FP562" s="956">
        <f t="shared" si="223"/>
        <v>0.4</v>
      </c>
      <c r="FQ562" s="380">
        <f t="shared" si="243"/>
        <v>0</v>
      </c>
      <c r="FR562" s="626">
        <f t="shared" si="260"/>
        <v>1</v>
      </c>
      <c r="FT562" s="1819">
        <f t="shared" si="238"/>
        <v>0</v>
      </c>
      <c r="FU562" s="1820"/>
      <c r="FV562" s="1820"/>
      <c r="FW562" s="1820"/>
      <c r="FX562" s="1821"/>
      <c r="FY562" s="1819">
        <f t="shared" si="233"/>
        <v>0</v>
      </c>
      <c r="FZ562" s="1820"/>
      <c r="GA562" s="1820"/>
      <c r="GB562" s="1821"/>
      <c r="GC562" s="1825">
        <f t="shared" si="253"/>
        <v>0</v>
      </c>
      <c r="GD562" s="1826"/>
      <c r="GE562" s="1826"/>
      <c r="GF562" s="1827"/>
      <c r="GH562" s="1750">
        <f t="shared" si="234"/>
        <v>0</v>
      </c>
      <c r="GI562" s="1751"/>
      <c r="GJ562" s="1751"/>
      <c r="GK562" s="1752"/>
      <c r="GL562" s="1750">
        <f t="shared" si="235"/>
        <v>0</v>
      </c>
      <c r="GM562" s="1751"/>
      <c r="GN562" s="1751"/>
      <c r="GO562" s="1752"/>
      <c r="GP562" s="385"/>
      <c r="GQ562" s="1750">
        <f t="shared" si="236"/>
        <v>0</v>
      </c>
      <c r="GR562" s="1751"/>
      <c r="GS562" s="1751"/>
      <c r="GT562" s="1752"/>
      <c r="GU562" s="192">
        <f t="shared" si="242"/>
        <v>1</v>
      </c>
      <c r="GV562" s="192">
        <f>SUM($GU$337:GU562)</f>
        <v>218</v>
      </c>
      <c r="GW562" s="318"/>
      <c r="HN562" s="380">
        <f t="shared" si="255"/>
        <v>0</v>
      </c>
      <c r="HX562" s="380"/>
    </row>
    <row r="563" spans="4:232">
      <c r="D563" s="192" t="s">
        <v>345</v>
      </c>
      <c r="BD563" s="387">
        <f t="shared" si="256"/>
        <v>18</v>
      </c>
      <c r="BE563" s="382">
        <f>IF(BD563&gt;0,226,0)</f>
        <v>226</v>
      </c>
      <c r="BG563" s="383">
        <f>IF($BE563&gt;$R$66-3+($BR$335*12),226,0)</f>
        <v>226</v>
      </c>
      <c r="BH563" s="1754">
        <f t="shared" si="257"/>
        <v>0</v>
      </c>
      <c r="BI563" s="1754"/>
      <c r="BJ563" s="1754"/>
      <c r="BK563" s="1754"/>
      <c r="BL563" s="1754">
        <f t="shared" si="224"/>
        <v>0</v>
      </c>
      <c r="BM563" s="1754"/>
      <c r="BN563" s="1754"/>
      <c r="BO563" s="1754">
        <f t="shared" si="214"/>
        <v>0</v>
      </c>
      <c r="BP563" s="1754"/>
      <c r="BQ563" s="1754"/>
      <c r="BR563" s="1754">
        <f t="shared" si="258"/>
        <v>0</v>
      </c>
      <c r="BS563" s="1754"/>
      <c r="BT563" s="1754"/>
      <c r="BU563" s="1754"/>
      <c r="BW563" s="383">
        <f>IF($BE563&gt;$R$66-3+($CH$335*12),226,0)</f>
        <v>226</v>
      </c>
      <c r="BX563" s="1754">
        <f t="shared" si="205"/>
        <v>0</v>
      </c>
      <c r="BY563" s="1754"/>
      <c r="BZ563" s="1754"/>
      <c r="CA563" s="1754"/>
      <c r="CB563" s="1754">
        <f t="shared" si="225"/>
        <v>0</v>
      </c>
      <c r="CC563" s="1754"/>
      <c r="CD563" s="1754"/>
      <c r="CE563" s="1754">
        <f t="shared" si="216"/>
        <v>0</v>
      </c>
      <c r="CF563" s="1754"/>
      <c r="CG563" s="1754"/>
      <c r="CH563" s="1754">
        <f t="shared" si="217"/>
        <v>0</v>
      </c>
      <c r="CI563" s="1754"/>
      <c r="CJ563" s="1754"/>
      <c r="CK563" s="1754"/>
      <c r="CM563" s="383">
        <f>IF($BE563&gt;$R$66-3+($CX$335*12),226,0)</f>
        <v>226</v>
      </c>
      <c r="CN563" s="1754">
        <f t="shared" si="206"/>
        <v>0</v>
      </c>
      <c r="CO563" s="1754"/>
      <c r="CP563" s="1754"/>
      <c r="CQ563" s="1754"/>
      <c r="CR563" s="1754">
        <f t="shared" si="226"/>
        <v>0</v>
      </c>
      <c r="CS563" s="1754"/>
      <c r="CT563" s="1754"/>
      <c r="CU563" s="1754">
        <f t="shared" si="218"/>
        <v>0</v>
      </c>
      <c r="CV563" s="1754"/>
      <c r="CW563" s="1754"/>
      <c r="CX563" s="1754">
        <f t="shared" si="219"/>
        <v>0</v>
      </c>
      <c r="CY563" s="1754"/>
      <c r="CZ563" s="1754"/>
      <c r="DA563" s="1754"/>
      <c r="DC563" s="383">
        <f>IF($BE563&gt;$R$66-3,226,0)</f>
        <v>226</v>
      </c>
      <c r="DD563" s="1754">
        <f t="shared" si="207"/>
        <v>0</v>
      </c>
      <c r="DE563" s="1754"/>
      <c r="DF563" s="1754"/>
      <c r="DG563" s="1754"/>
      <c r="DH563" s="1754">
        <f t="shared" si="227"/>
        <v>0</v>
      </c>
      <c r="DI563" s="1754"/>
      <c r="DJ563" s="1754"/>
      <c r="DK563" s="1747">
        <f t="shared" si="254"/>
        <v>0</v>
      </c>
      <c r="DL563" s="1748"/>
      <c r="DM563" s="1748"/>
      <c r="DN563" s="1749"/>
      <c r="DP563" s="383">
        <f t="shared" si="228"/>
        <v>226</v>
      </c>
      <c r="DQ563" s="1754">
        <f t="shared" si="240"/>
        <v>0</v>
      </c>
      <c r="DR563" s="1754"/>
      <c r="DS563" s="1754"/>
      <c r="DT563" s="1754"/>
      <c r="DU563" s="1754">
        <f t="shared" si="241"/>
        <v>0</v>
      </c>
      <c r="DV563" s="1754"/>
      <c r="DW563" s="1754"/>
      <c r="DX563" s="1754">
        <f t="shared" si="248"/>
        <v>0</v>
      </c>
      <c r="DY563" s="1754"/>
      <c r="DZ563" s="1754"/>
      <c r="EA563" s="1754">
        <f t="shared" si="249"/>
        <v>0</v>
      </c>
      <c r="EB563" s="1754"/>
      <c r="EC563" s="1754"/>
      <c r="ED563" s="1754"/>
      <c r="EE563" s="384"/>
      <c r="EF563" s="1750">
        <f t="shared" si="221"/>
        <v>0</v>
      </c>
      <c r="EG563" s="1751"/>
      <c r="EH563" s="1751"/>
      <c r="EI563" s="1751"/>
      <c r="EJ563" s="1752"/>
      <c r="EL563" s="1750">
        <f t="shared" si="250"/>
        <v>0</v>
      </c>
      <c r="EM563" s="1751"/>
      <c r="EN563" s="1751"/>
      <c r="EO563" s="1751"/>
      <c r="EP563" s="1752"/>
      <c r="ER563" s="1750">
        <f t="shared" si="222"/>
        <v>0</v>
      </c>
      <c r="ES563" s="1751"/>
      <c r="ET563" s="1751"/>
      <c r="EU563" s="1751"/>
      <c r="EV563" s="1752"/>
      <c r="EX563" s="1750">
        <f>IF(BE563&gt;0,Einstrahlung!$K$28*Kalkulation!$P$62/100*$AY$29*POWER((100-$P$64)/100,BD563-1),0)</f>
        <v>0</v>
      </c>
      <c r="EY563" s="1751"/>
      <c r="EZ563" s="1751"/>
      <c r="FA563" s="1751"/>
      <c r="FB563" s="1752"/>
      <c r="FD563" s="1750">
        <f t="shared" si="229"/>
        <v>0</v>
      </c>
      <c r="FE563" s="1751"/>
      <c r="FF563" s="1751"/>
      <c r="FG563" s="1751"/>
      <c r="FH563" s="1752"/>
      <c r="FI563" s="385"/>
      <c r="FJ563" s="380">
        <f t="shared" si="239"/>
        <v>0</v>
      </c>
      <c r="FK563" s="385"/>
      <c r="FL563" s="380">
        <f t="shared" si="259"/>
        <v>0</v>
      </c>
      <c r="FM563" s="385"/>
      <c r="FN563" s="380">
        <f t="shared" si="231"/>
        <v>0</v>
      </c>
      <c r="FO563" s="962">
        <f t="shared" si="237"/>
        <v>355</v>
      </c>
      <c r="FP563" s="956">
        <f t="shared" si="223"/>
        <v>0.4</v>
      </c>
      <c r="FQ563" s="380">
        <f t="shared" si="243"/>
        <v>0</v>
      </c>
      <c r="FR563" s="626">
        <f t="shared" si="260"/>
        <v>1</v>
      </c>
      <c r="FT563" s="1819">
        <f t="shared" si="238"/>
        <v>0</v>
      </c>
      <c r="FU563" s="1820"/>
      <c r="FV563" s="1820"/>
      <c r="FW563" s="1820"/>
      <c r="FX563" s="1821"/>
      <c r="FY563" s="1819">
        <f t="shared" si="233"/>
        <v>0</v>
      </c>
      <c r="FZ563" s="1820"/>
      <c r="GA563" s="1820"/>
      <c r="GB563" s="1821"/>
      <c r="GC563" s="1825">
        <f t="shared" si="253"/>
        <v>0</v>
      </c>
      <c r="GD563" s="1826"/>
      <c r="GE563" s="1826"/>
      <c r="GF563" s="1827"/>
      <c r="GH563" s="1750">
        <f t="shared" si="234"/>
        <v>0</v>
      </c>
      <c r="GI563" s="1751"/>
      <c r="GJ563" s="1751"/>
      <c r="GK563" s="1752"/>
      <c r="GL563" s="1750">
        <f t="shared" si="235"/>
        <v>0</v>
      </c>
      <c r="GM563" s="1751"/>
      <c r="GN563" s="1751"/>
      <c r="GO563" s="1752"/>
      <c r="GP563" s="385"/>
      <c r="GQ563" s="1750">
        <f t="shared" si="236"/>
        <v>0</v>
      </c>
      <c r="GR563" s="1751"/>
      <c r="GS563" s="1751"/>
      <c r="GT563" s="1752"/>
      <c r="GU563" s="192">
        <f t="shared" si="242"/>
        <v>1</v>
      </c>
      <c r="GV563" s="192">
        <f>SUM($GU$337:GU563)</f>
        <v>219</v>
      </c>
      <c r="GW563" s="318"/>
      <c r="HN563" s="380">
        <f t="shared" si="255"/>
        <v>0</v>
      </c>
      <c r="HX563" s="380"/>
    </row>
    <row r="564" spans="4:232">
      <c r="D564" s="519" t="s">
        <v>391</v>
      </c>
      <c r="E564" s="386"/>
      <c r="F564" s="1673" t="s">
        <v>344</v>
      </c>
      <c r="G564" s="1673"/>
      <c r="H564" s="1673"/>
      <c r="I564" s="1673"/>
      <c r="J564" s="1673"/>
      <c r="K564" s="1673"/>
      <c r="L564" s="1673"/>
      <c r="M564" s="1673"/>
      <c r="N564" s="1673"/>
      <c r="O564" s="709" t="s">
        <v>666</v>
      </c>
      <c r="P564" s="520"/>
      <c r="Q564" s="520"/>
      <c r="R564" s="520"/>
      <c r="S564" s="520"/>
      <c r="T564" s="520"/>
      <c r="U564" s="397"/>
      <c r="V564" s="397"/>
      <c r="W564" s="397"/>
      <c r="X564" s="397"/>
      <c r="Y564" s="399"/>
      <c r="BD564" s="387">
        <f t="shared" si="256"/>
        <v>18</v>
      </c>
      <c r="BE564" s="382">
        <f>IF(BD564&gt;0,227,0)</f>
        <v>227</v>
      </c>
      <c r="BG564" s="383">
        <f>IF($BE564&gt;$R$66-3+($BR$335*12),227,0)</f>
        <v>227</v>
      </c>
      <c r="BH564" s="1754">
        <f t="shared" si="257"/>
        <v>0</v>
      </c>
      <c r="BI564" s="1754"/>
      <c r="BJ564" s="1754"/>
      <c r="BK564" s="1754"/>
      <c r="BL564" s="1754">
        <f t="shared" si="224"/>
        <v>0</v>
      </c>
      <c r="BM564" s="1754"/>
      <c r="BN564" s="1754"/>
      <c r="BO564" s="1754">
        <f t="shared" si="214"/>
        <v>0</v>
      </c>
      <c r="BP564" s="1754"/>
      <c r="BQ564" s="1754"/>
      <c r="BR564" s="1754">
        <f t="shared" si="258"/>
        <v>0</v>
      </c>
      <c r="BS564" s="1754"/>
      <c r="BT564" s="1754"/>
      <c r="BU564" s="1754"/>
      <c r="BW564" s="383">
        <f>IF($BE564&gt;$R$66-3+($CH$335*12),227,0)</f>
        <v>227</v>
      </c>
      <c r="BX564" s="1754">
        <f t="shared" si="205"/>
        <v>0</v>
      </c>
      <c r="BY564" s="1754"/>
      <c r="BZ564" s="1754"/>
      <c r="CA564" s="1754"/>
      <c r="CB564" s="1754">
        <f t="shared" si="225"/>
        <v>0</v>
      </c>
      <c r="CC564" s="1754"/>
      <c r="CD564" s="1754"/>
      <c r="CE564" s="1754">
        <f t="shared" si="216"/>
        <v>0</v>
      </c>
      <c r="CF564" s="1754"/>
      <c r="CG564" s="1754"/>
      <c r="CH564" s="1754">
        <f t="shared" si="217"/>
        <v>0</v>
      </c>
      <c r="CI564" s="1754"/>
      <c r="CJ564" s="1754"/>
      <c r="CK564" s="1754"/>
      <c r="CM564" s="383">
        <f>IF($BE564&gt;$R$66-3+($CX$335*12),227,0)</f>
        <v>227</v>
      </c>
      <c r="CN564" s="1754">
        <f t="shared" si="206"/>
        <v>0</v>
      </c>
      <c r="CO564" s="1754"/>
      <c r="CP564" s="1754"/>
      <c r="CQ564" s="1754"/>
      <c r="CR564" s="1754">
        <f t="shared" si="226"/>
        <v>0</v>
      </c>
      <c r="CS564" s="1754"/>
      <c r="CT564" s="1754"/>
      <c r="CU564" s="1754">
        <f t="shared" si="218"/>
        <v>0</v>
      </c>
      <c r="CV564" s="1754"/>
      <c r="CW564" s="1754"/>
      <c r="CX564" s="1754">
        <f t="shared" si="219"/>
        <v>0</v>
      </c>
      <c r="CY564" s="1754"/>
      <c r="CZ564" s="1754"/>
      <c r="DA564" s="1754"/>
      <c r="DC564" s="383">
        <f>IF($BE564&gt;$R$66-3,227,0)</f>
        <v>227</v>
      </c>
      <c r="DD564" s="1754">
        <f t="shared" si="207"/>
        <v>0</v>
      </c>
      <c r="DE564" s="1754"/>
      <c r="DF564" s="1754"/>
      <c r="DG564" s="1754"/>
      <c r="DH564" s="1754">
        <f t="shared" si="227"/>
        <v>0</v>
      </c>
      <c r="DI564" s="1754"/>
      <c r="DJ564" s="1754"/>
      <c r="DK564" s="1747">
        <f t="shared" si="254"/>
        <v>0</v>
      </c>
      <c r="DL564" s="1748"/>
      <c r="DM564" s="1748"/>
      <c r="DN564" s="1749"/>
      <c r="DP564" s="383">
        <f t="shared" si="228"/>
        <v>227</v>
      </c>
      <c r="DQ564" s="1754">
        <f t="shared" si="240"/>
        <v>0</v>
      </c>
      <c r="DR564" s="1754"/>
      <c r="DS564" s="1754"/>
      <c r="DT564" s="1754"/>
      <c r="DU564" s="1754">
        <f t="shared" si="241"/>
        <v>0</v>
      </c>
      <c r="DV564" s="1754"/>
      <c r="DW564" s="1754"/>
      <c r="DX564" s="1754">
        <f t="shared" si="248"/>
        <v>0</v>
      </c>
      <c r="DY564" s="1754"/>
      <c r="DZ564" s="1754"/>
      <c r="EA564" s="1754">
        <f t="shared" si="249"/>
        <v>0</v>
      </c>
      <c r="EB564" s="1754"/>
      <c r="EC564" s="1754"/>
      <c r="ED564" s="1754"/>
      <c r="EE564" s="384"/>
      <c r="EF564" s="1750">
        <f t="shared" si="221"/>
        <v>0</v>
      </c>
      <c r="EG564" s="1751"/>
      <c r="EH564" s="1751"/>
      <c r="EI564" s="1751"/>
      <c r="EJ564" s="1752"/>
      <c r="EL564" s="1750">
        <f t="shared" si="250"/>
        <v>0</v>
      </c>
      <c r="EM564" s="1751"/>
      <c r="EN564" s="1751"/>
      <c r="EO564" s="1751"/>
      <c r="EP564" s="1752"/>
      <c r="ER564" s="1750">
        <f t="shared" si="222"/>
        <v>0</v>
      </c>
      <c r="ES564" s="1751"/>
      <c r="ET564" s="1751"/>
      <c r="EU564" s="1751"/>
      <c r="EV564" s="1752"/>
      <c r="EX564" s="1750">
        <f>IF(BE564&gt;0,Einstrahlung!$K$30*Kalkulation!$P$62/100*$AY$29*POWER((100-$P$64)/100,BD564-1),0)</f>
        <v>0</v>
      </c>
      <c r="EY564" s="1751"/>
      <c r="EZ564" s="1751"/>
      <c r="FA564" s="1751"/>
      <c r="FB564" s="1752"/>
      <c r="FD564" s="1750">
        <f t="shared" si="229"/>
        <v>0</v>
      </c>
      <c r="FE564" s="1751"/>
      <c r="FF564" s="1751"/>
      <c r="FG564" s="1751"/>
      <c r="FH564" s="1752"/>
      <c r="FI564" s="385"/>
      <c r="FJ564" s="380">
        <f t="shared" si="239"/>
        <v>0</v>
      </c>
      <c r="FK564" s="385"/>
      <c r="FL564" s="380">
        <f t="shared" si="259"/>
        <v>0</v>
      </c>
      <c r="FM564" s="385"/>
      <c r="FN564" s="380">
        <f t="shared" si="231"/>
        <v>0</v>
      </c>
      <c r="FO564" s="962">
        <f t="shared" si="237"/>
        <v>356</v>
      </c>
      <c r="FP564" s="956">
        <f t="shared" si="223"/>
        <v>0.4</v>
      </c>
      <c r="FQ564" s="380">
        <f t="shared" si="243"/>
        <v>0</v>
      </c>
      <c r="FR564" s="626">
        <f t="shared" si="260"/>
        <v>1</v>
      </c>
      <c r="FT564" s="1819">
        <f t="shared" si="238"/>
        <v>0</v>
      </c>
      <c r="FU564" s="1820"/>
      <c r="FV564" s="1820"/>
      <c r="FW564" s="1820"/>
      <c r="FX564" s="1821"/>
      <c r="FY564" s="1819">
        <f t="shared" si="233"/>
        <v>0</v>
      </c>
      <c r="FZ564" s="1820"/>
      <c r="GA564" s="1820"/>
      <c r="GB564" s="1821"/>
      <c r="GC564" s="1825">
        <f t="shared" si="253"/>
        <v>0</v>
      </c>
      <c r="GD564" s="1826"/>
      <c r="GE564" s="1826"/>
      <c r="GF564" s="1827"/>
      <c r="GH564" s="1750">
        <f t="shared" si="234"/>
        <v>0</v>
      </c>
      <c r="GI564" s="1751"/>
      <c r="GJ564" s="1751"/>
      <c r="GK564" s="1752"/>
      <c r="GL564" s="1750">
        <f t="shared" si="235"/>
        <v>0</v>
      </c>
      <c r="GM564" s="1751"/>
      <c r="GN564" s="1751"/>
      <c r="GO564" s="1752"/>
      <c r="GP564" s="385"/>
      <c r="GQ564" s="1750">
        <f t="shared" si="236"/>
        <v>0</v>
      </c>
      <c r="GR564" s="1751"/>
      <c r="GS564" s="1751"/>
      <c r="GT564" s="1752"/>
      <c r="GU564" s="192">
        <f t="shared" si="242"/>
        <v>1</v>
      </c>
      <c r="GV564" s="192">
        <f>SUM($GU$337:GU564)</f>
        <v>220</v>
      </c>
      <c r="GW564" s="318"/>
      <c r="HN564" s="380">
        <f t="shared" si="255"/>
        <v>0</v>
      </c>
      <c r="HX564" s="380"/>
    </row>
    <row r="565" spans="4:232" ht="13.5" thickBot="1">
      <c r="D565" s="411" t="s">
        <v>67</v>
      </c>
      <c r="E565" s="764"/>
      <c r="F565" s="1568">
        <f>AH245</f>
        <v>0</v>
      </c>
      <c r="G565" s="1568"/>
      <c r="H565" s="1568"/>
      <c r="I565" s="1568"/>
      <c r="J565" s="1568"/>
      <c r="K565" s="1568"/>
      <c r="L565" s="1568"/>
      <c r="M565" s="1568"/>
      <c r="N565" s="1568"/>
      <c r="O565" s="1568"/>
      <c r="P565" s="1568"/>
      <c r="Q565" s="1568"/>
      <c r="R565" s="1568"/>
      <c r="S565" s="1568"/>
      <c r="T565" s="1568"/>
      <c r="U565" s="247"/>
      <c r="V565" s="247"/>
      <c r="W565" s="247"/>
      <c r="X565" s="247"/>
      <c r="Y565" s="314"/>
      <c r="BD565" s="389">
        <f t="shared" si="256"/>
        <v>18</v>
      </c>
      <c r="BE565" s="390">
        <f>IF(BD565&gt;0,228,0)</f>
        <v>228</v>
      </c>
      <c r="BG565" s="391">
        <f>IF($BE565&gt;$R$66-3+($BR$335*12),228,0)</f>
        <v>228</v>
      </c>
      <c r="BH565" s="1753">
        <f t="shared" si="257"/>
        <v>0</v>
      </c>
      <c r="BI565" s="1753"/>
      <c r="BJ565" s="1753"/>
      <c r="BK565" s="1753"/>
      <c r="BL565" s="1753">
        <f t="shared" si="224"/>
        <v>0</v>
      </c>
      <c r="BM565" s="1753"/>
      <c r="BN565" s="1753"/>
      <c r="BO565" s="1753">
        <f t="shared" si="214"/>
        <v>0</v>
      </c>
      <c r="BP565" s="1753"/>
      <c r="BQ565" s="1753"/>
      <c r="BR565" s="1753">
        <f t="shared" si="258"/>
        <v>0</v>
      </c>
      <c r="BS565" s="1753"/>
      <c r="BT565" s="1753"/>
      <c r="BU565" s="1753"/>
      <c r="BW565" s="391">
        <f>IF($BE565&gt;$R$66-3+($CH$335*12),228,0)</f>
        <v>228</v>
      </c>
      <c r="BX565" s="1753">
        <f t="shared" si="205"/>
        <v>0</v>
      </c>
      <c r="BY565" s="1753"/>
      <c r="BZ565" s="1753"/>
      <c r="CA565" s="1753"/>
      <c r="CB565" s="1753">
        <f t="shared" si="225"/>
        <v>0</v>
      </c>
      <c r="CC565" s="1753"/>
      <c r="CD565" s="1753"/>
      <c r="CE565" s="1753">
        <f t="shared" si="216"/>
        <v>0</v>
      </c>
      <c r="CF565" s="1753"/>
      <c r="CG565" s="1753"/>
      <c r="CH565" s="1753">
        <f t="shared" si="217"/>
        <v>0</v>
      </c>
      <c r="CI565" s="1753"/>
      <c r="CJ565" s="1753"/>
      <c r="CK565" s="1753"/>
      <c r="CM565" s="391">
        <f>IF($BE565&gt;$R$66-3+($CX$335*12),228,0)</f>
        <v>228</v>
      </c>
      <c r="CN565" s="1753">
        <f t="shared" si="206"/>
        <v>0</v>
      </c>
      <c r="CO565" s="1753"/>
      <c r="CP565" s="1753"/>
      <c r="CQ565" s="1753"/>
      <c r="CR565" s="1753">
        <f t="shared" si="226"/>
        <v>0</v>
      </c>
      <c r="CS565" s="1753"/>
      <c r="CT565" s="1753"/>
      <c r="CU565" s="1753">
        <f t="shared" si="218"/>
        <v>0</v>
      </c>
      <c r="CV565" s="1753"/>
      <c r="CW565" s="1753"/>
      <c r="CX565" s="1753">
        <f t="shared" si="219"/>
        <v>0</v>
      </c>
      <c r="CY565" s="1753"/>
      <c r="CZ565" s="1753"/>
      <c r="DA565" s="1753"/>
      <c r="DC565" s="391">
        <f>IF($BE565&gt;$R$66-3,228,0)</f>
        <v>228</v>
      </c>
      <c r="DD565" s="1753">
        <f t="shared" si="207"/>
        <v>0</v>
      </c>
      <c r="DE565" s="1753"/>
      <c r="DF565" s="1753"/>
      <c r="DG565" s="1753"/>
      <c r="DH565" s="1753">
        <f t="shared" si="227"/>
        <v>0</v>
      </c>
      <c r="DI565" s="1753"/>
      <c r="DJ565" s="1753"/>
      <c r="DK565" s="1755">
        <f t="shared" si="254"/>
        <v>0</v>
      </c>
      <c r="DL565" s="1756"/>
      <c r="DM565" s="1756"/>
      <c r="DN565" s="1757"/>
      <c r="DP565" s="391">
        <f t="shared" si="228"/>
        <v>228</v>
      </c>
      <c r="DQ565" s="1753">
        <f t="shared" si="240"/>
        <v>0</v>
      </c>
      <c r="DR565" s="1753"/>
      <c r="DS565" s="1753"/>
      <c r="DT565" s="1753"/>
      <c r="DU565" s="1753">
        <f t="shared" si="241"/>
        <v>0</v>
      </c>
      <c r="DV565" s="1753"/>
      <c r="DW565" s="1753"/>
      <c r="DX565" s="1753">
        <f t="shared" si="248"/>
        <v>0</v>
      </c>
      <c r="DY565" s="1753"/>
      <c r="DZ565" s="1753"/>
      <c r="EA565" s="1753">
        <f t="shared" si="249"/>
        <v>0</v>
      </c>
      <c r="EB565" s="1753"/>
      <c r="EC565" s="1753"/>
      <c r="ED565" s="1753"/>
      <c r="EE565" s="384"/>
      <c r="EF565" s="1744">
        <f t="shared" si="221"/>
        <v>0</v>
      </c>
      <c r="EG565" s="1745"/>
      <c r="EH565" s="1745"/>
      <c r="EI565" s="1745"/>
      <c r="EJ565" s="1746"/>
      <c r="EL565" s="1744">
        <f t="shared" si="250"/>
        <v>0</v>
      </c>
      <c r="EM565" s="1745"/>
      <c r="EN565" s="1745"/>
      <c r="EO565" s="1745"/>
      <c r="EP565" s="1746"/>
      <c r="ER565" s="1744">
        <f t="shared" si="222"/>
        <v>0</v>
      </c>
      <c r="ES565" s="1745"/>
      <c r="ET565" s="1745"/>
      <c r="EU565" s="1745"/>
      <c r="EV565" s="1746"/>
      <c r="EX565" s="1744">
        <f>IF(BE565&gt;0,Einstrahlung!$K$32*Kalkulation!$P$62/100*$AY$29*POWER((100-$P$64)/100,BD565-1),0)</f>
        <v>0</v>
      </c>
      <c r="EY565" s="1745"/>
      <c r="EZ565" s="1745"/>
      <c r="FA565" s="1745"/>
      <c r="FB565" s="1746"/>
      <c r="FD565" s="1744">
        <f t="shared" si="229"/>
        <v>0</v>
      </c>
      <c r="FE565" s="1745"/>
      <c r="FF565" s="1745"/>
      <c r="FG565" s="1745"/>
      <c r="FH565" s="1746"/>
      <c r="FI565" s="385"/>
      <c r="FJ565" s="453">
        <f t="shared" si="239"/>
        <v>0</v>
      </c>
      <c r="FK565" s="385"/>
      <c r="FL565" s="453">
        <f t="shared" si="259"/>
        <v>0</v>
      </c>
      <c r="FM565" s="385"/>
      <c r="FN565" s="453">
        <f t="shared" si="231"/>
        <v>0</v>
      </c>
      <c r="FO565" s="962">
        <f t="shared" si="237"/>
        <v>357</v>
      </c>
      <c r="FP565" s="956">
        <f t="shared" si="223"/>
        <v>0.4</v>
      </c>
      <c r="FQ565" s="453">
        <f t="shared" si="243"/>
        <v>0</v>
      </c>
      <c r="FR565" s="957">
        <f>POWER(1+$FQ$333,FS565)</f>
        <v>1</v>
      </c>
      <c r="FS565" s="617">
        <f>FS553+1</f>
        <v>18</v>
      </c>
      <c r="FT565" s="1822">
        <f t="shared" si="238"/>
        <v>0</v>
      </c>
      <c r="FU565" s="1823"/>
      <c r="FV565" s="1823"/>
      <c r="FW565" s="1823"/>
      <c r="FX565" s="1824"/>
      <c r="FY565" s="1822">
        <f t="shared" si="233"/>
        <v>0</v>
      </c>
      <c r="FZ565" s="1823"/>
      <c r="GA565" s="1823"/>
      <c r="GB565" s="1824"/>
      <c r="GC565" s="1831">
        <f t="shared" si="253"/>
        <v>0</v>
      </c>
      <c r="GD565" s="1832"/>
      <c r="GE565" s="1832"/>
      <c r="GF565" s="1833"/>
      <c r="GH565" s="1744">
        <f t="shared" si="234"/>
        <v>0</v>
      </c>
      <c r="GI565" s="1745"/>
      <c r="GJ565" s="1745"/>
      <c r="GK565" s="1746"/>
      <c r="GL565" s="1744">
        <f t="shared" si="235"/>
        <v>0</v>
      </c>
      <c r="GM565" s="1745"/>
      <c r="GN565" s="1745"/>
      <c r="GO565" s="1746"/>
      <c r="GP565" s="385"/>
      <c r="GQ565" s="1744">
        <f t="shared" si="236"/>
        <v>0</v>
      </c>
      <c r="GR565" s="1745"/>
      <c r="GS565" s="1745"/>
      <c r="GT565" s="1746"/>
      <c r="GU565" s="192">
        <f t="shared" si="242"/>
        <v>1</v>
      </c>
      <c r="GV565" s="192">
        <f>SUM($GU$337:GU565)</f>
        <v>221</v>
      </c>
      <c r="GW565" s="318"/>
      <c r="HO565" s="380">
        <f t="shared" ref="HO565:HO576" si="261">IF(GV565=228,SUM(GQ554:GT565),0)</f>
        <v>0</v>
      </c>
      <c r="HX565" s="380"/>
    </row>
    <row r="566" spans="4:232">
      <c r="D566" s="411"/>
      <c r="E566" s="764"/>
      <c r="F566" s="1568"/>
      <c r="G566" s="1568"/>
      <c r="H566" s="1568"/>
      <c r="I566" s="1568">
        <f>F565</f>
        <v>0</v>
      </c>
      <c r="J566" s="1568"/>
      <c r="K566" s="1568"/>
      <c r="L566" s="1568"/>
      <c r="M566" s="1568"/>
      <c r="N566" s="1568"/>
      <c r="O566" s="1568"/>
      <c r="P566" s="1568"/>
      <c r="Q566" s="1568"/>
      <c r="R566" s="1568"/>
      <c r="S566" s="1568"/>
      <c r="T566" s="1568"/>
      <c r="U566" s="247"/>
      <c r="V566" s="247"/>
      <c r="W566" s="247"/>
      <c r="X566" s="247"/>
      <c r="Y566" s="314"/>
      <c r="BD566" s="381">
        <f t="shared" ref="BD566:BD577" si="262">IF(BH566&lt;0,0,IF($V$21&gt;0,19,0))</f>
        <v>19</v>
      </c>
      <c r="BE566" s="382">
        <f>IF(BD566&gt;0,229,0)</f>
        <v>229</v>
      </c>
      <c r="BG566" s="395">
        <f>IF($BE566&gt;$R$66-3+($BR$335*12),229,0)</f>
        <v>229</v>
      </c>
      <c r="BH566" s="1754">
        <f t="shared" ref="BH566:BH577" si="263">IF(BR565&lt;=0,0,BR565)</f>
        <v>0</v>
      </c>
      <c r="BI566" s="1754"/>
      <c r="BJ566" s="1754"/>
      <c r="BK566" s="1754"/>
      <c r="BL566" s="1754">
        <f t="shared" si="224"/>
        <v>0</v>
      </c>
      <c r="BM566" s="1754"/>
      <c r="BN566" s="1754"/>
      <c r="BO566" s="1754">
        <f t="shared" si="214"/>
        <v>0</v>
      </c>
      <c r="BP566" s="1754"/>
      <c r="BQ566" s="1754"/>
      <c r="BR566" s="1754">
        <f t="shared" ref="BR566:BR577" si="264">BH566-BL566</f>
        <v>0</v>
      </c>
      <c r="BS566" s="1754"/>
      <c r="BT566" s="1754"/>
      <c r="BU566" s="1754"/>
      <c r="BW566" s="395">
        <f>IF($BE566&gt;$R$66-3+($CH$335*12),229,0)</f>
        <v>229</v>
      </c>
      <c r="BX566" s="1754">
        <f t="shared" si="205"/>
        <v>0</v>
      </c>
      <c r="BY566" s="1754"/>
      <c r="BZ566" s="1754"/>
      <c r="CA566" s="1754"/>
      <c r="CB566" s="1754">
        <f t="shared" si="225"/>
        <v>0</v>
      </c>
      <c r="CC566" s="1754"/>
      <c r="CD566" s="1754"/>
      <c r="CE566" s="1754">
        <f t="shared" si="216"/>
        <v>0</v>
      </c>
      <c r="CF566" s="1754"/>
      <c r="CG566" s="1754"/>
      <c r="CH566" s="1754">
        <f t="shared" si="217"/>
        <v>0</v>
      </c>
      <c r="CI566" s="1754"/>
      <c r="CJ566" s="1754"/>
      <c r="CK566" s="1754"/>
      <c r="CM566" s="395">
        <f>IF($BE566&gt;$R$66-3+($CX$335*12),229,0)</f>
        <v>229</v>
      </c>
      <c r="CN566" s="1754">
        <f t="shared" si="206"/>
        <v>0</v>
      </c>
      <c r="CO566" s="1754"/>
      <c r="CP566" s="1754"/>
      <c r="CQ566" s="1754"/>
      <c r="CR566" s="1754">
        <f t="shared" si="226"/>
        <v>0</v>
      </c>
      <c r="CS566" s="1754"/>
      <c r="CT566" s="1754"/>
      <c r="CU566" s="1754">
        <f t="shared" si="218"/>
        <v>0</v>
      </c>
      <c r="CV566" s="1754"/>
      <c r="CW566" s="1754"/>
      <c r="CX566" s="1754">
        <f t="shared" si="219"/>
        <v>0</v>
      </c>
      <c r="CY566" s="1754"/>
      <c r="CZ566" s="1754"/>
      <c r="DA566" s="1754"/>
      <c r="DC566" s="395">
        <f>IF($BE566&gt;$R$66-3,229,0)</f>
        <v>229</v>
      </c>
      <c r="DD566" s="1754">
        <f t="shared" si="207"/>
        <v>0</v>
      </c>
      <c r="DE566" s="1754"/>
      <c r="DF566" s="1754"/>
      <c r="DG566" s="1754"/>
      <c r="DH566" s="1754">
        <f t="shared" si="227"/>
        <v>0</v>
      </c>
      <c r="DI566" s="1754"/>
      <c r="DJ566" s="1754"/>
      <c r="DK566" s="1754">
        <f t="shared" si="254"/>
        <v>0</v>
      </c>
      <c r="DL566" s="1754"/>
      <c r="DM566" s="1754"/>
      <c r="DN566" s="1754"/>
      <c r="DP566" s="395">
        <f t="shared" si="228"/>
        <v>229</v>
      </c>
      <c r="DQ566" s="1754">
        <f t="shared" si="240"/>
        <v>0</v>
      </c>
      <c r="DR566" s="1754"/>
      <c r="DS566" s="1754"/>
      <c r="DT566" s="1754"/>
      <c r="DU566" s="1754">
        <f t="shared" si="241"/>
        <v>0</v>
      </c>
      <c r="DV566" s="1754"/>
      <c r="DW566" s="1754"/>
      <c r="DX566" s="1754">
        <f t="shared" si="248"/>
        <v>0</v>
      </c>
      <c r="DY566" s="1754"/>
      <c r="DZ566" s="1754"/>
      <c r="EA566" s="1754">
        <f t="shared" si="249"/>
        <v>0</v>
      </c>
      <c r="EB566" s="1754"/>
      <c r="EC566" s="1754"/>
      <c r="ED566" s="1754"/>
      <c r="EE566" s="384"/>
      <c r="EF566" s="1750">
        <f t="shared" si="221"/>
        <v>0</v>
      </c>
      <c r="EG566" s="1751"/>
      <c r="EH566" s="1751"/>
      <c r="EI566" s="1751"/>
      <c r="EJ566" s="1752"/>
      <c r="EL566" s="1750">
        <f t="shared" si="250"/>
        <v>0</v>
      </c>
      <c r="EM566" s="1751"/>
      <c r="EN566" s="1751"/>
      <c r="EO566" s="1751"/>
      <c r="EP566" s="1752"/>
      <c r="ER566" s="1750">
        <f t="shared" si="222"/>
        <v>0</v>
      </c>
      <c r="ES566" s="1751"/>
      <c r="ET566" s="1751"/>
      <c r="EU566" s="1751"/>
      <c r="EV566" s="1752"/>
      <c r="EX566" s="1750">
        <f>IF(BE566&gt;0,Einstrahlung!$K$10*Kalkulation!$P$62/100*$AY$29*POWER((100-$P$64)/100,BD566-1),0)</f>
        <v>0</v>
      </c>
      <c r="EY566" s="1751"/>
      <c r="EZ566" s="1751"/>
      <c r="FA566" s="1751"/>
      <c r="FB566" s="1752"/>
      <c r="FD566" s="1750">
        <f t="shared" si="229"/>
        <v>0</v>
      </c>
      <c r="FE566" s="1751"/>
      <c r="FF566" s="1751"/>
      <c r="FG566" s="1751"/>
      <c r="FH566" s="1752"/>
      <c r="FI566" s="385"/>
      <c r="FJ566" s="380">
        <f t="shared" si="239"/>
        <v>0</v>
      </c>
      <c r="FK566" s="385"/>
      <c r="FL566" s="380">
        <f>IF(BE566&gt;0,IF($FL$336&gt;SUM($EX$566:$FB$577),SUM($EX$566:$FB$577)/12,$FL$336/12),0)</f>
        <v>0</v>
      </c>
      <c r="FM566" s="385"/>
      <c r="FN566" s="380">
        <f t="shared" si="231"/>
        <v>0</v>
      </c>
      <c r="FO566" s="962">
        <f t="shared" si="237"/>
        <v>358</v>
      </c>
      <c r="FP566" s="956">
        <f t="shared" si="223"/>
        <v>0.4</v>
      </c>
      <c r="FQ566" s="380">
        <f t="shared" si="243"/>
        <v>0</v>
      </c>
      <c r="FR566" s="626">
        <f>IF(AND(GV566&gt;216,GV566&lt;=228),$FR$565,IF(AND(GV566&gt;228,GV566&lt;=240),$FR$577,0))</f>
        <v>1</v>
      </c>
      <c r="FT566" s="1819">
        <f t="shared" si="238"/>
        <v>0</v>
      </c>
      <c r="FU566" s="1820"/>
      <c r="FV566" s="1820"/>
      <c r="FW566" s="1820"/>
      <c r="FX566" s="1821"/>
      <c r="FY566" s="1819">
        <f t="shared" si="233"/>
        <v>0</v>
      </c>
      <c r="FZ566" s="1820"/>
      <c r="GA566" s="1820"/>
      <c r="GB566" s="1821"/>
      <c r="GC566" s="1825">
        <f t="shared" si="253"/>
        <v>0</v>
      </c>
      <c r="GD566" s="1826"/>
      <c r="GE566" s="1826"/>
      <c r="GF566" s="1827"/>
      <c r="GH566" s="1750">
        <f t="shared" si="234"/>
        <v>0</v>
      </c>
      <c r="GI566" s="1751"/>
      <c r="GJ566" s="1751"/>
      <c r="GK566" s="1751"/>
      <c r="GL566" s="1750">
        <f t="shared" si="235"/>
        <v>0</v>
      </c>
      <c r="GM566" s="1751"/>
      <c r="GN566" s="1751"/>
      <c r="GO566" s="1752"/>
      <c r="GP566" s="385"/>
      <c r="GQ566" s="1865">
        <f t="shared" si="236"/>
        <v>0</v>
      </c>
      <c r="GR566" s="1866"/>
      <c r="GS566" s="1866"/>
      <c r="GT566" s="1867"/>
      <c r="GU566" s="192">
        <f t="shared" si="242"/>
        <v>1</v>
      </c>
      <c r="GV566" s="192">
        <f>SUM($GU$337:GU566)</f>
        <v>222</v>
      </c>
      <c r="GW566" s="318"/>
      <c r="HO566" s="380">
        <f t="shared" si="261"/>
        <v>0</v>
      </c>
      <c r="HX566" s="380"/>
    </row>
    <row r="567" spans="4:232">
      <c r="D567" s="411"/>
      <c r="E567" s="764"/>
      <c r="F567" s="1568"/>
      <c r="G567" s="1568"/>
      <c r="H567" s="1568"/>
      <c r="I567" s="1568"/>
      <c r="J567" s="1568"/>
      <c r="K567" s="1568"/>
      <c r="L567" s="1568">
        <f>F565</f>
        <v>0</v>
      </c>
      <c r="M567" s="1568"/>
      <c r="N567" s="1568"/>
      <c r="O567" s="1568"/>
      <c r="P567" s="1568"/>
      <c r="Q567" s="1568"/>
      <c r="R567" s="1568"/>
      <c r="S567" s="1568"/>
      <c r="T567" s="1568"/>
      <c r="U567" s="247"/>
      <c r="V567" s="247"/>
      <c r="W567" s="247"/>
      <c r="X567" s="247"/>
      <c r="Y567" s="314"/>
      <c r="BD567" s="387">
        <f t="shared" si="262"/>
        <v>19</v>
      </c>
      <c r="BE567" s="382">
        <f>IF(BD567&gt;0,230,0)</f>
        <v>230</v>
      </c>
      <c r="BG567" s="383">
        <f>IF($BE567&gt;$R$66-3+($BR$335*12),230,0)</f>
        <v>230</v>
      </c>
      <c r="BH567" s="1754">
        <f t="shared" si="263"/>
        <v>0</v>
      </c>
      <c r="BI567" s="1754"/>
      <c r="BJ567" s="1754"/>
      <c r="BK567" s="1754"/>
      <c r="BL567" s="1754">
        <f t="shared" si="224"/>
        <v>0</v>
      </c>
      <c r="BM567" s="1754"/>
      <c r="BN567" s="1754"/>
      <c r="BO567" s="1754">
        <f t="shared" si="214"/>
        <v>0</v>
      </c>
      <c r="BP567" s="1754"/>
      <c r="BQ567" s="1754"/>
      <c r="BR567" s="1754">
        <f t="shared" si="264"/>
        <v>0</v>
      </c>
      <c r="BS567" s="1754"/>
      <c r="BT567" s="1754"/>
      <c r="BU567" s="1754"/>
      <c r="BW567" s="383">
        <f>IF($BE567&gt;$R$66-3+($CH$335*12),230,0)</f>
        <v>230</v>
      </c>
      <c r="BX567" s="1754">
        <f t="shared" si="205"/>
        <v>0</v>
      </c>
      <c r="BY567" s="1754"/>
      <c r="BZ567" s="1754"/>
      <c r="CA567" s="1754"/>
      <c r="CB567" s="1754">
        <f t="shared" si="225"/>
        <v>0</v>
      </c>
      <c r="CC567" s="1754"/>
      <c r="CD567" s="1754"/>
      <c r="CE567" s="1754">
        <f t="shared" si="216"/>
        <v>0</v>
      </c>
      <c r="CF567" s="1754"/>
      <c r="CG567" s="1754"/>
      <c r="CH567" s="1754">
        <f t="shared" si="217"/>
        <v>0</v>
      </c>
      <c r="CI567" s="1754"/>
      <c r="CJ567" s="1754"/>
      <c r="CK567" s="1754"/>
      <c r="CM567" s="383">
        <f>IF($BE567&gt;$R$66-3+($CX$335*12),230,0)</f>
        <v>230</v>
      </c>
      <c r="CN567" s="1754">
        <f t="shared" si="206"/>
        <v>0</v>
      </c>
      <c r="CO567" s="1754"/>
      <c r="CP567" s="1754"/>
      <c r="CQ567" s="1754"/>
      <c r="CR567" s="1754">
        <f t="shared" si="226"/>
        <v>0</v>
      </c>
      <c r="CS567" s="1754"/>
      <c r="CT567" s="1754"/>
      <c r="CU567" s="1754">
        <f t="shared" si="218"/>
        <v>0</v>
      </c>
      <c r="CV567" s="1754"/>
      <c r="CW567" s="1754"/>
      <c r="CX567" s="1754">
        <f t="shared" si="219"/>
        <v>0</v>
      </c>
      <c r="CY567" s="1754"/>
      <c r="CZ567" s="1754"/>
      <c r="DA567" s="1754"/>
      <c r="DC567" s="383">
        <f>IF($BE567&gt;$R$66-3,230,0)</f>
        <v>230</v>
      </c>
      <c r="DD567" s="1754">
        <f t="shared" si="207"/>
        <v>0</v>
      </c>
      <c r="DE567" s="1754"/>
      <c r="DF567" s="1754"/>
      <c r="DG567" s="1754"/>
      <c r="DH567" s="1754">
        <f t="shared" si="227"/>
        <v>0</v>
      </c>
      <c r="DI567" s="1754"/>
      <c r="DJ567" s="1754"/>
      <c r="DK567" s="1754">
        <f t="shared" si="254"/>
        <v>0</v>
      </c>
      <c r="DL567" s="1754"/>
      <c r="DM567" s="1754"/>
      <c r="DN567" s="1754"/>
      <c r="DP567" s="383">
        <f t="shared" si="228"/>
        <v>230</v>
      </c>
      <c r="DQ567" s="1754">
        <f t="shared" si="240"/>
        <v>0</v>
      </c>
      <c r="DR567" s="1754"/>
      <c r="DS567" s="1754"/>
      <c r="DT567" s="1754"/>
      <c r="DU567" s="1754">
        <f t="shared" si="241"/>
        <v>0</v>
      </c>
      <c r="DV567" s="1754"/>
      <c r="DW567" s="1754"/>
      <c r="DX567" s="1754">
        <f t="shared" si="248"/>
        <v>0</v>
      </c>
      <c r="DY567" s="1754"/>
      <c r="DZ567" s="1754"/>
      <c r="EA567" s="1754">
        <f t="shared" si="249"/>
        <v>0</v>
      </c>
      <c r="EB567" s="1754"/>
      <c r="EC567" s="1754"/>
      <c r="ED567" s="1754"/>
      <c r="EE567" s="384"/>
      <c r="EF567" s="1750">
        <f t="shared" si="221"/>
        <v>0</v>
      </c>
      <c r="EG567" s="1751"/>
      <c r="EH567" s="1751"/>
      <c r="EI567" s="1751"/>
      <c r="EJ567" s="1752"/>
      <c r="EL567" s="1750">
        <f t="shared" si="250"/>
        <v>0</v>
      </c>
      <c r="EM567" s="1751"/>
      <c r="EN567" s="1751"/>
      <c r="EO567" s="1751"/>
      <c r="EP567" s="1752"/>
      <c r="ER567" s="1750">
        <f t="shared" si="222"/>
        <v>0</v>
      </c>
      <c r="ES567" s="1751"/>
      <c r="ET567" s="1751"/>
      <c r="EU567" s="1751"/>
      <c r="EV567" s="1752"/>
      <c r="EX567" s="1750">
        <f>IF(BE567&gt;0,Einstrahlung!$K$12*Kalkulation!$P$62/100*$AY$29*POWER((100-$P$64)/100,BD567-1),0)</f>
        <v>0</v>
      </c>
      <c r="EY567" s="1751"/>
      <c r="EZ567" s="1751"/>
      <c r="FA567" s="1751"/>
      <c r="FB567" s="1752"/>
      <c r="FD567" s="1750">
        <f t="shared" si="229"/>
        <v>0</v>
      </c>
      <c r="FE567" s="1751"/>
      <c r="FF567" s="1751"/>
      <c r="FG567" s="1751"/>
      <c r="FH567" s="1752"/>
      <c r="FI567" s="385"/>
      <c r="FJ567" s="380">
        <f t="shared" si="239"/>
        <v>0</v>
      </c>
      <c r="FK567" s="385"/>
      <c r="FL567" s="380">
        <f t="shared" ref="FL567:FL577" si="265">IF(BE567&gt;0,IF($FL$336&gt;SUM($EX$566:$FB$577),SUM($EX$566:$FB$577)/12,$FL$336/12),0)</f>
        <v>0</v>
      </c>
      <c r="FM567" s="385"/>
      <c r="FN567" s="380">
        <f t="shared" si="231"/>
        <v>0</v>
      </c>
      <c r="FO567" s="962">
        <f t="shared" si="237"/>
        <v>359</v>
      </c>
      <c r="FP567" s="956">
        <f t="shared" si="223"/>
        <v>0.4</v>
      </c>
      <c r="FQ567" s="380">
        <f t="shared" si="243"/>
        <v>0</v>
      </c>
      <c r="FR567" s="626">
        <f t="shared" ref="FR567:FR576" si="266">IF(AND(GV567&gt;216,GV567&lt;=228),$FR$565,IF(AND(GV567&gt;228,GV567&lt;=240),$FR$577,0))</f>
        <v>1</v>
      </c>
      <c r="FT567" s="1819">
        <f t="shared" si="238"/>
        <v>0</v>
      </c>
      <c r="FU567" s="1820"/>
      <c r="FV567" s="1820"/>
      <c r="FW567" s="1820"/>
      <c r="FX567" s="1821"/>
      <c r="FY567" s="1819">
        <f t="shared" si="233"/>
        <v>0</v>
      </c>
      <c r="FZ567" s="1820"/>
      <c r="GA567" s="1820"/>
      <c r="GB567" s="1821"/>
      <c r="GC567" s="1825">
        <f t="shared" si="253"/>
        <v>0</v>
      </c>
      <c r="GD567" s="1826"/>
      <c r="GE567" s="1826"/>
      <c r="GF567" s="1827"/>
      <c r="GH567" s="1750">
        <f t="shared" si="234"/>
        <v>0</v>
      </c>
      <c r="GI567" s="1751"/>
      <c r="GJ567" s="1751"/>
      <c r="GK567" s="1752"/>
      <c r="GL567" s="1750">
        <f t="shared" si="235"/>
        <v>0</v>
      </c>
      <c r="GM567" s="1751"/>
      <c r="GN567" s="1751"/>
      <c r="GO567" s="1752"/>
      <c r="GP567" s="385"/>
      <c r="GQ567" s="1750">
        <f t="shared" si="236"/>
        <v>0</v>
      </c>
      <c r="GR567" s="1751"/>
      <c r="GS567" s="1751"/>
      <c r="GT567" s="1752"/>
      <c r="GU567" s="192">
        <f t="shared" si="242"/>
        <v>1</v>
      </c>
      <c r="GV567" s="192">
        <f>SUM($GU$337:GU567)</f>
        <v>223</v>
      </c>
      <c r="GW567" s="318"/>
      <c r="HO567" s="380">
        <f t="shared" si="261"/>
        <v>0</v>
      </c>
      <c r="HX567" s="380"/>
    </row>
    <row r="568" spans="4:232">
      <c r="D568" s="411"/>
      <c r="E568" s="764"/>
      <c r="F568" s="1568"/>
      <c r="G568" s="1568"/>
      <c r="H568" s="1568"/>
      <c r="I568" s="1568"/>
      <c r="J568" s="1568"/>
      <c r="K568" s="1568"/>
      <c r="L568" s="1568"/>
      <c r="M568" s="1568"/>
      <c r="N568" s="1568"/>
      <c r="O568" s="1568">
        <f>V568</f>
        <v>0</v>
      </c>
      <c r="P568" s="1568"/>
      <c r="Q568" s="1568"/>
      <c r="R568" s="1568"/>
      <c r="S568" s="1568"/>
      <c r="T568" s="1568"/>
      <c r="U568" s="247"/>
      <c r="V568" s="1568">
        <f>IF($V$21&gt;=0,(G245+J245)-(O245+Q245+S245+T245+V245)+Y245,0)</f>
        <v>0</v>
      </c>
      <c r="W568" s="1568"/>
      <c r="X568" s="1568"/>
      <c r="Y568" s="314"/>
      <c r="BD568" s="387">
        <f t="shared" si="262"/>
        <v>19</v>
      </c>
      <c r="BE568" s="382">
        <f>IF(BD568&gt;0,231,0)</f>
        <v>231</v>
      </c>
      <c r="BG568" s="383">
        <f>IF($BE568&gt;$R$66-3+($BR$335*12),231,0)</f>
        <v>231</v>
      </c>
      <c r="BH568" s="1754">
        <f t="shared" si="263"/>
        <v>0</v>
      </c>
      <c r="BI568" s="1754"/>
      <c r="BJ568" s="1754"/>
      <c r="BK568" s="1754"/>
      <c r="BL568" s="1754">
        <f t="shared" si="224"/>
        <v>0</v>
      </c>
      <c r="BM568" s="1754"/>
      <c r="BN568" s="1754"/>
      <c r="BO568" s="1754">
        <f t="shared" si="214"/>
        <v>0</v>
      </c>
      <c r="BP568" s="1754"/>
      <c r="BQ568" s="1754"/>
      <c r="BR568" s="1754">
        <f t="shared" si="264"/>
        <v>0</v>
      </c>
      <c r="BS568" s="1754"/>
      <c r="BT568" s="1754"/>
      <c r="BU568" s="1754"/>
      <c r="BW568" s="383">
        <f>IF($BE568&gt;$R$66-3+($CH$335*12),231,0)</f>
        <v>231</v>
      </c>
      <c r="BX568" s="1754">
        <f t="shared" si="205"/>
        <v>0</v>
      </c>
      <c r="BY568" s="1754"/>
      <c r="BZ568" s="1754"/>
      <c r="CA568" s="1754"/>
      <c r="CB568" s="1754">
        <f t="shared" si="225"/>
        <v>0</v>
      </c>
      <c r="CC568" s="1754"/>
      <c r="CD568" s="1754"/>
      <c r="CE568" s="1754">
        <f t="shared" si="216"/>
        <v>0</v>
      </c>
      <c r="CF568" s="1754"/>
      <c r="CG568" s="1754"/>
      <c r="CH568" s="1754">
        <f t="shared" si="217"/>
        <v>0</v>
      </c>
      <c r="CI568" s="1754"/>
      <c r="CJ568" s="1754"/>
      <c r="CK568" s="1754"/>
      <c r="CM568" s="383">
        <f>IF($BE568&gt;$R$66-3+($CX$335*12),231,0)</f>
        <v>231</v>
      </c>
      <c r="CN568" s="1754">
        <f t="shared" si="206"/>
        <v>0</v>
      </c>
      <c r="CO568" s="1754"/>
      <c r="CP568" s="1754"/>
      <c r="CQ568" s="1754"/>
      <c r="CR568" s="1754">
        <f t="shared" si="226"/>
        <v>0</v>
      </c>
      <c r="CS568" s="1754"/>
      <c r="CT568" s="1754"/>
      <c r="CU568" s="1754">
        <f t="shared" si="218"/>
        <v>0</v>
      </c>
      <c r="CV568" s="1754"/>
      <c r="CW568" s="1754"/>
      <c r="CX568" s="1754">
        <f t="shared" si="219"/>
        <v>0</v>
      </c>
      <c r="CY568" s="1754"/>
      <c r="CZ568" s="1754"/>
      <c r="DA568" s="1754"/>
      <c r="DC568" s="383">
        <f>IF($BE568&gt;$R$66-3,231,0)</f>
        <v>231</v>
      </c>
      <c r="DD568" s="1754">
        <f t="shared" si="207"/>
        <v>0</v>
      </c>
      <c r="DE568" s="1754"/>
      <c r="DF568" s="1754"/>
      <c r="DG568" s="1754"/>
      <c r="DH568" s="1754">
        <f t="shared" si="227"/>
        <v>0</v>
      </c>
      <c r="DI568" s="1754"/>
      <c r="DJ568" s="1754"/>
      <c r="DK568" s="1754">
        <f t="shared" si="254"/>
        <v>0</v>
      </c>
      <c r="DL568" s="1754"/>
      <c r="DM568" s="1754"/>
      <c r="DN568" s="1754"/>
      <c r="DP568" s="383">
        <f t="shared" si="228"/>
        <v>231</v>
      </c>
      <c r="DQ568" s="1754">
        <f t="shared" si="240"/>
        <v>0</v>
      </c>
      <c r="DR568" s="1754"/>
      <c r="DS568" s="1754"/>
      <c r="DT568" s="1754"/>
      <c r="DU568" s="1754">
        <f t="shared" si="241"/>
        <v>0</v>
      </c>
      <c r="DV568" s="1754"/>
      <c r="DW568" s="1754"/>
      <c r="DX568" s="1754">
        <f t="shared" si="248"/>
        <v>0</v>
      </c>
      <c r="DY568" s="1754"/>
      <c r="DZ568" s="1754"/>
      <c r="EA568" s="1754">
        <f t="shared" si="249"/>
        <v>0</v>
      </c>
      <c r="EB568" s="1754"/>
      <c r="EC568" s="1754"/>
      <c r="ED568" s="1754"/>
      <c r="EE568" s="384"/>
      <c r="EF568" s="1750">
        <f t="shared" si="221"/>
        <v>0</v>
      </c>
      <c r="EG568" s="1751"/>
      <c r="EH568" s="1751"/>
      <c r="EI568" s="1751"/>
      <c r="EJ568" s="1752"/>
      <c r="EL568" s="1750">
        <f t="shared" si="250"/>
        <v>0</v>
      </c>
      <c r="EM568" s="1751"/>
      <c r="EN568" s="1751"/>
      <c r="EO568" s="1751"/>
      <c r="EP568" s="1752"/>
      <c r="ER568" s="1750">
        <f t="shared" si="222"/>
        <v>0</v>
      </c>
      <c r="ES568" s="1751"/>
      <c r="ET568" s="1751"/>
      <c r="EU568" s="1751"/>
      <c r="EV568" s="1752"/>
      <c r="EX568" s="1750">
        <f>IF(BE568&gt;0,Einstrahlung!$K$14*Kalkulation!$P$62/100*$AY$29*POWER((100-$P$64)/100,BD568-1),0)</f>
        <v>0</v>
      </c>
      <c r="EY568" s="1751"/>
      <c r="EZ568" s="1751"/>
      <c r="FA568" s="1751"/>
      <c r="FB568" s="1752"/>
      <c r="FD568" s="1750">
        <f t="shared" si="229"/>
        <v>0</v>
      </c>
      <c r="FE568" s="1751"/>
      <c r="FF568" s="1751"/>
      <c r="FG568" s="1751"/>
      <c r="FH568" s="1752"/>
      <c r="FI568" s="385"/>
      <c r="FJ568" s="380">
        <f t="shared" si="239"/>
        <v>0</v>
      </c>
      <c r="FK568" s="385"/>
      <c r="FL568" s="380">
        <f t="shared" si="265"/>
        <v>0</v>
      </c>
      <c r="FM568" s="385"/>
      <c r="FN568" s="380">
        <f t="shared" si="231"/>
        <v>0</v>
      </c>
      <c r="FO568" s="962">
        <f t="shared" si="237"/>
        <v>360</v>
      </c>
      <c r="FP568" s="956">
        <f t="shared" si="223"/>
        <v>0.4</v>
      </c>
      <c r="FQ568" s="380">
        <f t="shared" si="243"/>
        <v>0</v>
      </c>
      <c r="FR568" s="626">
        <f t="shared" si="266"/>
        <v>1</v>
      </c>
      <c r="FT568" s="1819">
        <f t="shared" si="238"/>
        <v>0</v>
      </c>
      <c r="FU568" s="1820"/>
      <c r="FV568" s="1820"/>
      <c r="FW568" s="1820"/>
      <c r="FX568" s="1821"/>
      <c r="FY568" s="1819">
        <f t="shared" si="233"/>
        <v>0</v>
      </c>
      <c r="FZ568" s="1820"/>
      <c r="GA568" s="1820"/>
      <c r="GB568" s="1821"/>
      <c r="GC568" s="1825">
        <f t="shared" si="253"/>
        <v>0</v>
      </c>
      <c r="GD568" s="1826"/>
      <c r="GE568" s="1826"/>
      <c r="GF568" s="1827"/>
      <c r="GH568" s="1750">
        <f t="shared" si="234"/>
        <v>0</v>
      </c>
      <c r="GI568" s="1751"/>
      <c r="GJ568" s="1751"/>
      <c r="GK568" s="1752"/>
      <c r="GL568" s="1750">
        <f t="shared" si="235"/>
        <v>0</v>
      </c>
      <c r="GM568" s="1751"/>
      <c r="GN568" s="1751"/>
      <c r="GO568" s="1752"/>
      <c r="GP568" s="385"/>
      <c r="GQ568" s="1750">
        <f t="shared" si="236"/>
        <v>0</v>
      </c>
      <c r="GR568" s="1751"/>
      <c r="GS568" s="1751"/>
      <c r="GT568" s="1752"/>
      <c r="GU568" s="192">
        <f t="shared" si="242"/>
        <v>1</v>
      </c>
      <c r="GV568" s="192">
        <f>SUM($GU$337:GU568)</f>
        <v>224</v>
      </c>
      <c r="GW568" s="318"/>
      <c r="HO568" s="380">
        <f t="shared" si="261"/>
        <v>0</v>
      </c>
      <c r="HX568" s="380"/>
    </row>
    <row r="569" spans="4:232">
      <c r="D569" s="411"/>
      <c r="E569" s="764"/>
      <c r="F569" s="1568"/>
      <c r="G569" s="1568"/>
      <c r="H569" s="1568"/>
      <c r="I569" s="1568"/>
      <c r="J569" s="1568"/>
      <c r="K569" s="1568"/>
      <c r="L569" s="1568"/>
      <c r="M569" s="1568"/>
      <c r="N569" s="1568"/>
      <c r="O569" s="1568"/>
      <c r="P569" s="1568"/>
      <c r="Q569" s="1568"/>
      <c r="R569" s="1568"/>
      <c r="S569" s="1568"/>
      <c r="T569" s="1568"/>
      <c r="U569" s="247"/>
      <c r="V569" s="1568"/>
      <c r="W569" s="1568"/>
      <c r="X569" s="1568"/>
      <c r="Y569" s="314"/>
      <c r="BD569" s="387">
        <f t="shared" si="262"/>
        <v>19</v>
      </c>
      <c r="BE569" s="382">
        <f>IF(BD569&gt;0,232,0)</f>
        <v>232</v>
      </c>
      <c r="BG569" s="383">
        <f>IF($BE569&gt;$R$66-3+($BR$335*12),232,0)</f>
        <v>232</v>
      </c>
      <c r="BH569" s="1754">
        <f t="shared" si="263"/>
        <v>0</v>
      </c>
      <c r="BI569" s="1754"/>
      <c r="BJ569" s="1754"/>
      <c r="BK569" s="1754"/>
      <c r="BL569" s="1754">
        <f t="shared" si="224"/>
        <v>0</v>
      </c>
      <c r="BM569" s="1754"/>
      <c r="BN569" s="1754"/>
      <c r="BO569" s="1754">
        <f t="shared" si="214"/>
        <v>0</v>
      </c>
      <c r="BP569" s="1754"/>
      <c r="BQ569" s="1754"/>
      <c r="BR569" s="1754">
        <f t="shared" si="264"/>
        <v>0</v>
      </c>
      <c r="BS569" s="1754"/>
      <c r="BT569" s="1754"/>
      <c r="BU569" s="1754"/>
      <c r="BW569" s="383">
        <f>IF($BE569&gt;$R$66-3+($CH$335*12),232,0)</f>
        <v>232</v>
      </c>
      <c r="BX569" s="1754">
        <f t="shared" si="205"/>
        <v>0</v>
      </c>
      <c r="BY569" s="1754"/>
      <c r="BZ569" s="1754"/>
      <c r="CA569" s="1754"/>
      <c r="CB569" s="1754">
        <f t="shared" si="225"/>
        <v>0</v>
      </c>
      <c r="CC569" s="1754"/>
      <c r="CD569" s="1754"/>
      <c r="CE569" s="1754">
        <f t="shared" si="216"/>
        <v>0</v>
      </c>
      <c r="CF569" s="1754"/>
      <c r="CG569" s="1754"/>
      <c r="CH569" s="1754">
        <f t="shared" si="217"/>
        <v>0</v>
      </c>
      <c r="CI569" s="1754"/>
      <c r="CJ569" s="1754"/>
      <c r="CK569" s="1754"/>
      <c r="CM569" s="383">
        <f>IF($BE569&gt;$R$66-3+($CX$335*12),232,0)</f>
        <v>232</v>
      </c>
      <c r="CN569" s="1754">
        <f t="shared" si="206"/>
        <v>0</v>
      </c>
      <c r="CO569" s="1754"/>
      <c r="CP569" s="1754"/>
      <c r="CQ569" s="1754"/>
      <c r="CR569" s="1754">
        <f t="shared" si="226"/>
        <v>0</v>
      </c>
      <c r="CS569" s="1754"/>
      <c r="CT569" s="1754"/>
      <c r="CU569" s="1754">
        <f t="shared" si="218"/>
        <v>0</v>
      </c>
      <c r="CV569" s="1754"/>
      <c r="CW569" s="1754"/>
      <c r="CX569" s="1754">
        <f t="shared" si="219"/>
        <v>0</v>
      </c>
      <c r="CY569" s="1754"/>
      <c r="CZ569" s="1754"/>
      <c r="DA569" s="1754"/>
      <c r="DC569" s="383">
        <f>IF($BE569&gt;$R$66-3,232,0)</f>
        <v>232</v>
      </c>
      <c r="DD569" s="1754">
        <f t="shared" si="207"/>
        <v>0</v>
      </c>
      <c r="DE569" s="1754"/>
      <c r="DF569" s="1754"/>
      <c r="DG569" s="1754"/>
      <c r="DH569" s="1754">
        <f t="shared" si="227"/>
        <v>0</v>
      </c>
      <c r="DI569" s="1754"/>
      <c r="DJ569" s="1754"/>
      <c r="DK569" s="1754">
        <f t="shared" si="254"/>
        <v>0</v>
      </c>
      <c r="DL569" s="1754"/>
      <c r="DM569" s="1754"/>
      <c r="DN569" s="1754"/>
      <c r="DP569" s="383">
        <f t="shared" si="228"/>
        <v>232</v>
      </c>
      <c r="DQ569" s="1754">
        <f t="shared" si="240"/>
        <v>0</v>
      </c>
      <c r="DR569" s="1754"/>
      <c r="DS569" s="1754"/>
      <c r="DT569" s="1754"/>
      <c r="DU569" s="1754">
        <f t="shared" si="241"/>
        <v>0</v>
      </c>
      <c r="DV569" s="1754"/>
      <c r="DW569" s="1754"/>
      <c r="DX569" s="1754">
        <f t="shared" si="248"/>
        <v>0</v>
      </c>
      <c r="DY569" s="1754"/>
      <c r="DZ569" s="1754"/>
      <c r="EA569" s="1754">
        <f t="shared" si="249"/>
        <v>0</v>
      </c>
      <c r="EB569" s="1754"/>
      <c r="EC569" s="1754"/>
      <c r="ED569" s="1754"/>
      <c r="EE569" s="384"/>
      <c r="EF569" s="1750">
        <f t="shared" si="221"/>
        <v>0</v>
      </c>
      <c r="EG569" s="1751"/>
      <c r="EH569" s="1751"/>
      <c r="EI569" s="1751"/>
      <c r="EJ569" s="1752"/>
      <c r="EL569" s="1750">
        <f t="shared" si="250"/>
        <v>0</v>
      </c>
      <c r="EM569" s="1751"/>
      <c r="EN569" s="1751"/>
      <c r="EO569" s="1751"/>
      <c r="EP569" s="1752"/>
      <c r="ER569" s="1750">
        <f t="shared" si="222"/>
        <v>0</v>
      </c>
      <c r="ES569" s="1751"/>
      <c r="ET569" s="1751"/>
      <c r="EU569" s="1751"/>
      <c r="EV569" s="1752"/>
      <c r="EX569" s="1750">
        <f>IF(BE569&gt;0,Einstrahlung!$K$16*Kalkulation!$P$62/100*$AY$29*POWER((100-$P$64)/100,BD569-1),0)</f>
        <v>0</v>
      </c>
      <c r="EY569" s="1751"/>
      <c r="EZ569" s="1751"/>
      <c r="FA569" s="1751"/>
      <c r="FB569" s="1752"/>
      <c r="FD569" s="1750">
        <f t="shared" si="229"/>
        <v>0</v>
      </c>
      <c r="FE569" s="1751"/>
      <c r="FF569" s="1751"/>
      <c r="FG569" s="1751"/>
      <c r="FH569" s="1752"/>
      <c r="FI569" s="385"/>
      <c r="FJ569" s="380">
        <f t="shared" si="239"/>
        <v>0</v>
      </c>
      <c r="FK569" s="385"/>
      <c r="FL569" s="380">
        <f t="shared" si="265"/>
        <v>0</v>
      </c>
      <c r="FM569" s="385"/>
      <c r="FN569" s="380">
        <f t="shared" si="231"/>
        <v>0</v>
      </c>
      <c r="FO569" s="962">
        <f t="shared" si="237"/>
        <v>361</v>
      </c>
      <c r="FP569" s="956">
        <f t="shared" si="223"/>
        <v>0.4</v>
      </c>
      <c r="FQ569" s="380">
        <f t="shared" si="243"/>
        <v>0</v>
      </c>
      <c r="FR569" s="626">
        <f t="shared" si="266"/>
        <v>1</v>
      </c>
      <c r="FT569" s="1819">
        <f t="shared" si="238"/>
        <v>0</v>
      </c>
      <c r="FU569" s="1820"/>
      <c r="FV569" s="1820"/>
      <c r="FW569" s="1820"/>
      <c r="FX569" s="1821"/>
      <c r="FY569" s="1819">
        <f t="shared" si="233"/>
        <v>0</v>
      </c>
      <c r="FZ569" s="1820"/>
      <c r="GA569" s="1820"/>
      <c r="GB569" s="1821"/>
      <c r="GC569" s="1825">
        <f t="shared" si="253"/>
        <v>0</v>
      </c>
      <c r="GD569" s="1826"/>
      <c r="GE569" s="1826"/>
      <c r="GF569" s="1827"/>
      <c r="GH569" s="1750">
        <f t="shared" si="234"/>
        <v>0</v>
      </c>
      <c r="GI569" s="1751"/>
      <c r="GJ569" s="1751"/>
      <c r="GK569" s="1752"/>
      <c r="GL569" s="1750">
        <f t="shared" si="235"/>
        <v>0</v>
      </c>
      <c r="GM569" s="1751"/>
      <c r="GN569" s="1751"/>
      <c r="GO569" s="1752"/>
      <c r="GP569" s="385"/>
      <c r="GQ569" s="1750">
        <f t="shared" si="236"/>
        <v>0</v>
      </c>
      <c r="GR569" s="1751"/>
      <c r="GS569" s="1751"/>
      <c r="GT569" s="1752"/>
      <c r="GU569" s="192">
        <f t="shared" si="242"/>
        <v>1</v>
      </c>
      <c r="GV569" s="192">
        <f>SUM($GU$337:GU569)</f>
        <v>225</v>
      </c>
      <c r="GW569" s="318"/>
      <c r="HO569" s="380">
        <f t="shared" si="261"/>
        <v>0</v>
      </c>
      <c r="HX569" s="380"/>
    </row>
    <row r="570" spans="4:232">
      <c r="D570" s="409">
        <v>1</v>
      </c>
      <c r="E570" s="318"/>
      <c r="F570" s="1568">
        <f>AH247</f>
        <v>0</v>
      </c>
      <c r="G570" s="1568"/>
      <c r="H570" s="1568"/>
      <c r="I570" s="1568"/>
      <c r="J570" s="1568"/>
      <c r="K570" s="1568"/>
      <c r="L570" s="1568"/>
      <c r="M570" s="1568"/>
      <c r="N570" s="1568"/>
      <c r="O570" s="1568"/>
      <c r="P570" s="1568"/>
      <c r="Q570" s="1568"/>
      <c r="R570" s="1568"/>
      <c r="S570" s="1568"/>
      <c r="T570" s="1568"/>
      <c r="U570" s="247"/>
      <c r="V570" s="1568"/>
      <c r="W570" s="1568"/>
      <c r="X570" s="1568"/>
      <c r="Y570" s="314"/>
      <c r="BD570" s="387">
        <f t="shared" si="262"/>
        <v>19</v>
      </c>
      <c r="BE570" s="382">
        <f>IF(BD570&gt;0,233,0)</f>
        <v>233</v>
      </c>
      <c r="BG570" s="383">
        <f>IF($BE570&gt;$R$66-3+($BR$335*12),233,0)</f>
        <v>233</v>
      </c>
      <c r="BH570" s="1754">
        <f t="shared" si="263"/>
        <v>0</v>
      </c>
      <c r="BI570" s="1754"/>
      <c r="BJ570" s="1754"/>
      <c r="BK570" s="1754"/>
      <c r="BL570" s="1754">
        <f t="shared" si="224"/>
        <v>0</v>
      </c>
      <c r="BM570" s="1754"/>
      <c r="BN570" s="1754"/>
      <c r="BO570" s="1754">
        <f t="shared" si="214"/>
        <v>0</v>
      </c>
      <c r="BP570" s="1754"/>
      <c r="BQ570" s="1754"/>
      <c r="BR570" s="1754">
        <f t="shared" si="264"/>
        <v>0</v>
      </c>
      <c r="BS570" s="1754"/>
      <c r="BT570" s="1754"/>
      <c r="BU570" s="1754"/>
      <c r="BW570" s="383">
        <f>IF($BE570&gt;$R$66-3+($CH$335*12),233,0)</f>
        <v>233</v>
      </c>
      <c r="BX570" s="1754">
        <f t="shared" si="205"/>
        <v>0</v>
      </c>
      <c r="BY570" s="1754"/>
      <c r="BZ570" s="1754"/>
      <c r="CA570" s="1754"/>
      <c r="CB570" s="1754">
        <f t="shared" si="225"/>
        <v>0</v>
      </c>
      <c r="CC570" s="1754"/>
      <c r="CD570" s="1754"/>
      <c r="CE570" s="1754">
        <f t="shared" si="216"/>
        <v>0</v>
      </c>
      <c r="CF570" s="1754"/>
      <c r="CG570" s="1754"/>
      <c r="CH570" s="1754">
        <f t="shared" si="217"/>
        <v>0</v>
      </c>
      <c r="CI570" s="1754"/>
      <c r="CJ570" s="1754"/>
      <c r="CK570" s="1754"/>
      <c r="CM570" s="383">
        <f>IF($BE570&gt;$R$66-3+($CX$335*12),233,0)</f>
        <v>233</v>
      </c>
      <c r="CN570" s="1754">
        <f t="shared" si="206"/>
        <v>0</v>
      </c>
      <c r="CO570" s="1754"/>
      <c r="CP570" s="1754"/>
      <c r="CQ570" s="1754"/>
      <c r="CR570" s="1754">
        <f t="shared" si="226"/>
        <v>0</v>
      </c>
      <c r="CS570" s="1754"/>
      <c r="CT570" s="1754"/>
      <c r="CU570" s="1754">
        <f t="shared" si="218"/>
        <v>0</v>
      </c>
      <c r="CV570" s="1754"/>
      <c r="CW570" s="1754"/>
      <c r="CX570" s="1754">
        <f t="shared" si="219"/>
        <v>0</v>
      </c>
      <c r="CY570" s="1754"/>
      <c r="CZ570" s="1754"/>
      <c r="DA570" s="1754"/>
      <c r="DC570" s="383">
        <f>IF($BE570&gt;$R$66-3,233,0)</f>
        <v>233</v>
      </c>
      <c r="DD570" s="1754">
        <f t="shared" si="207"/>
        <v>0</v>
      </c>
      <c r="DE570" s="1754"/>
      <c r="DF570" s="1754"/>
      <c r="DG570" s="1754"/>
      <c r="DH570" s="1754">
        <f t="shared" si="227"/>
        <v>0</v>
      </c>
      <c r="DI570" s="1754"/>
      <c r="DJ570" s="1754"/>
      <c r="DK570" s="1754">
        <f t="shared" si="254"/>
        <v>0</v>
      </c>
      <c r="DL570" s="1754"/>
      <c r="DM570" s="1754"/>
      <c r="DN570" s="1754"/>
      <c r="DP570" s="383">
        <f t="shared" si="228"/>
        <v>233</v>
      </c>
      <c r="DQ570" s="1754">
        <f t="shared" si="240"/>
        <v>0</v>
      </c>
      <c r="DR570" s="1754"/>
      <c r="DS570" s="1754"/>
      <c r="DT570" s="1754"/>
      <c r="DU570" s="1754">
        <f t="shared" si="241"/>
        <v>0</v>
      </c>
      <c r="DV570" s="1754"/>
      <c r="DW570" s="1754"/>
      <c r="DX570" s="1754">
        <f t="shared" si="248"/>
        <v>0</v>
      </c>
      <c r="DY570" s="1754"/>
      <c r="DZ570" s="1754"/>
      <c r="EA570" s="1754">
        <f t="shared" si="249"/>
        <v>0</v>
      </c>
      <c r="EB570" s="1754"/>
      <c r="EC570" s="1754"/>
      <c r="ED570" s="1754"/>
      <c r="EE570" s="384"/>
      <c r="EF570" s="1750">
        <f t="shared" si="221"/>
        <v>0</v>
      </c>
      <c r="EG570" s="1751"/>
      <c r="EH570" s="1751"/>
      <c r="EI570" s="1751"/>
      <c r="EJ570" s="1752"/>
      <c r="EL570" s="1750">
        <f t="shared" si="250"/>
        <v>0</v>
      </c>
      <c r="EM570" s="1751"/>
      <c r="EN570" s="1751"/>
      <c r="EO570" s="1751"/>
      <c r="EP570" s="1752"/>
      <c r="ER570" s="1750">
        <f t="shared" si="222"/>
        <v>0</v>
      </c>
      <c r="ES570" s="1751"/>
      <c r="ET570" s="1751"/>
      <c r="EU570" s="1751"/>
      <c r="EV570" s="1752"/>
      <c r="EX570" s="1750">
        <f>IF(BE570&gt;0,Einstrahlung!$K$18*Kalkulation!$P$62/100*$AY$29*POWER((100-$P$64)/100,BD570-1),0)</f>
        <v>0</v>
      </c>
      <c r="EY570" s="1751"/>
      <c r="EZ570" s="1751"/>
      <c r="FA570" s="1751"/>
      <c r="FB570" s="1752"/>
      <c r="FD570" s="1750">
        <f t="shared" si="229"/>
        <v>0</v>
      </c>
      <c r="FE570" s="1751"/>
      <c r="FF570" s="1751"/>
      <c r="FG570" s="1751"/>
      <c r="FH570" s="1752"/>
      <c r="FI570" s="385"/>
      <c r="FJ570" s="380">
        <f t="shared" si="239"/>
        <v>0</v>
      </c>
      <c r="FK570" s="385"/>
      <c r="FL570" s="380">
        <f t="shared" si="265"/>
        <v>0</v>
      </c>
      <c r="FM570" s="385"/>
      <c r="FN570" s="380">
        <f t="shared" si="231"/>
        <v>0</v>
      </c>
      <c r="FO570" s="962">
        <f t="shared" si="237"/>
        <v>362</v>
      </c>
      <c r="FP570" s="956">
        <f t="shared" si="223"/>
        <v>0.4</v>
      </c>
      <c r="FQ570" s="380">
        <f t="shared" si="243"/>
        <v>0</v>
      </c>
      <c r="FR570" s="626">
        <f t="shared" si="266"/>
        <v>1</v>
      </c>
      <c r="FT570" s="1819">
        <f t="shared" si="238"/>
        <v>0</v>
      </c>
      <c r="FU570" s="1820"/>
      <c r="FV570" s="1820"/>
      <c r="FW570" s="1820"/>
      <c r="FX570" s="1821"/>
      <c r="FY570" s="1819">
        <f t="shared" si="233"/>
        <v>0</v>
      </c>
      <c r="FZ570" s="1820"/>
      <c r="GA570" s="1820"/>
      <c r="GB570" s="1821"/>
      <c r="GC570" s="1825">
        <f t="shared" si="253"/>
        <v>0</v>
      </c>
      <c r="GD570" s="1826"/>
      <c r="GE570" s="1826"/>
      <c r="GF570" s="1827"/>
      <c r="GH570" s="1750">
        <f t="shared" si="234"/>
        <v>0</v>
      </c>
      <c r="GI570" s="1751"/>
      <c r="GJ570" s="1751"/>
      <c r="GK570" s="1752"/>
      <c r="GL570" s="1750">
        <f t="shared" si="235"/>
        <v>0</v>
      </c>
      <c r="GM570" s="1751"/>
      <c r="GN570" s="1751"/>
      <c r="GO570" s="1752"/>
      <c r="GP570" s="385"/>
      <c r="GQ570" s="1750">
        <f t="shared" si="236"/>
        <v>0</v>
      </c>
      <c r="GR570" s="1751"/>
      <c r="GS570" s="1751"/>
      <c r="GT570" s="1752"/>
      <c r="GU570" s="192">
        <f t="shared" si="242"/>
        <v>1</v>
      </c>
      <c r="GV570" s="192">
        <f>SUM($GU$337:GU570)</f>
        <v>226</v>
      </c>
      <c r="GW570" s="318"/>
      <c r="HO570" s="380">
        <f t="shared" si="261"/>
        <v>0</v>
      </c>
      <c r="HX570" s="380"/>
    </row>
    <row r="571" spans="4:232">
      <c r="D571" s="409"/>
      <c r="E571" s="318"/>
      <c r="F571" s="1568"/>
      <c r="G571" s="1568"/>
      <c r="H571" s="1568"/>
      <c r="I571" s="1568">
        <f>F570</f>
        <v>0</v>
      </c>
      <c r="J571" s="1568"/>
      <c r="K571" s="1568"/>
      <c r="L571" s="1568"/>
      <c r="M571" s="1568"/>
      <c r="N571" s="1568"/>
      <c r="O571" s="1568"/>
      <c r="P571" s="1568"/>
      <c r="Q571" s="1568"/>
      <c r="R571" s="1568"/>
      <c r="S571" s="1568"/>
      <c r="T571" s="1568"/>
      <c r="U571" s="247"/>
      <c r="V571" s="1568"/>
      <c r="W571" s="1568"/>
      <c r="X571" s="1568"/>
      <c r="Y571" s="314"/>
      <c r="BD571" s="387">
        <f t="shared" si="262"/>
        <v>19</v>
      </c>
      <c r="BE571" s="382">
        <f>IF(BD571&gt;0,234,0)</f>
        <v>234</v>
      </c>
      <c r="BG571" s="383">
        <f>IF($BE571&gt;$R$66-3+($BR$335*12),234,0)</f>
        <v>234</v>
      </c>
      <c r="BH571" s="1754">
        <f t="shared" si="263"/>
        <v>0</v>
      </c>
      <c r="BI571" s="1754"/>
      <c r="BJ571" s="1754"/>
      <c r="BK571" s="1754"/>
      <c r="BL571" s="1754">
        <f t="shared" si="224"/>
        <v>0</v>
      </c>
      <c r="BM571" s="1754"/>
      <c r="BN571" s="1754"/>
      <c r="BO571" s="1754">
        <f t="shared" si="214"/>
        <v>0</v>
      </c>
      <c r="BP571" s="1754"/>
      <c r="BQ571" s="1754"/>
      <c r="BR571" s="1754">
        <f t="shared" si="264"/>
        <v>0</v>
      </c>
      <c r="BS571" s="1754"/>
      <c r="BT571" s="1754"/>
      <c r="BU571" s="1754"/>
      <c r="BW571" s="383">
        <f>IF($BE571&gt;$R$66-3+($CH$335*12),234,0)</f>
        <v>234</v>
      </c>
      <c r="BX571" s="1754">
        <f t="shared" si="205"/>
        <v>0</v>
      </c>
      <c r="BY571" s="1754"/>
      <c r="BZ571" s="1754"/>
      <c r="CA571" s="1754"/>
      <c r="CB571" s="1754">
        <f t="shared" si="225"/>
        <v>0</v>
      </c>
      <c r="CC571" s="1754"/>
      <c r="CD571" s="1754"/>
      <c r="CE571" s="1754">
        <f t="shared" si="216"/>
        <v>0</v>
      </c>
      <c r="CF571" s="1754"/>
      <c r="CG571" s="1754"/>
      <c r="CH571" s="1754">
        <f t="shared" si="217"/>
        <v>0</v>
      </c>
      <c r="CI571" s="1754"/>
      <c r="CJ571" s="1754"/>
      <c r="CK571" s="1754"/>
      <c r="CM571" s="383">
        <f>IF($BE571&gt;$R$66-3+($CX$335*12),234,0)</f>
        <v>234</v>
      </c>
      <c r="CN571" s="1754">
        <f t="shared" si="206"/>
        <v>0</v>
      </c>
      <c r="CO571" s="1754"/>
      <c r="CP571" s="1754"/>
      <c r="CQ571" s="1754"/>
      <c r="CR571" s="1754">
        <f t="shared" si="226"/>
        <v>0</v>
      </c>
      <c r="CS571" s="1754"/>
      <c r="CT571" s="1754"/>
      <c r="CU571" s="1754">
        <f t="shared" si="218"/>
        <v>0</v>
      </c>
      <c r="CV571" s="1754"/>
      <c r="CW571" s="1754"/>
      <c r="CX571" s="1754">
        <f t="shared" si="219"/>
        <v>0</v>
      </c>
      <c r="CY571" s="1754"/>
      <c r="CZ571" s="1754"/>
      <c r="DA571" s="1754"/>
      <c r="DC571" s="383">
        <f>IF($BE571&gt;$R$66-3,234,0)</f>
        <v>234</v>
      </c>
      <c r="DD571" s="1754">
        <f t="shared" si="207"/>
        <v>0</v>
      </c>
      <c r="DE571" s="1754"/>
      <c r="DF571" s="1754"/>
      <c r="DG571" s="1754"/>
      <c r="DH571" s="1754">
        <f t="shared" si="227"/>
        <v>0</v>
      </c>
      <c r="DI571" s="1754"/>
      <c r="DJ571" s="1754"/>
      <c r="DK571" s="1754">
        <f t="shared" si="254"/>
        <v>0</v>
      </c>
      <c r="DL571" s="1754"/>
      <c r="DM571" s="1754"/>
      <c r="DN571" s="1754"/>
      <c r="DP571" s="383">
        <f t="shared" si="228"/>
        <v>234</v>
      </c>
      <c r="DQ571" s="1754">
        <f t="shared" si="240"/>
        <v>0</v>
      </c>
      <c r="DR571" s="1754"/>
      <c r="DS571" s="1754"/>
      <c r="DT571" s="1754"/>
      <c r="DU571" s="1754">
        <f t="shared" si="241"/>
        <v>0</v>
      </c>
      <c r="DV571" s="1754"/>
      <c r="DW571" s="1754"/>
      <c r="DX571" s="1754">
        <f t="shared" si="248"/>
        <v>0</v>
      </c>
      <c r="DY571" s="1754"/>
      <c r="DZ571" s="1754"/>
      <c r="EA571" s="1754">
        <f t="shared" si="249"/>
        <v>0</v>
      </c>
      <c r="EB571" s="1754"/>
      <c r="EC571" s="1754"/>
      <c r="ED571" s="1754"/>
      <c r="EE571" s="384"/>
      <c r="EF571" s="1750">
        <f t="shared" si="221"/>
        <v>0</v>
      </c>
      <c r="EG571" s="1751"/>
      <c r="EH571" s="1751"/>
      <c r="EI571" s="1751"/>
      <c r="EJ571" s="1752"/>
      <c r="EL571" s="1750">
        <f t="shared" si="250"/>
        <v>0</v>
      </c>
      <c r="EM571" s="1751"/>
      <c r="EN571" s="1751"/>
      <c r="EO571" s="1751"/>
      <c r="EP571" s="1752"/>
      <c r="ER571" s="1750">
        <f t="shared" si="222"/>
        <v>0</v>
      </c>
      <c r="ES571" s="1751"/>
      <c r="ET571" s="1751"/>
      <c r="EU571" s="1751"/>
      <c r="EV571" s="1752"/>
      <c r="EX571" s="1750">
        <f>IF(BE571&gt;0,Einstrahlung!$K$20*Kalkulation!$P$62/100*$AY$29*POWER((100-$P$64)/100,BD571-1),0)</f>
        <v>0</v>
      </c>
      <c r="EY571" s="1751"/>
      <c r="EZ571" s="1751"/>
      <c r="FA571" s="1751"/>
      <c r="FB571" s="1752"/>
      <c r="FD571" s="1750">
        <f t="shared" si="229"/>
        <v>0</v>
      </c>
      <c r="FE571" s="1751"/>
      <c r="FF571" s="1751"/>
      <c r="FG571" s="1751"/>
      <c r="FH571" s="1752"/>
      <c r="FI571" s="385"/>
      <c r="FJ571" s="380">
        <f t="shared" si="239"/>
        <v>0</v>
      </c>
      <c r="FK571" s="385"/>
      <c r="FL571" s="380">
        <f t="shared" si="265"/>
        <v>0</v>
      </c>
      <c r="FM571" s="385"/>
      <c r="FN571" s="380">
        <f t="shared" si="231"/>
        <v>0</v>
      </c>
      <c r="FO571" s="962">
        <f t="shared" si="237"/>
        <v>363</v>
      </c>
      <c r="FP571" s="956">
        <f t="shared" si="223"/>
        <v>0.4</v>
      </c>
      <c r="FQ571" s="380">
        <f t="shared" si="243"/>
        <v>0</v>
      </c>
      <c r="FR571" s="626">
        <f t="shared" si="266"/>
        <v>1</v>
      </c>
      <c r="FT571" s="1819">
        <f t="shared" si="238"/>
        <v>0</v>
      </c>
      <c r="FU571" s="1820"/>
      <c r="FV571" s="1820"/>
      <c r="FW571" s="1820"/>
      <c r="FX571" s="1821"/>
      <c r="FY571" s="1819">
        <f t="shared" si="233"/>
        <v>0</v>
      </c>
      <c r="FZ571" s="1820"/>
      <c r="GA571" s="1820"/>
      <c r="GB571" s="1821"/>
      <c r="GC571" s="1825">
        <f t="shared" si="253"/>
        <v>0</v>
      </c>
      <c r="GD571" s="1826"/>
      <c r="GE571" s="1826"/>
      <c r="GF571" s="1827"/>
      <c r="GH571" s="1750">
        <f t="shared" si="234"/>
        <v>0</v>
      </c>
      <c r="GI571" s="1751"/>
      <c r="GJ571" s="1751"/>
      <c r="GK571" s="1752"/>
      <c r="GL571" s="1750">
        <f t="shared" si="235"/>
        <v>0</v>
      </c>
      <c r="GM571" s="1751"/>
      <c r="GN571" s="1751"/>
      <c r="GO571" s="1752"/>
      <c r="GP571" s="385"/>
      <c r="GQ571" s="1750">
        <f t="shared" si="236"/>
        <v>0</v>
      </c>
      <c r="GR571" s="1751"/>
      <c r="GS571" s="1751"/>
      <c r="GT571" s="1752"/>
      <c r="GU571" s="192">
        <f t="shared" si="242"/>
        <v>1</v>
      </c>
      <c r="GV571" s="192">
        <f>SUM($GU$337:GU571)</f>
        <v>227</v>
      </c>
      <c r="GW571" s="318"/>
      <c r="HO571" s="380">
        <f t="shared" si="261"/>
        <v>0</v>
      </c>
      <c r="HX571" s="380"/>
    </row>
    <row r="572" spans="4:232">
      <c r="D572" s="409"/>
      <c r="E572" s="318"/>
      <c r="F572" s="1568"/>
      <c r="G572" s="1568"/>
      <c r="H572" s="1568"/>
      <c r="I572" s="1568"/>
      <c r="J572" s="1568"/>
      <c r="K572" s="1568"/>
      <c r="L572" s="1568">
        <f>F570</f>
        <v>0</v>
      </c>
      <c r="M572" s="1568"/>
      <c r="N572" s="1568"/>
      <c r="O572" s="1568"/>
      <c r="P572" s="1568"/>
      <c r="Q572" s="1568"/>
      <c r="R572" s="1568"/>
      <c r="S572" s="1568"/>
      <c r="T572" s="1568"/>
      <c r="U572" s="247"/>
      <c r="V572" s="1568"/>
      <c r="W572" s="1568"/>
      <c r="X572" s="1568"/>
      <c r="Y572" s="314"/>
      <c r="BD572" s="387">
        <f t="shared" si="262"/>
        <v>19</v>
      </c>
      <c r="BE572" s="382">
        <f>IF(BD572&gt;0,235,0)</f>
        <v>235</v>
      </c>
      <c r="BG572" s="383">
        <f>IF($BE572&gt;$R$66-3+($BR$335*12),235,0)</f>
        <v>235</v>
      </c>
      <c r="BH572" s="1754">
        <f t="shared" si="263"/>
        <v>0</v>
      </c>
      <c r="BI572" s="1754"/>
      <c r="BJ572" s="1754"/>
      <c r="BK572" s="1754"/>
      <c r="BL572" s="1754">
        <f t="shared" si="224"/>
        <v>0</v>
      </c>
      <c r="BM572" s="1754"/>
      <c r="BN572" s="1754"/>
      <c r="BO572" s="1754">
        <f t="shared" si="214"/>
        <v>0</v>
      </c>
      <c r="BP572" s="1754"/>
      <c r="BQ572" s="1754"/>
      <c r="BR572" s="1754">
        <f t="shared" si="264"/>
        <v>0</v>
      </c>
      <c r="BS572" s="1754"/>
      <c r="BT572" s="1754"/>
      <c r="BU572" s="1754"/>
      <c r="BW572" s="383">
        <f>IF($BE572&gt;$R$66-3+($CH$335*12),235,0)</f>
        <v>235</v>
      </c>
      <c r="BX572" s="1754">
        <f t="shared" si="205"/>
        <v>0</v>
      </c>
      <c r="BY572" s="1754"/>
      <c r="BZ572" s="1754"/>
      <c r="CA572" s="1754"/>
      <c r="CB572" s="1754">
        <f t="shared" si="225"/>
        <v>0</v>
      </c>
      <c r="CC572" s="1754"/>
      <c r="CD572" s="1754"/>
      <c r="CE572" s="1754">
        <f t="shared" si="216"/>
        <v>0</v>
      </c>
      <c r="CF572" s="1754"/>
      <c r="CG572" s="1754"/>
      <c r="CH572" s="1754">
        <f t="shared" si="217"/>
        <v>0</v>
      </c>
      <c r="CI572" s="1754"/>
      <c r="CJ572" s="1754"/>
      <c r="CK572" s="1754"/>
      <c r="CM572" s="383">
        <f>IF($BE572&gt;$R$66-3+($CX$335*12),235,0)</f>
        <v>235</v>
      </c>
      <c r="CN572" s="1754">
        <f t="shared" si="206"/>
        <v>0</v>
      </c>
      <c r="CO572" s="1754"/>
      <c r="CP572" s="1754"/>
      <c r="CQ572" s="1754"/>
      <c r="CR572" s="1754">
        <f t="shared" si="226"/>
        <v>0</v>
      </c>
      <c r="CS572" s="1754"/>
      <c r="CT572" s="1754"/>
      <c r="CU572" s="1754">
        <f t="shared" si="218"/>
        <v>0</v>
      </c>
      <c r="CV572" s="1754"/>
      <c r="CW572" s="1754"/>
      <c r="CX572" s="1754">
        <f t="shared" si="219"/>
        <v>0</v>
      </c>
      <c r="CY572" s="1754"/>
      <c r="CZ572" s="1754"/>
      <c r="DA572" s="1754"/>
      <c r="DC572" s="383">
        <f>IF($BE572&gt;$R$66-3,235,0)</f>
        <v>235</v>
      </c>
      <c r="DD572" s="1754">
        <f t="shared" si="207"/>
        <v>0</v>
      </c>
      <c r="DE572" s="1754"/>
      <c r="DF572" s="1754"/>
      <c r="DG572" s="1754"/>
      <c r="DH572" s="1754">
        <f t="shared" si="227"/>
        <v>0</v>
      </c>
      <c r="DI572" s="1754"/>
      <c r="DJ572" s="1754"/>
      <c r="DK572" s="1754">
        <f t="shared" si="254"/>
        <v>0</v>
      </c>
      <c r="DL572" s="1754"/>
      <c r="DM572" s="1754"/>
      <c r="DN572" s="1754"/>
      <c r="DP572" s="383">
        <f t="shared" si="228"/>
        <v>235</v>
      </c>
      <c r="DQ572" s="1754">
        <f t="shared" si="240"/>
        <v>0</v>
      </c>
      <c r="DR572" s="1754"/>
      <c r="DS572" s="1754"/>
      <c r="DT572" s="1754"/>
      <c r="DU572" s="1754">
        <f t="shared" si="241"/>
        <v>0</v>
      </c>
      <c r="DV572" s="1754"/>
      <c r="DW572" s="1754"/>
      <c r="DX572" s="1754">
        <f t="shared" si="248"/>
        <v>0</v>
      </c>
      <c r="DY572" s="1754"/>
      <c r="DZ572" s="1754"/>
      <c r="EA572" s="1754">
        <f t="shared" si="249"/>
        <v>0</v>
      </c>
      <c r="EB572" s="1754"/>
      <c r="EC572" s="1754"/>
      <c r="ED572" s="1754"/>
      <c r="EE572" s="384"/>
      <c r="EF572" s="1750">
        <f t="shared" si="221"/>
        <v>0</v>
      </c>
      <c r="EG572" s="1751"/>
      <c r="EH572" s="1751"/>
      <c r="EI572" s="1751"/>
      <c r="EJ572" s="1752"/>
      <c r="EL572" s="1750">
        <f t="shared" si="250"/>
        <v>0</v>
      </c>
      <c r="EM572" s="1751"/>
      <c r="EN572" s="1751"/>
      <c r="EO572" s="1751"/>
      <c r="EP572" s="1752"/>
      <c r="ER572" s="1750">
        <f t="shared" si="222"/>
        <v>0</v>
      </c>
      <c r="ES572" s="1751"/>
      <c r="ET572" s="1751"/>
      <c r="EU572" s="1751"/>
      <c r="EV572" s="1752"/>
      <c r="EX572" s="1750">
        <f>IF(BE572&gt;0,Einstrahlung!$K$22*Kalkulation!$P$62/100*$AY$29*POWER((100-$P$64)/100,BD572-1),0)</f>
        <v>0</v>
      </c>
      <c r="EY572" s="1751"/>
      <c r="EZ572" s="1751"/>
      <c r="FA572" s="1751"/>
      <c r="FB572" s="1752"/>
      <c r="FD572" s="1750">
        <f t="shared" si="229"/>
        <v>0</v>
      </c>
      <c r="FE572" s="1751"/>
      <c r="FF572" s="1751"/>
      <c r="FG572" s="1751"/>
      <c r="FH572" s="1752"/>
      <c r="FI572" s="385"/>
      <c r="FJ572" s="380">
        <f t="shared" si="239"/>
        <v>0</v>
      </c>
      <c r="FK572" s="385"/>
      <c r="FL572" s="380">
        <f t="shared" si="265"/>
        <v>0</v>
      </c>
      <c r="FM572" s="385"/>
      <c r="FN572" s="380">
        <f t="shared" si="231"/>
        <v>0</v>
      </c>
      <c r="FO572" s="962">
        <f t="shared" si="237"/>
        <v>364</v>
      </c>
      <c r="FP572" s="956">
        <f t="shared" si="223"/>
        <v>0.4</v>
      </c>
      <c r="FQ572" s="380">
        <f t="shared" si="243"/>
        <v>0</v>
      </c>
      <c r="FR572" s="626">
        <f t="shared" si="266"/>
        <v>1</v>
      </c>
      <c r="FT572" s="1819">
        <f t="shared" si="238"/>
        <v>0</v>
      </c>
      <c r="FU572" s="1820"/>
      <c r="FV572" s="1820"/>
      <c r="FW572" s="1820"/>
      <c r="FX572" s="1821"/>
      <c r="FY572" s="1819">
        <f t="shared" si="233"/>
        <v>0</v>
      </c>
      <c r="FZ572" s="1820"/>
      <c r="GA572" s="1820"/>
      <c r="GB572" s="1821"/>
      <c r="GC572" s="1825">
        <f t="shared" si="253"/>
        <v>0</v>
      </c>
      <c r="GD572" s="1826"/>
      <c r="GE572" s="1826"/>
      <c r="GF572" s="1827"/>
      <c r="GH572" s="1750">
        <f t="shared" si="234"/>
        <v>0</v>
      </c>
      <c r="GI572" s="1751"/>
      <c r="GJ572" s="1751"/>
      <c r="GK572" s="1752"/>
      <c r="GL572" s="1750">
        <f t="shared" si="235"/>
        <v>0</v>
      </c>
      <c r="GM572" s="1751"/>
      <c r="GN572" s="1751"/>
      <c r="GO572" s="1752"/>
      <c r="GP572" s="385"/>
      <c r="GQ572" s="1750">
        <f t="shared" si="236"/>
        <v>0</v>
      </c>
      <c r="GR572" s="1751"/>
      <c r="GS572" s="1751"/>
      <c r="GT572" s="1752"/>
      <c r="GU572" s="192">
        <f t="shared" si="242"/>
        <v>1</v>
      </c>
      <c r="GV572" s="192">
        <f>SUM($GU$337:GU572)</f>
        <v>228</v>
      </c>
      <c r="GW572" s="318"/>
      <c r="HO572" s="380">
        <f t="shared" si="261"/>
        <v>0</v>
      </c>
      <c r="HX572" s="380"/>
    </row>
    <row r="573" spans="4:232">
      <c r="D573" s="409"/>
      <c r="E573" s="318"/>
      <c r="F573" s="1568"/>
      <c r="G573" s="1568"/>
      <c r="H573" s="1568"/>
      <c r="I573" s="1568"/>
      <c r="J573" s="1568"/>
      <c r="K573" s="1568"/>
      <c r="L573" s="1568"/>
      <c r="M573" s="1568"/>
      <c r="N573" s="1568"/>
      <c r="O573" s="1568">
        <f>V573</f>
        <v>0</v>
      </c>
      <c r="P573" s="1568"/>
      <c r="Q573" s="1568"/>
      <c r="R573" s="1568"/>
      <c r="S573" s="1568"/>
      <c r="T573" s="1568"/>
      <c r="U573" s="247"/>
      <c r="V573" s="1568">
        <f>IF(D247&gt;0,V568+(G247+J247)-(O247+Q247+S247+T247+V247)+Y247,0)</f>
        <v>0</v>
      </c>
      <c r="W573" s="1568"/>
      <c r="X573" s="1568"/>
      <c r="Y573" s="523">
        <f>IF(D247&gt;0,IF(V573&gt;0,0,1),0)</f>
        <v>1</v>
      </c>
      <c r="BD573" s="387">
        <f t="shared" si="262"/>
        <v>19</v>
      </c>
      <c r="BE573" s="382">
        <f>IF(BD573&gt;0,236,0)</f>
        <v>236</v>
      </c>
      <c r="BG573" s="383">
        <f>IF($BE573&gt;$R$66-3+($BR$335*12),236,0)</f>
        <v>236</v>
      </c>
      <c r="BH573" s="1754">
        <f t="shared" si="263"/>
        <v>0</v>
      </c>
      <c r="BI573" s="1754"/>
      <c r="BJ573" s="1754"/>
      <c r="BK573" s="1754"/>
      <c r="BL573" s="1754">
        <f t="shared" si="224"/>
        <v>0</v>
      </c>
      <c r="BM573" s="1754"/>
      <c r="BN573" s="1754"/>
      <c r="BO573" s="1754">
        <f t="shared" si="214"/>
        <v>0</v>
      </c>
      <c r="BP573" s="1754"/>
      <c r="BQ573" s="1754"/>
      <c r="BR573" s="1754">
        <f t="shared" si="264"/>
        <v>0</v>
      </c>
      <c r="BS573" s="1754"/>
      <c r="BT573" s="1754"/>
      <c r="BU573" s="1754"/>
      <c r="BW573" s="383">
        <f>IF($BE573&gt;$R$66-3+($CH$335*12),236,0)</f>
        <v>236</v>
      </c>
      <c r="BX573" s="1754">
        <f t="shared" si="205"/>
        <v>0</v>
      </c>
      <c r="BY573" s="1754"/>
      <c r="BZ573" s="1754"/>
      <c r="CA573" s="1754"/>
      <c r="CB573" s="1754">
        <f t="shared" si="225"/>
        <v>0</v>
      </c>
      <c r="CC573" s="1754"/>
      <c r="CD573" s="1754"/>
      <c r="CE573" s="1754">
        <f t="shared" si="216"/>
        <v>0</v>
      </c>
      <c r="CF573" s="1754"/>
      <c r="CG573" s="1754"/>
      <c r="CH573" s="1754">
        <f t="shared" si="217"/>
        <v>0</v>
      </c>
      <c r="CI573" s="1754"/>
      <c r="CJ573" s="1754"/>
      <c r="CK573" s="1754"/>
      <c r="CM573" s="383">
        <f>IF($BE573&gt;$R$66-3+($CX$335*12),236,0)</f>
        <v>236</v>
      </c>
      <c r="CN573" s="1754">
        <f t="shared" si="206"/>
        <v>0</v>
      </c>
      <c r="CO573" s="1754"/>
      <c r="CP573" s="1754"/>
      <c r="CQ573" s="1754"/>
      <c r="CR573" s="1754">
        <f t="shared" si="226"/>
        <v>0</v>
      </c>
      <c r="CS573" s="1754"/>
      <c r="CT573" s="1754"/>
      <c r="CU573" s="1754">
        <f t="shared" si="218"/>
        <v>0</v>
      </c>
      <c r="CV573" s="1754"/>
      <c r="CW573" s="1754"/>
      <c r="CX573" s="1754">
        <f t="shared" si="219"/>
        <v>0</v>
      </c>
      <c r="CY573" s="1754"/>
      <c r="CZ573" s="1754"/>
      <c r="DA573" s="1754"/>
      <c r="DC573" s="383">
        <f>IF($BE573&gt;$R$66-3,236,0)</f>
        <v>236</v>
      </c>
      <c r="DD573" s="1754">
        <f t="shared" si="207"/>
        <v>0</v>
      </c>
      <c r="DE573" s="1754"/>
      <c r="DF573" s="1754"/>
      <c r="DG573" s="1754"/>
      <c r="DH573" s="1754">
        <f t="shared" si="227"/>
        <v>0</v>
      </c>
      <c r="DI573" s="1754"/>
      <c r="DJ573" s="1754"/>
      <c r="DK573" s="1754">
        <f t="shared" si="254"/>
        <v>0</v>
      </c>
      <c r="DL573" s="1754"/>
      <c r="DM573" s="1754"/>
      <c r="DN573" s="1754"/>
      <c r="DP573" s="383">
        <f t="shared" si="228"/>
        <v>236</v>
      </c>
      <c r="DQ573" s="1754">
        <f t="shared" si="240"/>
        <v>0</v>
      </c>
      <c r="DR573" s="1754"/>
      <c r="DS573" s="1754"/>
      <c r="DT573" s="1754"/>
      <c r="DU573" s="1754">
        <f t="shared" si="241"/>
        <v>0</v>
      </c>
      <c r="DV573" s="1754"/>
      <c r="DW573" s="1754"/>
      <c r="DX573" s="1754">
        <f t="shared" si="248"/>
        <v>0</v>
      </c>
      <c r="DY573" s="1754"/>
      <c r="DZ573" s="1754"/>
      <c r="EA573" s="1754">
        <f t="shared" si="249"/>
        <v>0</v>
      </c>
      <c r="EB573" s="1754"/>
      <c r="EC573" s="1754"/>
      <c r="ED573" s="1754"/>
      <c r="EE573" s="384"/>
      <c r="EF573" s="1750">
        <f t="shared" si="221"/>
        <v>0</v>
      </c>
      <c r="EG573" s="1751"/>
      <c r="EH573" s="1751"/>
      <c r="EI573" s="1751"/>
      <c r="EJ573" s="1752"/>
      <c r="EL573" s="1750">
        <f t="shared" si="250"/>
        <v>0</v>
      </c>
      <c r="EM573" s="1751"/>
      <c r="EN573" s="1751"/>
      <c r="EO573" s="1751"/>
      <c r="EP573" s="1752"/>
      <c r="ER573" s="1750">
        <f t="shared" si="222"/>
        <v>0</v>
      </c>
      <c r="ES573" s="1751"/>
      <c r="ET573" s="1751"/>
      <c r="EU573" s="1751"/>
      <c r="EV573" s="1752"/>
      <c r="EX573" s="1750">
        <f>IF(BE573&gt;0,Einstrahlung!$K$24*Kalkulation!$P$62/100*$AY$29*POWER((100-$P$64)/100,BD573-1),0)</f>
        <v>0</v>
      </c>
      <c r="EY573" s="1751"/>
      <c r="EZ573" s="1751"/>
      <c r="FA573" s="1751"/>
      <c r="FB573" s="1752"/>
      <c r="FD573" s="1750">
        <f t="shared" si="229"/>
        <v>0</v>
      </c>
      <c r="FE573" s="1751"/>
      <c r="FF573" s="1751"/>
      <c r="FG573" s="1751"/>
      <c r="FH573" s="1752"/>
      <c r="FI573" s="385"/>
      <c r="FJ573" s="380">
        <f t="shared" si="239"/>
        <v>0</v>
      </c>
      <c r="FK573" s="385"/>
      <c r="FL573" s="380">
        <f t="shared" si="265"/>
        <v>0</v>
      </c>
      <c r="FM573" s="385"/>
      <c r="FN573" s="380">
        <f t="shared" si="231"/>
        <v>0</v>
      </c>
      <c r="FO573" s="962">
        <f t="shared" si="237"/>
        <v>365</v>
      </c>
      <c r="FP573" s="956">
        <f t="shared" si="223"/>
        <v>0.4</v>
      </c>
      <c r="FQ573" s="380">
        <f t="shared" si="243"/>
        <v>0</v>
      </c>
      <c r="FR573" s="626">
        <f t="shared" si="266"/>
        <v>1</v>
      </c>
      <c r="FT573" s="1819">
        <f t="shared" si="238"/>
        <v>0</v>
      </c>
      <c r="FU573" s="1820"/>
      <c r="FV573" s="1820"/>
      <c r="FW573" s="1820"/>
      <c r="FX573" s="1821"/>
      <c r="FY573" s="1819">
        <f t="shared" si="233"/>
        <v>0</v>
      </c>
      <c r="FZ573" s="1820"/>
      <c r="GA573" s="1820"/>
      <c r="GB573" s="1821"/>
      <c r="GC573" s="1825">
        <f t="shared" si="253"/>
        <v>0</v>
      </c>
      <c r="GD573" s="1826"/>
      <c r="GE573" s="1826"/>
      <c r="GF573" s="1827"/>
      <c r="GH573" s="1750">
        <f t="shared" si="234"/>
        <v>0</v>
      </c>
      <c r="GI573" s="1751"/>
      <c r="GJ573" s="1751"/>
      <c r="GK573" s="1752"/>
      <c r="GL573" s="1750">
        <f t="shared" si="235"/>
        <v>0</v>
      </c>
      <c r="GM573" s="1751"/>
      <c r="GN573" s="1751"/>
      <c r="GO573" s="1752"/>
      <c r="GP573" s="385"/>
      <c r="GQ573" s="1750">
        <f t="shared" si="236"/>
        <v>0</v>
      </c>
      <c r="GR573" s="1751"/>
      <c r="GS573" s="1751"/>
      <c r="GT573" s="1752"/>
      <c r="GU573" s="192">
        <f t="shared" si="242"/>
        <v>1</v>
      </c>
      <c r="GV573" s="192">
        <f>SUM($GU$337:GU573)</f>
        <v>229</v>
      </c>
      <c r="GW573" s="318"/>
      <c r="HO573" s="380">
        <f t="shared" si="261"/>
        <v>0</v>
      </c>
      <c r="HX573" s="380"/>
    </row>
    <row r="574" spans="4:232">
      <c r="D574" s="409"/>
      <c r="E574" s="318"/>
      <c r="F574" s="1568"/>
      <c r="G574" s="1568"/>
      <c r="H574" s="1568"/>
      <c r="I574" s="1568"/>
      <c r="J574" s="1568"/>
      <c r="K574" s="1568"/>
      <c r="L574" s="1568"/>
      <c r="M574" s="1568"/>
      <c r="N574" s="1568"/>
      <c r="O574" s="1568"/>
      <c r="P574" s="1568"/>
      <c r="Q574" s="1568"/>
      <c r="R574" s="1568"/>
      <c r="S574" s="1568"/>
      <c r="T574" s="1568"/>
      <c r="U574" s="247"/>
      <c r="V574" s="1568"/>
      <c r="W574" s="1568"/>
      <c r="X574" s="1568"/>
      <c r="Y574" s="523"/>
      <c r="BD574" s="387">
        <f t="shared" si="262"/>
        <v>19</v>
      </c>
      <c r="BE574" s="382">
        <f>IF(BD574&gt;0,237,0)</f>
        <v>237</v>
      </c>
      <c r="BG574" s="383">
        <f>IF($BE574&gt;$R$66-3+($BR$335*12),237,0)</f>
        <v>237</v>
      </c>
      <c r="BH574" s="1754">
        <f t="shared" si="263"/>
        <v>0</v>
      </c>
      <c r="BI574" s="1754"/>
      <c r="BJ574" s="1754"/>
      <c r="BK574" s="1754"/>
      <c r="BL574" s="1754">
        <f t="shared" si="224"/>
        <v>0</v>
      </c>
      <c r="BM574" s="1754"/>
      <c r="BN574" s="1754"/>
      <c r="BO574" s="1754">
        <f t="shared" si="214"/>
        <v>0</v>
      </c>
      <c r="BP574" s="1754"/>
      <c r="BQ574" s="1754"/>
      <c r="BR574" s="1754">
        <f t="shared" si="264"/>
        <v>0</v>
      </c>
      <c r="BS574" s="1754"/>
      <c r="BT574" s="1754"/>
      <c r="BU574" s="1754"/>
      <c r="BW574" s="383">
        <f>IF($BE574&gt;$R$66-3+($CH$335*12),237,0)</f>
        <v>237</v>
      </c>
      <c r="BX574" s="1754">
        <f t="shared" si="205"/>
        <v>0</v>
      </c>
      <c r="BY574" s="1754"/>
      <c r="BZ574" s="1754"/>
      <c r="CA574" s="1754"/>
      <c r="CB574" s="1754">
        <f t="shared" si="225"/>
        <v>0</v>
      </c>
      <c r="CC574" s="1754"/>
      <c r="CD574" s="1754"/>
      <c r="CE574" s="1754">
        <f t="shared" si="216"/>
        <v>0</v>
      </c>
      <c r="CF574" s="1754"/>
      <c r="CG574" s="1754"/>
      <c r="CH574" s="1754">
        <f t="shared" si="217"/>
        <v>0</v>
      </c>
      <c r="CI574" s="1754"/>
      <c r="CJ574" s="1754"/>
      <c r="CK574" s="1754"/>
      <c r="CM574" s="383">
        <f>IF($BE574&gt;$R$66-3+($CX$335*12),237,0)</f>
        <v>237</v>
      </c>
      <c r="CN574" s="1754">
        <f t="shared" si="206"/>
        <v>0</v>
      </c>
      <c r="CO574" s="1754"/>
      <c r="CP574" s="1754"/>
      <c r="CQ574" s="1754"/>
      <c r="CR574" s="1754">
        <f t="shared" si="226"/>
        <v>0</v>
      </c>
      <c r="CS574" s="1754"/>
      <c r="CT574" s="1754"/>
      <c r="CU574" s="1754">
        <f t="shared" si="218"/>
        <v>0</v>
      </c>
      <c r="CV574" s="1754"/>
      <c r="CW574" s="1754"/>
      <c r="CX574" s="1754">
        <f t="shared" si="219"/>
        <v>0</v>
      </c>
      <c r="CY574" s="1754"/>
      <c r="CZ574" s="1754"/>
      <c r="DA574" s="1754"/>
      <c r="DC574" s="383">
        <f>IF($BE574&gt;$R$66-3,237,0)</f>
        <v>237</v>
      </c>
      <c r="DD574" s="1754">
        <f t="shared" si="207"/>
        <v>0</v>
      </c>
      <c r="DE574" s="1754"/>
      <c r="DF574" s="1754"/>
      <c r="DG574" s="1754"/>
      <c r="DH574" s="1754">
        <f t="shared" si="227"/>
        <v>0</v>
      </c>
      <c r="DI574" s="1754"/>
      <c r="DJ574" s="1754"/>
      <c r="DK574" s="1754">
        <f t="shared" si="254"/>
        <v>0</v>
      </c>
      <c r="DL574" s="1754"/>
      <c r="DM574" s="1754"/>
      <c r="DN574" s="1754"/>
      <c r="DP574" s="383">
        <f t="shared" si="228"/>
        <v>237</v>
      </c>
      <c r="DQ574" s="1754">
        <f t="shared" si="240"/>
        <v>0</v>
      </c>
      <c r="DR574" s="1754"/>
      <c r="DS574" s="1754"/>
      <c r="DT574" s="1754"/>
      <c r="DU574" s="1754">
        <f t="shared" si="241"/>
        <v>0</v>
      </c>
      <c r="DV574" s="1754"/>
      <c r="DW574" s="1754"/>
      <c r="DX574" s="1754">
        <f t="shared" si="248"/>
        <v>0</v>
      </c>
      <c r="DY574" s="1754"/>
      <c r="DZ574" s="1754"/>
      <c r="EA574" s="1754">
        <f t="shared" si="249"/>
        <v>0</v>
      </c>
      <c r="EB574" s="1754"/>
      <c r="EC574" s="1754"/>
      <c r="ED574" s="1754"/>
      <c r="EE574" s="384"/>
      <c r="EF574" s="1750">
        <f t="shared" si="221"/>
        <v>0</v>
      </c>
      <c r="EG574" s="1751"/>
      <c r="EH574" s="1751"/>
      <c r="EI574" s="1751"/>
      <c r="EJ574" s="1752"/>
      <c r="EL574" s="1750">
        <f t="shared" si="250"/>
        <v>0</v>
      </c>
      <c r="EM574" s="1751"/>
      <c r="EN574" s="1751"/>
      <c r="EO574" s="1751"/>
      <c r="EP574" s="1752"/>
      <c r="ER574" s="1750">
        <f t="shared" si="222"/>
        <v>0</v>
      </c>
      <c r="ES574" s="1751"/>
      <c r="ET574" s="1751"/>
      <c r="EU574" s="1751"/>
      <c r="EV574" s="1752"/>
      <c r="EX574" s="1750">
        <f>IF(BE574&gt;0,Einstrahlung!$K$26*Kalkulation!$P$62/100*$AY$29*POWER((100-$P$64)/100,BD574-1),0)</f>
        <v>0</v>
      </c>
      <c r="EY574" s="1751"/>
      <c r="EZ574" s="1751"/>
      <c r="FA574" s="1751"/>
      <c r="FB574" s="1752"/>
      <c r="FD574" s="1750">
        <f t="shared" si="229"/>
        <v>0</v>
      </c>
      <c r="FE574" s="1751"/>
      <c r="FF574" s="1751"/>
      <c r="FG574" s="1751"/>
      <c r="FH574" s="1752"/>
      <c r="FI574" s="385"/>
      <c r="FJ574" s="380">
        <f t="shared" si="239"/>
        <v>0</v>
      </c>
      <c r="FK574" s="385"/>
      <c r="FL574" s="380">
        <f t="shared" si="265"/>
        <v>0</v>
      </c>
      <c r="FM574" s="385"/>
      <c r="FN574" s="380">
        <f t="shared" si="231"/>
        <v>0</v>
      </c>
      <c r="FO574" s="962">
        <f t="shared" si="237"/>
        <v>366</v>
      </c>
      <c r="FP574" s="956">
        <f t="shared" si="223"/>
        <v>0.4</v>
      </c>
      <c r="FQ574" s="380">
        <f t="shared" si="243"/>
        <v>0</v>
      </c>
      <c r="FR574" s="626">
        <f t="shared" si="266"/>
        <v>1</v>
      </c>
      <c r="FT574" s="1819">
        <f t="shared" si="238"/>
        <v>0</v>
      </c>
      <c r="FU574" s="1820"/>
      <c r="FV574" s="1820"/>
      <c r="FW574" s="1820"/>
      <c r="FX574" s="1821"/>
      <c r="FY574" s="1819">
        <f t="shared" si="233"/>
        <v>0</v>
      </c>
      <c r="FZ574" s="1820"/>
      <c r="GA574" s="1820"/>
      <c r="GB574" s="1821"/>
      <c r="GC574" s="1825">
        <f t="shared" si="253"/>
        <v>0</v>
      </c>
      <c r="GD574" s="1826"/>
      <c r="GE574" s="1826"/>
      <c r="GF574" s="1827"/>
      <c r="GH574" s="1750">
        <f t="shared" si="234"/>
        <v>0</v>
      </c>
      <c r="GI574" s="1751"/>
      <c r="GJ574" s="1751"/>
      <c r="GK574" s="1752"/>
      <c r="GL574" s="1750">
        <f t="shared" si="235"/>
        <v>0</v>
      </c>
      <c r="GM574" s="1751"/>
      <c r="GN574" s="1751"/>
      <c r="GO574" s="1752"/>
      <c r="GP574" s="385"/>
      <c r="GQ574" s="1750">
        <f t="shared" si="236"/>
        <v>0</v>
      </c>
      <c r="GR574" s="1751"/>
      <c r="GS574" s="1751"/>
      <c r="GT574" s="1752"/>
      <c r="GU574" s="192">
        <f t="shared" si="242"/>
        <v>1</v>
      </c>
      <c r="GV574" s="192">
        <f>SUM($GU$337:GU574)</f>
        <v>230</v>
      </c>
      <c r="GW574" s="318"/>
      <c r="HO574" s="380">
        <f t="shared" si="261"/>
        <v>0</v>
      </c>
      <c r="HX574" s="380"/>
    </row>
    <row r="575" spans="4:232">
      <c r="D575" s="409">
        <v>2</v>
      </c>
      <c r="E575" s="318"/>
      <c r="F575" s="1568">
        <f>AH249</f>
        <v>0</v>
      </c>
      <c r="G575" s="1568"/>
      <c r="H575" s="1568"/>
      <c r="I575" s="1568"/>
      <c r="J575" s="1568"/>
      <c r="K575" s="1568"/>
      <c r="L575" s="1568"/>
      <c r="M575" s="1568"/>
      <c r="N575" s="1568"/>
      <c r="O575" s="1568"/>
      <c r="P575" s="1568"/>
      <c r="Q575" s="1568"/>
      <c r="R575" s="1568"/>
      <c r="S575" s="1568"/>
      <c r="T575" s="1568"/>
      <c r="U575" s="247"/>
      <c r="V575" s="1568"/>
      <c r="W575" s="1568"/>
      <c r="X575" s="1568"/>
      <c r="Y575" s="523"/>
      <c r="BD575" s="387">
        <f t="shared" si="262"/>
        <v>19</v>
      </c>
      <c r="BE575" s="382">
        <f>IF(BD575&gt;0,238,0)</f>
        <v>238</v>
      </c>
      <c r="BG575" s="383">
        <f>IF($BE575&gt;$R$66-3+($BR$335*12),238,0)</f>
        <v>238</v>
      </c>
      <c r="BH575" s="1754">
        <f t="shared" si="263"/>
        <v>0</v>
      </c>
      <c r="BI575" s="1754"/>
      <c r="BJ575" s="1754"/>
      <c r="BK575" s="1754"/>
      <c r="BL575" s="1754">
        <f t="shared" si="224"/>
        <v>0</v>
      </c>
      <c r="BM575" s="1754"/>
      <c r="BN575" s="1754"/>
      <c r="BO575" s="1754">
        <f t="shared" si="214"/>
        <v>0</v>
      </c>
      <c r="BP575" s="1754"/>
      <c r="BQ575" s="1754"/>
      <c r="BR575" s="1754">
        <f t="shared" si="264"/>
        <v>0</v>
      </c>
      <c r="BS575" s="1754"/>
      <c r="BT575" s="1754"/>
      <c r="BU575" s="1754"/>
      <c r="BW575" s="383">
        <f>IF($BE575&gt;$R$66-3+($CH$335*12),238,0)</f>
        <v>238</v>
      </c>
      <c r="BX575" s="1754">
        <f t="shared" si="205"/>
        <v>0</v>
      </c>
      <c r="BY575" s="1754"/>
      <c r="BZ575" s="1754"/>
      <c r="CA575" s="1754"/>
      <c r="CB575" s="1754">
        <f t="shared" si="225"/>
        <v>0</v>
      </c>
      <c r="CC575" s="1754"/>
      <c r="CD575" s="1754"/>
      <c r="CE575" s="1754">
        <f t="shared" si="216"/>
        <v>0</v>
      </c>
      <c r="CF575" s="1754"/>
      <c r="CG575" s="1754"/>
      <c r="CH575" s="1754">
        <f t="shared" si="217"/>
        <v>0</v>
      </c>
      <c r="CI575" s="1754"/>
      <c r="CJ575" s="1754"/>
      <c r="CK575" s="1754"/>
      <c r="CM575" s="383">
        <f>IF($BE575&gt;$R$66-3+($CX$335*12),238,0)</f>
        <v>238</v>
      </c>
      <c r="CN575" s="1754">
        <f t="shared" si="206"/>
        <v>0</v>
      </c>
      <c r="CO575" s="1754"/>
      <c r="CP575" s="1754"/>
      <c r="CQ575" s="1754"/>
      <c r="CR575" s="1754">
        <f t="shared" si="226"/>
        <v>0</v>
      </c>
      <c r="CS575" s="1754"/>
      <c r="CT575" s="1754"/>
      <c r="CU575" s="1754">
        <f t="shared" si="218"/>
        <v>0</v>
      </c>
      <c r="CV575" s="1754"/>
      <c r="CW575" s="1754"/>
      <c r="CX575" s="1754">
        <f t="shared" si="219"/>
        <v>0</v>
      </c>
      <c r="CY575" s="1754"/>
      <c r="CZ575" s="1754"/>
      <c r="DA575" s="1754"/>
      <c r="DC575" s="383">
        <f>IF($BE575&gt;$R$66-3,238,0)</f>
        <v>238</v>
      </c>
      <c r="DD575" s="1754">
        <f t="shared" si="207"/>
        <v>0</v>
      </c>
      <c r="DE575" s="1754"/>
      <c r="DF575" s="1754"/>
      <c r="DG575" s="1754"/>
      <c r="DH575" s="1754">
        <f t="shared" si="227"/>
        <v>0</v>
      </c>
      <c r="DI575" s="1754"/>
      <c r="DJ575" s="1754"/>
      <c r="DK575" s="1754">
        <f t="shared" si="254"/>
        <v>0</v>
      </c>
      <c r="DL575" s="1754"/>
      <c r="DM575" s="1754"/>
      <c r="DN575" s="1754"/>
      <c r="DP575" s="383">
        <f t="shared" si="228"/>
        <v>238</v>
      </c>
      <c r="DQ575" s="1754">
        <f t="shared" si="240"/>
        <v>0</v>
      </c>
      <c r="DR575" s="1754"/>
      <c r="DS575" s="1754"/>
      <c r="DT575" s="1754"/>
      <c r="DU575" s="1754">
        <f t="shared" si="241"/>
        <v>0</v>
      </c>
      <c r="DV575" s="1754"/>
      <c r="DW575" s="1754"/>
      <c r="DX575" s="1754">
        <f t="shared" si="248"/>
        <v>0</v>
      </c>
      <c r="DY575" s="1754"/>
      <c r="DZ575" s="1754"/>
      <c r="EA575" s="1754">
        <f t="shared" si="249"/>
        <v>0</v>
      </c>
      <c r="EB575" s="1754"/>
      <c r="EC575" s="1754"/>
      <c r="ED575" s="1754"/>
      <c r="EE575" s="384"/>
      <c r="EF575" s="1750">
        <f t="shared" si="221"/>
        <v>0</v>
      </c>
      <c r="EG575" s="1751"/>
      <c r="EH575" s="1751"/>
      <c r="EI575" s="1751"/>
      <c r="EJ575" s="1752"/>
      <c r="EL575" s="1750">
        <f t="shared" si="250"/>
        <v>0</v>
      </c>
      <c r="EM575" s="1751"/>
      <c r="EN575" s="1751"/>
      <c r="EO575" s="1751"/>
      <c r="EP575" s="1752"/>
      <c r="ER575" s="1750">
        <f t="shared" si="222"/>
        <v>0</v>
      </c>
      <c r="ES575" s="1751"/>
      <c r="ET575" s="1751"/>
      <c r="EU575" s="1751"/>
      <c r="EV575" s="1752"/>
      <c r="EX575" s="1750">
        <f>IF(BE575&gt;0,Einstrahlung!$K$28*Kalkulation!$P$62/100*$AY$29*POWER((100-$P$64)/100,BD575-1),0)</f>
        <v>0</v>
      </c>
      <c r="EY575" s="1751"/>
      <c r="EZ575" s="1751"/>
      <c r="FA575" s="1751"/>
      <c r="FB575" s="1752"/>
      <c r="FD575" s="1750">
        <f t="shared" si="229"/>
        <v>0</v>
      </c>
      <c r="FE575" s="1751"/>
      <c r="FF575" s="1751"/>
      <c r="FG575" s="1751"/>
      <c r="FH575" s="1752"/>
      <c r="FI575" s="385"/>
      <c r="FJ575" s="380">
        <f t="shared" si="239"/>
        <v>0</v>
      </c>
      <c r="FK575" s="385"/>
      <c r="FL575" s="380">
        <f t="shared" si="265"/>
        <v>0</v>
      </c>
      <c r="FM575" s="385"/>
      <c r="FN575" s="380">
        <f t="shared" si="231"/>
        <v>0</v>
      </c>
      <c r="FO575" s="962">
        <f t="shared" si="237"/>
        <v>367</v>
      </c>
      <c r="FP575" s="956">
        <f t="shared" si="223"/>
        <v>0.4</v>
      </c>
      <c r="FQ575" s="380">
        <f t="shared" si="243"/>
        <v>0</v>
      </c>
      <c r="FR575" s="626">
        <f t="shared" si="266"/>
        <v>1</v>
      </c>
      <c r="FT575" s="1819">
        <f t="shared" si="238"/>
        <v>0</v>
      </c>
      <c r="FU575" s="1820"/>
      <c r="FV575" s="1820"/>
      <c r="FW575" s="1820"/>
      <c r="FX575" s="1821"/>
      <c r="FY575" s="1819">
        <f t="shared" si="233"/>
        <v>0</v>
      </c>
      <c r="FZ575" s="1820"/>
      <c r="GA575" s="1820"/>
      <c r="GB575" s="1821"/>
      <c r="GC575" s="1825">
        <f t="shared" si="253"/>
        <v>0</v>
      </c>
      <c r="GD575" s="1826"/>
      <c r="GE575" s="1826"/>
      <c r="GF575" s="1827"/>
      <c r="GH575" s="1750">
        <f t="shared" si="234"/>
        <v>0</v>
      </c>
      <c r="GI575" s="1751"/>
      <c r="GJ575" s="1751"/>
      <c r="GK575" s="1752"/>
      <c r="GL575" s="1750">
        <f t="shared" si="235"/>
        <v>0</v>
      </c>
      <c r="GM575" s="1751"/>
      <c r="GN575" s="1751"/>
      <c r="GO575" s="1752"/>
      <c r="GP575" s="385"/>
      <c r="GQ575" s="1750">
        <f t="shared" si="236"/>
        <v>0</v>
      </c>
      <c r="GR575" s="1751"/>
      <c r="GS575" s="1751"/>
      <c r="GT575" s="1752"/>
      <c r="GU575" s="192">
        <f t="shared" si="242"/>
        <v>1</v>
      </c>
      <c r="GV575" s="192">
        <f>SUM($GU$337:GU575)</f>
        <v>231</v>
      </c>
      <c r="GW575" s="318"/>
      <c r="HO575" s="380">
        <f t="shared" si="261"/>
        <v>0</v>
      </c>
      <c r="HX575" s="380"/>
    </row>
    <row r="576" spans="4:232">
      <c r="D576" s="409"/>
      <c r="E576" s="318"/>
      <c r="F576" s="1568"/>
      <c r="G576" s="1568"/>
      <c r="H576" s="1568"/>
      <c r="I576" s="1568">
        <f>F575</f>
        <v>0</v>
      </c>
      <c r="J576" s="1568"/>
      <c r="K576" s="1568"/>
      <c r="L576" s="1568"/>
      <c r="M576" s="1568"/>
      <c r="N576" s="1568"/>
      <c r="O576" s="1568"/>
      <c r="P576" s="1568"/>
      <c r="Q576" s="1568"/>
      <c r="R576" s="1568"/>
      <c r="S576" s="1568"/>
      <c r="T576" s="1568"/>
      <c r="U576" s="247"/>
      <c r="V576" s="1568"/>
      <c r="W576" s="1568"/>
      <c r="X576" s="1568"/>
      <c r="Y576" s="523"/>
      <c r="BD576" s="387">
        <f t="shared" si="262"/>
        <v>19</v>
      </c>
      <c r="BE576" s="382">
        <f>IF(BD576&gt;0,239,0)</f>
        <v>239</v>
      </c>
      <c r="BG576" s="383">
        <f>IF($BE576&gt;$R$66-3+($BR$335*12),239,0)</f>
        <v>239</v>
      </c>
      <c r="BH576" s="1754">
        <f t="shared" si="263"/>
        <v>0</v>
      </c>
      <c r="BI576" s="1754"/>
      <c r="BJ576" s="1754"/>
      <c r="BK576" s="1754"/>
      <c r="BL576" s="1754">
        <f t="shared" si="224"/>
        <v>0</v>
      </c>
      <c r="BM576" s="1754"/>
      <c r="BN576" s="1754"/>
      <c r="BO576" s="1754">
        <f t="shared" si="214"/>
        <v>0</v>
      </c>
      <c r="BP576" s="1754"/>
      <c r="BQ576" s="1754"/>
      <c r="BR576" s="1754">
        <f t="shared" si="264"/>
        <v>0</v>
      </c>
      <c r="BS576" s="1754"/>
      <c r="BT576" s="1754"/>
      <c r="BU576" s="1754"/>
      <c r="BW576" s="383">
        <f>IF($BE576&gt;$R$66-3+($CH$335*12),239,0)</f>
        <v>239</v>
      </c>
      <c r="BX576" s="1754">
        <f t="shared" si="205"/>
        <v>0</v>
      </c>
      <c r="BY576" s="1754"/>
      <c r="BZ576" s="1754"/>
      <c r="CA576" s="1754"/>
      <c r="CB576" s="1754">
        <f t="shared" si="225"/>
        <v>0</v>
      </c>
      <c r="CC576" s="1754"/>
      <c r="CD576" s="1754"/>
      <c r="CE576" s="1754">
        <f t="shared" si="216"/>
        <v>0</v>
      </c>
      <c r="CF576" s="1754"/>
      <c r="CG576" s="1754"/>
      <c r="CH576" s="1754">
        <f t="shared" si="217"/>
        <v>0</v>
      </c>
      <c r="CI576" s="1754"/>
      <c r="CJ576" s="1754"/>
      <c r="CK576" s="1754"/>
      <c r="CM576" s="383">
        <f>IF($BE576&gt;$R$66-3+($CX$335*12),239,0)</f>
        <v>239</v>
      </c>
      <c r="CN576" s="1754">
        <f t="shared" si="206"/>
        <v>0</v>
      </c>
      <c r="CO576" s="1754"/>
      <c r="CP576" s="1754"/>
      <c r="CQ576" s="1754"/>
      <c r="CR576" s="1754">
        <f t="shared" si="226"/>
        <v>0</v>
      </c>
      <c r="CS576" s="1754"/>
      <c r="CT576" s="1754"/>
      <c r="CU576" s="1754">
        <f t="shared" si="218"/>
        <v>0</v>
      </c>
      <c r="CV576" s="1754"/>
      <c r="CW576" s="1754"/>
      <c r="CX576" s="1754">
        <f t="shared" si="219"/>
        <v>0</v>
      </c>
      <c r="CY576" s="1754"/>
      <c r="CZ576" s="1754"/>
      <c r="DA576" s="1754"/>
      <c r="DC576" s="383">
        <f>IF($BE576&gt;$R$66-3,239,0)</f>
        <v>239</v>
      </c>
      <c r="DD576" s="1754">
        <f t="shared" si="207"/>
        <v>0</v>
      </c>
      <c r="DE576" s="1754"/>
      <c r="DF576" s="1754"/>
      <c r="DG576" s="1754"/>
      <c r="DH576" s="1754">
        <f t="shared" si="227"/>
        <v>0</v>
      </c>
      <c r="DI576" s="1754"/>
      <c r="DJ576" s="1754"/>
      <c r="DK576" s="1754">
        <f t="shared" si="254"/>
        <v>0</v>
      </c>
      <c r="DL576" s="1754"/>
      <c r="DM576" s="1754"/>
      <c r="DN576" s="1754"/>
      <c r="DP576" s="383">
        <f t="shared" si="228"/>
        <v>239</v>
      </c>
      <c r="DQ576" s="1754">
        <f t="shared" si="240"/>
        <v>0</v>
      </c>
      <c r="DR576" s="1754"/>
      <c r="DS576" s="1754"/>
      <c r="DT576" s="1754"/>
      <c r="DU576" s="1754">
        <f t="shared" si="241"/>
        <v>0</v>
      </c>
      <c r="DV576" s="1754"/>
      <c r="DW576" s="1754"/>
      <c r="DX576" s="1754">
        <f t="shared" si="248"/>
        <v>0</v>
      </c>
      <c r="DY576" s="1754"/>
      <c r="DZ576" s="1754"/>
      <c r="EA576" s="1754">
        <f t="shared" si="249"/>
        <v>0</v>
      </c>
      <c r="EB576" s="1754"/>
      <c r="EC576" s="1754"/>
      <c r="ED576" s="1754"/>
      <c r="EE576" s="384"/>
      <c r="EF576" s="1750">
        <f t="shared" si="221"/>
        <v>0</v>
      </c>
      <c r="EG576" s="1751"/>
      <c r="EH576" s="1751"/>
      <c r="EI576" s="1751"/>
      <c r="EJ576" s="1752"/>
      <c r="EL576" s="1750">
        <f t="shared" si="250"/>
        <v>0</v>
      </c>
      <c r="EM576" s="1751"/>
      <c r="EN576" s="1751"/>
      <c r="EO576" s="1751"/>
      <c r="EP576" s="1752"/>
      <c r="ER576" s="1750">
        <f t="shared" si="222"/>
        <v>0</v>
      </c>
      <c r="ES576" s="1751"/>
      <c r="ET576" s="1751"/>
      <c r="EU576" s="1751"/>
      <c r="EV576" s="1752"/>
      <c r="EX576" s="1750">
        <f>IF(BE576&gt;0,Einstrahlung!$K$30*Kalkulation!$P$62/100*$AY$29*POWER((100-$P$64)/100,BD576-1),0)</f>
        <v>0</v>
      </c>
      <c r="EY576" s="1751"/>
      <c r="EZ576" s="1751"/>
      <c r="FA576" s="1751"/>
      <c r="FB576" s="1752"/>
      <c r="FD576" s="1750">
        <f t="shared" si="229"/>
        <v>0</v>
      </c>
      <c r="FE576" s="1751"/>
      <c r="FF576" s="1751"/>
      <c r="FG576" s="1751"/>
      <c r="FH576" s="1752"/>
      <c r="FI576" s="385"/>
      <c r="FJ576" s="380">
        <f t="shared" si="239"/>
        <v>0</v>
      </c>
      <c r="FK576" s="385"/>
      <c r="FL576" s="380">
        <f t="shared" si="265"/>
        <v>0</v>
      </c>
      <c r="FM576" s="385"/>
      <c r="FN576" s="380">
        <f t="shared" si="231"/>
        <v>0</v>
      </c>
      <c r="FO576" s="962">
        <f t="shared" si="237"/>
        <v>368</v>
      </c>
      <c r="FP576" s="956">
        <f t="shared" si="223"/>
        <v>0.4</v>
      </c>
      <c r="FQ576" s="380">
        <f t="shared" si="243"/>
        <v>0</v>
      </c>
      <c r="FR576" s="626">
        <f t="shared" si="266"/>
        <v>1</v>
      </c>
      <c r="FT576" s="1819">
        <f t="shared" si="238"/>
        <v>0</v>
      </c>
      <c r="FU576" s="1820"/>
      <c r="FV576" s="1820"/>
      <c r="FW576" s="1820"/>
      <c r="FX576" s="1821"/>
      <c r="FY576" s="1819">
        <f t="shared" si="233"/>
        <v>0</v>
      </c>
      <c r="FZ576" s="1820"/>
      <c r="GA576" s="1820"/>
      <c r="GB576" s="1821"/>
      <c r="GC576" s="1825">
        <f t="shared" si="253"/>
        <v>0</v>
      </c>
      <c r="GD576" s="1826"/>
      <c r="GE576" s="1826"/>
      <c r="GF576" s="1827"/>
      <c r="GH576" s="1750">
        <f t="shared" si="234"/>
        <v>0</v>
      </c>
      <c r="GI576" s="1751"/>
      <c r="GJ576" s="1751"/>
      <c r="GK576" s="1752"/>
      <c r="GL576" s="1750">
        <f t="shared" si="235"/>
        <v>0</v>
      </c>
      <c r="GM576" s="1751"/>
      <c r="GN576" s="1751"/>
      <c r="GO576" s="1752"/>
      <c r="GP576" s="385"/>
      <c r="GQ576" s="1750">
        <f t="shared" si="236"/>
        <v>0</v>
      </c>
      <c r="GR576" s="1751"/>
      <c r="GS576" s="1751"/>
      <c r="GT576" s="1752"/>
      <c r="GU576" s="192">
        <f t="shared" si="242"/>
        <v>1</v>
      </c>
      <c r="GV576" s="192">
        <f>SUM($GU$337:GU576)</f>
        <v>232</v>
      </c>
      <c r="GW576" s="318"/>
      <c r="HO576" s="380">
        <f t="shared" si="261"/>
        <v>0</v>
      </c>
      <c r="HX576" s="380"/>
    </row>
    <row r="577" spans="4:232" ht="13.5" thickBot="1">
      <c r="D577" s="409"/>
      <c r="E577" s="318"/>
      <c r="F577" s="1568"/>
      <c r="G577" s="1568"/>
      <c r="H577" s="1568"/>
      <c r="I577" s="1568"/>
      <c r="J577" s="1568"/>
      <c r="K577" s="1568"/>
      <c r="L577" s="1568">
        <f>F575</f>
        <v>0</v>
      </c>
      <c r="M577" s="1568"/>
      <c r="N577" s="1568"/>
      <c r="O577" s="1568"/>
      <c r="P577" s="1568"/>
      <c r="Q577" s="1568"/>
      <c r="R577" s="1568"/>
      <c r="S577" s="1568"/>
      <c r="T577" s="1568"/>
      <c r="U577" s="247"/>
      <c r="V577" s="1568"/>
      <c r="W577" s="1568"/>
      <c r="X577" s="1568"/>
      <c r="Y577" s="523"/>
      <c r="BD577" s="389">
        <f t="shared" si="262"/>
        <v>19</v>
      </c>
      <c r="BE577" s="390">
        <f>IF(BD577&gt;0,240,0)</f>
        <v>240</v>
      </c>
      <c r="BG577" s="391">
        <f>IF($BE577&gt;$R$66-3+($BR$335*12),240,0)</f>
        <v>240</v>
      </c>
      <c r="BH577" s="1753">
        <f t="shared" si="263"/>
        <v>0</v>
      </c>
      <c r="BI577" s="1753"/>
      <c r="BJ577" s="1753"/>
      <c r="BK577" s="1753"/>
      <c r="BL577" s="1753">
        <f t="shared" si="224"/>
        <v>0</v>
      </c>
      <c r="BM577" s="1753"/>
      <c r="BN577" s="1753"/>
      <c r="BO577" s="1753">
        <f t="shared" si="214"/>
        <v>0</v>
      </c>
      <c r="BP577" s="1753"/>
      <c r="BQ577" s="1753"/>
      <c r="BR577" s="1753">
        <f t="shared" si="264"/>
        <v>0</v>
      </c>
      <c r="BS577" s="1753"/>
      <c r="BT577" s="1753"/>
      <c r="BU577" s="1753"/>
      <c r="BW577" s="391">
        <f>IF($BE577&gt;$R$66-3+($CH$335*12),240,0)</f>
        <v>240</v>
      </c>
      <c r="BX577" s="1753">
        <f t="shared" si="205"/>
        <v>0</v>
      </c>
      <c r="BY577" s="1753"/>
      <c r="BZ577" s="1753"/>
      <c r="CA577" s="1753"/>
      <c r="CB577" s="1753">
        <f t="shared" si="225"/>
        <v>0</v>
      </c>
      <c r="CC577" s="1753"/>
      <c r="CD577" s="1753"/>
      <c r="CE577" s="1753">
        <f t="shared" si="216"/>
        <v>0</v>
      </c>
      <c r="CF577" s="1753"/>
      <c r="CG577" s="1753"/>
      <c r="CH577" s="1753">
        <f t="shared" si="217"/>
        <v>0</v>
      </c>
      <c r="CI577" s="1753"/>
      <c r="CJ577" s="1753"/>
      <c r="CK577" s="1753"/>
      <c r="CM577" s="391">
        <f>IF($BE577&gt;$R$66-3+($CX$335*12),240,0)</f>
        <v>240</v>
      </c>
      <c r="CN577" s="1753">
        <f t="shared" si="206"/>
        <v>0</v>
      </c>
      <c r="CO577" s="1753"/>
      <c r="CP577" s="1753"/>
      <c r="CQ577" s="1753"/>
      <c r="CR577" s="1753">
        <f t="shared" si="226"/>
        <v>0</v>
      </c>
      <c r="CS577" s="1753"/>
      <c r="CT577" s="1753"/>
      <c r="CU577" s="1753">
        <f t="shared" si="218"/>
        <v>0</v>
      </c>
      <c r="CV577" s="1753"/>
      <c r="CW577" s="1753"/>
      <c r="CX577" s="1753">
        <f t="shared" si="219"/>
        <v>0</v>
      </c>
      <c r="CY577" s="1753"/>
      <c r="CZ577" s="1753"/>
      <c r="DA577" s="1753"/>
      <c r="DC577" s="391">
        <f>IF($BE577&gt;$R$66-3,240,0)</f>
        <v>240</v>
      </c>
      <c r="DD577" s="1753">
        <f t="shared" si="207"/>
        <v>0</v>
      </c>
      <c r="DE577" s="1753"/>
      <c r="DF577" s="1753"/>
      <c r="DG577" s="1753"/>
      <c r="DH577" s="1753">
        <f t="shared" si="227"/>
        <v>0</v>
      </c>
      <c r="DI577" s="1753"/>
      <c r="DJ577" s="1753"/>
      <c r="DK577" s="1753">
        <f t="shared" si="254"/>
        <v>0</v>
      </c>
      <c r="DL577" s="1753"/>
      <c r="DM577" s="1753"/>
      <c r="DN577" s="1753"/>
      <c r="DP577" s="391">
        <f t="shared" si="228"/>
        <v>240</v>
      </c>
      <c r="DQ577" s="1753">
        <f t="shared" si="240"/>
        <v>0</v>
      </c>
      <c r="DR577" s="1753"/>
      <c r="DS577" s="1753"/>
      <c r="DT577" s="1753"/>
      <c r="DU577" s="1753">
        <f t="shared" si="241"/>
        <v>0</v>
      </c>
      <c r="DV577" s="1753"/>
      <c r="DW577" s="1753"/>
      <c r="DX577" s="1753">
        <f t="shared" si="248"/>
        <v>0</v>
      </c>
      <c r="DY577" s="1753"/>
      <c r="DZ577" s="1753"/>
      <c r="EA577" s="1753">
        <f t="shared" si="249"/>
        <v>0</v>
      </c>
      <c r="EB577" s="1753"/>
      <c r="EC577" s="1753"/>
      <c r="ED577" s="1753"/>
      <c r="EE577" s="384"/>
      <c r="EF577" s="1744">
        <f t="shared" si="221"/>
        <v>0</v>
      </c>
      <c r="EG577" s="1745"/>
      <c r="EH577" s="1745"/>
      <c r="EI577" s="1745"/>
      <c r="EJ577" s="1746"/>
      <c r="EL577" s="1744">
        <f t="shared" si="250"/>
        <v>0</v>
      </c>
      <c r="EM577" s="1745"/>
      <c r="EN577" s="1745"/>
      <c r="EO577" s="1745"/>
      <c r="EP577" s="1746"/>
      <c r="ER577" s="1744">
        <f t="shared" si="222"/>
        <v>0</v>
      </c>
      <c r="ES577" s="1745"/>
      <c r="ET577" s="1745"/>
      <c r="EU577" s="1745"/>
      <c r="EV577" s="1746"/>
      <c r="EX577" s="1744">
        <f>IF(BE577&gt;0,Einstrahlung!$K$32*Kalkulation!$P$62/100*$AY$29*POWER((100-$P$64)/100,BD577-1),0)</f>
        <v>0</v>
      </c>
      <c r="EY577" s="1745"/>
      <c r="EZ577" s="1745"/>
      <c r="FA577" s="1745"/>
      <c r="FB577" s="1746"/>
      <c r="FD577" s="1744">
        <f t="shared" si="229"/>
        <v>0</v>
      </c>
      <c r="FE577" s="1745"/>
      <c r="FF577" s="1745"/>
      <c r="FG577" s="1745"/>
      <c r="FH577" s="1746"/>
      <c r="FI577" s="385"/>
      <c r="FJ577" s="453">
        <f t="shared" si="239"/>
        <v>0</v>
      </c>
      <c r="FK577" s="385"/>
      <c r="FL577" s="453">
        <f t="shared" si="265"/>
        <v>0</v>
      </c>
      <c r="FM577" s="385"/>
      <c r="FN577" s="453">
        <f t="shared" si="231"/>
        <v>0</v>
      </c>
      <c r="FO577" s="962">
        <f t="shared" si="237"/>
        <v>369</v>
      </c>
      <c r="FP577" s="956">
        <f t="shared" si="223"/>
        <v>0.4</v>
      </c>
      <c r="FQ577" s="453">
        <f t="shared" si="243"/>
        <v>0</v>
      </c>
      <c r="FR577" s="957">
        <f>POWER(1+$FQ$333,FS577)</f>
        <v>1</v>
      </c>
      <c r="FS577" s="617">
        <f>FS565+1</f>
        <v>19</v>
      </c>
      <c r="FT577" s="1822">
        <f t="shared" si="238"/>
        <v>0</v>
      </c>
      <c r="FU577" s="1823"/>
      <c r="FV577" s="1823"/>
      <c r="FW577" s="1823"/>
      <c r="FX577" s="1824"/>
      <c r="FY577" s="1822">
        <f t="shared" si="233"/>
        <v>0</v>
      </c>
      <c r="FZ577" s="1823"/>
      <c r="GA577" s="1823"/>
      <c r="GB577" s="1824"/>
      <c r="GC577" s="1831">
        <f t="shared" si="253"/>
        <v>0</v>
      </c>
      <c r="GD577" s="1832"/>
      <c r="GE577" s="1832"/>
      <c r="GF577" s="1833"/>
      <c r="GH577" s="1744">
        <f t="shared" si="234"/>
        <v>0</v>
      </c>
      <c r="GI577" s="1745"/>
      <c r="GJ577" s="1745"/>
      <c r="GK577" s="1746"/>
      <c r="GL577" s="1744">
        <f t="shared" si="235"/>
        <v>0</v>
      </c>
      <c r="GM577" s="1745"/>
      <c r="GN577" s="1745"/>
      <c r="GO577" s="1746"/>
      <c r="GP577" s="385"/>
      <c r="GQ577" s="1744">
        <f t="shared" si="236"/>
        <v>0</v>
      </c>
      <c r="GR577" s="1745"/>
      <c r="GS577" s="1745"/>
      <c r="GT577" s="1746"/>
      <c r="GU577" s="192">
        <f t="shared" si="242"/>
        <v>1</v>
      </c>
      <c r="GV577" s="192">
        <f>SUM($GU$337:GU577)</f>
        <v>233</v>
      </c>
      <c r="GW577" s="318"/>
      <c r="HP577" s="380">
        <f t="shared" ref="HP577:HP588" si="267">IF(GV577=240,SUM(GQ566:GT577),0)</f>
        <v>0</v>
      </c>
      <c r="HX577" s="380"/>
    </row>
    <row r="578" spans="4:232">
      <c r="D578" s="409"/>
      <c r="E578" s="318"/>
      <c r="F578" s="1568"/>
      <c r="G578" s="1568"/>
      <c r="H578" s="1568"/>
      <c r="I578" s="1568"/>
      <c r="J578" s="1568"/>
      <c r="K578" s="1568"/>
      <c r="L578" s="1568"/>
      <c r="M578" s="1568"/>
      <c r="N578" s="1568"/>
      <c r="O578" s="1568">
        <f>V578</f>
        <v>0</v>
      </c>
      <c r="P578" s="1568"/>
      <c r="Q578" s="1568"/>
      <c r="R578" s="1568"/>
      <c r="S578" s="1568"/>
      <c r="T578" s="1568"/>
      <c r="U578" s="247"/>
      <c r="V578" s="1568">
        <f>IF(D249&gt;0,V573+(G249+J249)-(O249+Q249+S249+T249+V249)+Y249,0)</f>
        <v>0</v>
      </c>
      <c r="W578" s="1568"/>
      <c r="X578" s="1568"/>
      <c r="Y578" s="523">
        <f>IF(D249&gt;0,IF(V578&gt;0,0,1),0)</f>
        <v>1</v>
      </c>
      <c r="BD578" s="381">
        <f t="shared" ref="BD578:BD589" si="268">IF(BH578&lt;0,0,IF($V$21&gt;0,20,0))</f>
        <v>20</v>
      </c>
      <c r="BE578" s="382">
        <f>IF(BD578&gt;0,241,0)</f>
        <v>241</v>
      </c>
      <c r="BG578" s="395">
        <f>IF($BE578&gt;$R$66-3+($BR$335*12),241,0)</f>
        <v>241</v>
      </c>
      <c r="BH578" s="1754">
        <f t="shared" ref="BH578:BH589" si="269">IF(BR577&lt;=0,0,BR577)</f>
        <v>0</v>
      </c>
      <c r="BI578" s="1754"/>
      <c r="BJ578" s="1754"/>
      <c r="BK578" s="1754"/>
      <c r="BL578" s="1754">
        <f t="shared" si="224"/>
        <v>0</v>
      </c>
      <c r="BM578" s="1754"/>
      <c r="BN578" s="1754"/>
      <c r="BO578" s="1754">
        <f t="shared" si="214"/>
        <v>0</v>
      </c>
      <c r="BP578" s="1754"/>
      <c r="BQ578" s="1754"/>
      <c r="BR578" s="1754">
        <f t="shared" ref="BR578:BR589" si="270">BH578-BL578</f>
        <v>0</v>
      </c>
      <c r="BS578" s="1754"/>
      <c r="BT578" s="1754"/>
      <c r="BU578" s="1754"/>
      <c r="BW578" s="395">
        <f>IF($BE578&gt;$R$66-3+($CH$335*12),241,0)</f>
        <v>241</v>
      </c>
      <c r="BX578" s="1754">
        <f t="shared" si="205"/>
        <v>0</v>
      </c>
      <c r="BY578" s="1754"/>
      <c r="BZ578" s="1754"/>
      <c r="CA578" s="1754"/>
      <c r="CB578" s="1754">
        <f t="shared" si="225"/>
        <v>0</v>
      </c>
      <c r="CC578" s="1754"/>
      <c r="CD578" s="1754"/>
      <c r="CE578" s="1754">
        <f t="shared" si="216"/>
        <v>0</v>
      </c>
      <c r="CF578" s="1754"/>
      <c r="CG578" s="1754"/>
      <c r="CH578" s="1754">
        <f t="shared" si="217"/>
        <v>0</v>
      </c>
      <c r="CI578" s="1754"/>
      <c r="CJ578" s="1754"/>
      <c r="CK578" s="1754"/>
      <c r="CM578" s="395">
        <f>IF($BE578&gt;$R$66-3+($CX$335*12),241,0)</f>
        <v>241</v>
      </c>
      <c r="CN578" s="1754">
        <f t="shared" si="206"/>
        <v>0</v>
      </c>
      <c r="CO578" s="1754"/>
      <c r="CP578" s="1754"/>
      <c r="CQ578" s="1754"/>
      <c r="CR578" s="1754">
        <f t="shared" si="226"/>
        <v>0</v>
      </c>
      <c r="CS578" s="1754"/>
      <c r="CT578" s="1754"/>
      <c r="CU578" s="1754">
        <f t="shared" si="218"/>
        <v>0</v>
      </c>
      <c r="CV578" s="1754"/>
      <c r="CW578" s="1754"/>
      <c r="CX578" s="1754">
        <f t="shared" si="219"/>
        <v>0</v>
      </c>
      <c r="CY578" s="1754"/>
      <c r="CZ578" s="1754"/>
      <c r="DA578" s="1754"/>
      <c r="DC578" s="395">
        <f>IF($BE578&gt;$R$66-3,241,0)</f>
        <v>241</v>
      </c>
      <c r="DD578" s="1754">
        <f t="shared" si="207"/>
        <v>0</v>
      </c>
      <c r="DE578" s="1754"/>
      <c r="DF578" s="1754"/>
      <c r="DG578" s="1754"/>
      <c r="DH578" s="1754">
        <f t="shared" si="227"/>
        <v>0</v>
      </c>
      <c r="DI578" s="1754"/>
      <c r="DJ578" s="1754"/>
      <c r="DK578" s="1754">
        <f t="shared" si="254"/>
        <v>0</v>
      </c>
      <c r="DL578" s="1754"/>
      <c r="DM578" s="1754"/>
      <c r="DN578" s="1754"/>
      <c r="DP578" s="395">
        <f t="shared" si="228"/>
        <v>241</v>
      </c>
      <c r="DQ578" s="1754">
        <f t="shared" si="240"/>
        <v>0</v>
      </c>
      <c r="DR578" s="1754"/>
      <c r="DS578" s="1754"/>
      <c r="DT578" s="1754"/>
      <c r="DU578" s="1754">
        <f t="shared" si="241"/>
        <v>0</v>
      </c>
      <c r="DV578" s="1754"/>
      <c r="DW578" s="1754"/>
      <c r="DX578" s="1754">
        <f t="shared" si="248"/>
        <v>0</v>
      </c>
      <c r="DY578" s="1754"/>
      <c r="DZ578" s="1754"/>
      <c r="EA578" s="1754">
        <f t="shared" si="249"/>
        <v>0</v>
      </c>
      <c r="EB578" s="1754"/>
      <c r="EC578" s="1754"/>
      <c r="ED578" s="1754"/>
      <c r="EE578" s="384"/>
      <c r="EF578" s="1750">
        <f t="shared" si="221"/>
        <v>0</v>
      </c>
      <c r="EG578" s="1751"/>
      <c r="EH578" s="1751"/>
      <c r="EI578" s="1751"/>
      <c r="EJ578" s="1752"/>
      <c r="EL578" s="1750">
        <f t="shared" si="250"/>
        <v>0</v>
      </c>
      <c r="EM578" s="1751"/>
      <c r="EN578" s="1751"/>
      <c r="EO578" s="1751"/>
      <c r="EP578" s="1752"/>
      <c r="ER578" s="1750">
        <f t="shared" si="222"/>
        <v>0</v>
      </c>
      <c r="ES578" s="1751"/>
      <c r="ET578" s="1751"/>
      <c r="EU578" s="1751"/>
      <c r="EV578" s="1752"/>
      <c r="EX578" s="1750">
        <f>IF(BE578&gt;0,Einstrahlung!$K$10*Kalkulation!$P$62/100*$AY$29*POWER((100-$P$64)/100,BD578-1),0)</f>
        <v>0</v>
      </c>
      <c r="EY578" s="1751"/>
      <c r="EZ578" s="1751"/>
      <c r="FA578" s="1751"/>
      <c r="FB578" s="1752"/>
      <c r="FD578" s="1750">
        <f t="shared" si="229"/>
        <v>0</v>
      </c>
      <c r="FE578" s="1751"/>
      <c r="FF578" s="1751"/>
      <c r="FG578" s="1751"/>
      <c r="FH578" s="1752"/>
      <c r="FI578" s="385"/>
      <c r="FJ578" s="380">
        <f t="shared" si="239"/>
        <v>0</v>
      </c>
      <c r="FK578" s="385"/>
      <c r="FL578" s="380">
        <f>IF(BE578&gt;0,IF($FL$336&gt;SUM($EX$578:$FB$589),SUM($EX$578:$FB$589)/12,$FL$336/12),0)</f>
        <v>0</v>
      </c>
      <c r="FM578" s="385"/>
      <c r="FN578" s="380">
        <f t="shared" si="231"/>
        <v>0</v>
      </c>
      <c r="FO578" s="962">
        <f t="shared" si="237"/>
        <v>370</v>
      </c>
      <c r="FP578" s="956">
        <f t="shared" si="223"/>
        <v>0.4</v>
      </c>
      <c r="FQ578" s="380">
        <f t="shared" si="243"/>
        <v>0</v>
      </c>
      <c r="FR578" s="626">
        <f>IF(AND(GV578&gt;228,GV578&lt;=240),$FR$577,IF(AND(GV578&gt;240,GV578&lt;=252),$FR$589,0))</f>
        <v>1</v>
      </c>
      <c r="FT578" s="1819">
        <f t="shared" si="238"/>
        <v>0</v>
      </c>
      <c r="FU578" s="1820"/>
      <c r="FV578" s="1820"/>
      <c r="FW578" s="1820"/>
      <c r="FX578" s="1821"/>
      <c r="FY578" s="1819">
        <f t="shared" si="233"/>
        <v>0</v>
      </c>
      <c r="FZ578" s="1820"/>
      <c r="GA578" s="1820"/>
      <c r="GB578" s="1821"/>
      <c r="GC578" s="1825">
        <f t="shared" si="253"/>
        <v>0</v>
      </c>
      <c r="GD578" s="1826"/>
      <c r="GE578" s="1826"/>
      <c r="GF578" s="1827"/>
      <c r="GH578" s="1750">
        <f t="shared" si="234"/>
        <v>0</v>
      </c>
      <c r="GI578" s="1751"/>
      <c r="GJ578" s="1751"/>
      <c r="GK578" s="1751"/>
      <c r="GL578" s="1750">
        <f t="shared" si="235"/>
        <v>0</v>
      </c>
      <c r="GM578" s="1751"/>
      <c r="GN578" s="1751"/>
      <c r="GO578" s="1752"/>
      <c r="GP578" s="385"/>
      <c r="GQ578" s="1865">
        <f t="shared" si="236"/>
        <v>0</v>
      </c>
      <c r="GR578" s="1866"/>
      <c r="GS578" s="1866"/>
      <c r="GT578" s="1867"/>
      <c r="GU578" s="192">
        <f t="shared" si="242"/>
        <v>1</v>
      </c>
      <c r="GV578" s="192">
        <f>SUM($GU$337:GU578)</f>
        <v>234</v>
      </c>
      <c r="GW578" s="318"/>
      <c r="HP578" s="380">
        <f t="shared" si="267"/>
        <v>0</v>
      </c>
      <c r="HX578" s="380"/>
    </row>
    <row r="579" spans="4:232">
      <c r="D579" s="409"/>
      <c r="E579" s="318"/>
      <c r="F579" s="1568"/>
      <c r="G579" s="1568"/>
      <c r="H579" s="1568"/>
      <c r="I579" s="1568"/>
      <c r="J579" s="1568"/>
      <c r="K579" s="1568"/>
      <c r="L579" s="1568"/>
      <c r="M579" s="1568"/>
      <c r="N579" s="1568"/>
      <c r="O579" s="1568"/>
      <c r="P579" s="1568"/>
      <c r="Q579" s="1568"/>
      <c r="R579" s="1568"/>
      <c r="S579" s="1568"/>
      <c r="T579" s="1568"/>
      <c r="U579" s="247"/>
      <c r="V579" s="1568"/>
      <c r="W579" s="1568"/>
      <c r="X579" s="1568"/>
      <c r="Y579" s="523"/>
      <c r="BD579" s="387">
        <f t="shared" si="268"/>
        <v>20</v>
      </c>
      <c r="BE579" s="382">
        <f>IF(BD579&gt;0,242,0)</f>
        <v>242</v>
      </c>
      <c r="BG579" s="383">
        <f>IF($BE579&gt;$R$66-3+($BR$335*12),242,0)</f>
        <v>242</v>
      </c>
      <c r="BH579" s="1754">
        <f t="shared" si="269"/>
        <v>0</v>
      </c>
      <c r="BI579" s="1754"/>
      <c r="BJ579" s="1754"/>
      <c r="BK579" s="1754"/>
      <c r="BL579" s="1754">
        <f t="shared" si="224"/>
        <v>0</v>
      </c>
      <c r="BM579" s="1754"/>
      <c r="BN579" s="1754"/>
      <c r="BO579" s="1754">
        <f t="shared" si="214"/>
        <v>0</v>
      </c>
      <c r="BP579" s="1754"/>
      <c r="BQ579" s="1754"/>
      <c r="BR579" s="1754">
        <f t="shared" si="270"/>
        <v>0</v>
      </c>
      <c r="BS579" s="1754"/>
      <c r="BT579" s="1754"/>
      <c r="BU579" s="1754"/>
      <c r="BW579" s="383">
        <f>IF($BE579&gt;$R$66-3+($CH$335*12),242,0)</f>
        <v>242</v>
      </c>
      <c r="BX579" s="1754">
        <f t="shared" si="205"/>
        <v>0</v>
      </c>
      <c r="BY579" s="1754"/>
      <c r="BZ579" s="1754"/>
      <c r="CA579" s="1754"/>
      <c r="CB579" s="1754">
        <f t="shared" si="225"/>
        <v>0</v>
      </c>
      <c r="CC579" s="1754"/>
      <c r="CD579" s="1754"/>
      <c r="CE579" s="1754">
        <f t="shared" si="216"/>
        <v>0</v>
      </c>
      <c r="CF579" s="1754"/>
      <c r="CG579" s="1754"/>
      <c r="CH579" s="1754">
        <f t="shared" si="217"/>
        <v>0</v>
      </c>
      <c r="CI579" s="1754"/>
      <c r="CJ579" s="1754"/>
      <c r="CK579" s="1754"/>
      <c r="CM579" s="383">
        <f>IF($BE579&gt;$R$66-3+($CX$335*12),242,0)</f>
        <v>242</v>
      </c>
      <c r="CN579" s="1754">
        <f t="shared" si="206"/>
        <v>0</v>
      </c>
      <c r="CO579" s="1754"/>
      <c r="CP579" s="1754"/>
      <c r="CQ579" s="1754"/>
      <c r="CR579" s="1754">
        <f t="shared" si="226"/>
        <v>0</v>
      </c>
      <c r="CS579" s="1754"/>
      <c r="CT579" s="1754"/>
      <c r="CU579" s="1754">
        <f t="shared" si="218"/>
        <v>0</v>
      </c>
      <c r="CV579" s="1754"/>
      <c r="CW579" s="1754"/>
      <c r="CX579" s="1754">
        <f t="shared" si="219"/>
        <v>0</v>
      </c>
      <c r="CY579" s="1754"/>
      <c r="CZ579" s="1754"/>
      <c r="DA579" s="1754"/>
      <c r="DC579" s="383">
        <f>IF($BE579&gt;$R$66-3,242,0)</f>
        <v>242</v>
      </c>
      <c r="DD579" s="1754">
        <f t="shared" si="207"/>
        <v>0</v>
      </c>
      <c r="DE579" s="1754"/>
      <c r="DF579" s="1754"/>
      <c r="DG579" s="1754"/>
      <c r="DH579" s="1754">
        <f t="shared" si="227"/>
        <v>0</v>
      </c>
      <c r="DI579" s="1754"/>
      <c r="DJ579" s="1754"/>
      <c r="DK579" s="1754">
        <f t="shared" si="254"/>
        <v>0</v>
      </c>
      <c r="DL579" s="1754"/>
      <c r="DM579" s="1754"/>
      <c r="DN579" s="1754"/>
      <c r="DP579" s="383">
        <f t="shared" si="228"/>
        <v>242</v>
      </c>
      <c r="DQ579" s="1754">
        <f t="shared" si="240"/>
        <v>0</v>
      </c>
      <c r="DR579" s="1754"/>
      <c r="DS579" s="1754"/>
      <c r="DT579" s="1754"/>
      <c r="DU579" s="1754">
        <f t="shared" si="241"/>
        <v>0</v>
      </c>
      <c r="DV579" s="1754"/>
      <c r="DW579" s="1754"/>
      <c r="DX579" s="1754">
        <f t="shared" si="248"/>
        <v>0</v>
      </c>
      <c r="DY579" s="1754"/>
      <c r="DZ579" s="1754"/>
      <c r="EA579" s="1754">
        <f t="shared" si="249"/>
        <v>0</v>
      </c>
      <c r="EB579" s="1754"/>
      <c r="EC579" s="1754"/>
      <c r="ED579" s="1754"/>
      <c r="EE579" s="384"/>
      <c r="EF579" s="1750">
        <f t="shared" si="221"/>
        <v>0</v>
      </c>
      <c r="EG579" s="1751"/>
      <c r="EH579" s="1751"/>
      <c r="EI579" s="1751"/>
      <c r="EJ579" s="1752"/>
      <c r="EL579" s="1750">
        <f t="shared" si="250"/>
        <v>0</v>
      </c>
      <c r="EM579" s="1751"/>
      <c r="EN579" s="1751"/>
      <c r="EO579" s="1751"/>
      <c r="EP579" s="1752"/>
      <c r="ER579" s="1750">
        <f t="shared" si="222"/>
        <v>0</v>
      </c>
      <c r="ES579" s="1751"/>
      <c r="ET579" s="1751"/>
      <c r="EU579" s="1751"/>
      <c r="EV579" s="1752"/>
      <c r="EX579" s="1750">
        <f>IF(BE579&gt;0,Einstrahlung!$K$12*Kalkulation!$P$62/100*$AY$29*POWER((100-$P$64)/100,BD579-1),0)</f>
        <v>0</v>
      </c>
      <c r="EY579" s="1751"/>
      <c r="EZ579" s="1751"/>
      <c r="FA579" s="1751"/>
      <c r="FB579" s="1752"/>
      <c r="FD579" s="1750">
        <f t="shared" si="229"/>
        <v>0</v>
      </c>
      <c r="FE579" s="1751"/>
      <c r="FF579" s="1751"/>
      <c r="FG579" s="1751"/>
      <c r="FH579" s="1752"/>
      <c r="FI579" s="385"/>
      <c r="FJ579" s="380">
        <f t="shared" si="239"/>
        <v>0</v>
      </c>
      <c r="FK579" s="385"/>
      <c r="FL579" s="380">
        <f t="shared" ref="FL579:FL589" si="271">IF(BE579&gt;0,IF($FL$336&gt;SUM($EX$578:$FB$589),SUM($EX$578:$FB$589)/12,$FL$336/12),0)</f>
        <v>0</v>
      </c>
      <c r="FM579" s="385"/>
      <c r="FN579" s="380">
        <f t="shared" si="231"/>
        <v>0</v>
      </c>
      <c r="FO579" s="962">
        <f t="shared" si="237"/>
        <v>371</v>
      </c>
      <c r="FP579" s="956">
        <f t="shared" si="223"/>
        <v>0.4</v>
      </c>
      <c r="FQ579" s="380">
        <f t="shared" si="243"/>
        <v>0</v>
      </c>
      <c r="FR579" s="626">
        <f t="shared" ref="FR579:FR588" si="272">IF(AND(GV579&gt;228,GV579&lt;=240),$FR$577,IF(AND(GV579&gt;240,GV579&lt;=252),$FR$589,0))</f>
        <v>1</v>
      </c>
      <c r="FT579" s="1819">
        <f t="shared" si="238"/>
        <v>0</v>
      </c>
      <c r="FU579" s="1820"/>
      <c r="FV579" s="1820"/>
      <c r="FW579" s="1820"/>
      <c r="FX579" s="1821"/>
      <c r="FY579" s="1819">
        <f t="shared" si="233"/>
        <v>0</v>
      </c>
      <c r="FZ579" s="1820"/>
      <c r="GA579" s="1820"/>
      <c r="GB579" s="1821"/>
      <c r="GC579" s="1825">
        <f t="shared" si="253"/>
        <v>0</v>
      </c>
      <c r="GD579" s="1826"/>
      <c r="GE579" s="1826"/>
      <c r="GF579" s="1827"/>
      <c r="GH579" s="1750">
        <f t="shared" si="234"/>
        <v>0</v>
      </c>
      <c r="GI579" s="1751"/>
      <c r="GJ579" s="1751"/>
      <c r="GK579" s="1752"/>
      <c r="GL579" s="1750">
        <f t="shared" si="235"/>
        <v>0</v>
      </c>
      <c r="GM579" s="1751"/>
      <c r="GN579" s="1751"/>
      <c r="GO579" s="1752"/>
      <c r="GP579" s="385"/>
      <c r="GQ579" s="1750">
        <f t="shared" si="236"/>
        <v>0</v>
      </c>
      <c r="GR579" s="1751"/>
      <c r="GS579" s="1751"/>
      <c r="GT579" s="1752"/>
      <c r="GU579" s="192">
        <f t="shared" si="242"/>
        <v>1</v>
      </c>
      <c r="GV579" s="192">
        <f>SUM($GU$337:GU579)</f>
        <v>235</v>
      </c>
      <c r="GW579" s="318"/>
      <c r="HP579" s="380">
        <f t="shared" si="267"/>
        <v>0</v>
      </c>
      <c r="HX579" s="380"/>
    </row>
    <row r="580" spans="4:232">
      <c r="D580" s="409">
        <v>3</v>
      </c>
      <c r="E580" s="318"/>
      <c r="F580" s="1568">
        <f>AH251</f>
        <v>0</v>
      </c>
      <c r="G580" s="1568"/>
      <c r="H580" s="1568"/>
      <c r="I580" s="1568"/>
      <c r="J580" s="1568"/>
      <c r="K580" s="1568"/>
      <c r="L580" s="1568"/>
      <c r="M580" s="1568"/>
      <c r="N580" s="1568"/>
      <c r="O580" s="1568"/>
      <c r="P580" s="1568"/>
      <c r="Q580" s="1568"/>
      <c r="R580" s="1568"/>
      <c r="S580" s="1568"/>
      <c r="T580" s="1568"/>
      <c r="U580" s="247"/>
      <c r="V580" s="1568"/>
      <c r="W580" s="1568"/>
      <c r="X580" s="1568"/>
      <c r="Y580" s="523"/>
      <c r="BD580" s="387">
        <f t="shared" si="268"/>
        <v>20</v>
      </c>
      <c r="BE580" s="382">
        <f>IF(BD580&gt;0,243,0)</f>
        <v>243</v>
      </c>
      <c r="BG580" s="383">
        <f>IF($BE580&gt;$R$66-3+($BR$335*12),243,0)</f>
        <v>243</v>
      </c>
      <c r="BH580" s="1754">
        <f t="shared" si="269"/>
        <v>0</v>
      </c>
      <c r="BI580" s="1754"/>
      <c r="BJ580" s="1754"/>
      <c r="BK580" s="1754"/>
      <c r="BL580" s="1754">
        <f t="shared" si="224"/>
        <v>0</v>
      </c>
      <c r="BM580" s="1754"/>
      <c r="BN580" s="1754"/>
      <c r="BO580" s="1754">
        <f t="shared" si="214"/>
        <v>0</v>
      </c>
      <c r="BP580" s="1754"/>
      <c r="BQ580" s="1754"/>
      <c r="BR580" s="1754">
        <f t="shared" si="270"/>
        <v>0</v>
      </c>
      <c r="BS580" s="1754"/>
      <c r="BT580" s="1754"/>
      <c r="BU580" s="1754"/>
      <c r="BW580" s="383">
        <f>IF($BE580&gt;$R$66-3+($CH$335*12),243,0)</f>
        <v>243</v>
      </c>
      <c r="BX580" s="1754">
        <f t="shared" si="205"/>
        <v>0</v>
      </c>
      <c r="BY580" s="1754"/>
      <c r="BZ580" s="1754"/>
      <c r="CA580" s="1754"/>
      <c r="CB580" s="1754">
        <f t="shared" si="225"/>
        <v>0</v>
      </c>
      <c r="CC580" s="1754"/>
      <c r="CD580" s="1754"/>
      <c r="CE580" s="1754">
        <f t="shared" si="216"/>
        <v>0</v>
      </c>
      <c r="CF580" s="1754"/>
      <c r="CG580" s="1754"/>
      <c r="CH580" s="1754">
        <f t="shared" si="217"/>
        <v>0</v>
      </c>
      <c r="CI580" s="1754"/>
      <c r="CJ580" s="1754"/>
      <c r="CK580" s="1754"/>
      <c r="CM580" s="383">
        <f>IF($BE580&gt;$R$66-3+($CX$335*12),243,0)</f>
        <v>243</v>
      </c>
      <c r="CN580" s="1754">
        <f t="shared" si="206"/>
        <v>0</v>
      </c>
      <c r="CO580" s="1754"/>
      <c r="CP580" s="1754"/>
      <c r="CQ580" s="1754"/>
      <c r="CR580" s="1754">
        <f t="shared" si="226"/>
        <v>0</v>
      </c>
      <c r="CS580" s="1754"/>
      <c r="CT580" s="1754"/>
      <c r="CU580" s="1754">
        <f t="shared" si="218"/>
        <v>0</v>
      </c>
      <c r="CV580" s="1754"/>
      <c r="CW580" s="1754"/>
      <c r="CX580" s="1754">
        <f t="shared" si="219"/>
        <v>0</v>
      </c>
      <c r="CY580" s="1754"/>
      <c r="CZ580" s="1754"/>
      <c r="DA580" s="1754"/>
      <c r="DC580" s="383">
        <f>IF($BE580&gt;$R$66-3,243,0)</f>
        <v>243</v>
      </c>
      <c r="DD580" s="1754">
        <f t="shared" si="207"/>
        <v>0</v>
      </c>
      <c r="DE580" s="1754"/>
      <c r="DF580" s="1754"/>
      <c r="DG580" s="1754"/>
      <c r="DH580" s="1754">
        <f t="shared" si="227"/>
        <v>0</v>
      </c>
      <c r="DI580" s="1754"/>
      <c r="DJ580" s="1754"/>
      <c r="DK580" s="1754">
        <f t="shared" si="254"/>
        <v>0</v>
      </c>
      <c r="DL580" s="1754"/>
      <c r="DM580" s="1754"/>
      <c r="DN580" s="1754"/>
      <c r="DP580" s="383">
        <f t="shared" si="228"/>
        <v>243</v>
      </c>
      <c r="DQ580" s="1754">
        <f t="shared" si="240"/>
        <v>0</v>
      </c>
      <c r="DR580" s="1754"/>
      <c r="DS580" s="1754"/>
      <c r="DT580" s="1754"/>
      <c r="DU580" s="1754">
        <f t="shared" si="241"/>
        <v>0</v>
      </c>
      <c r="DV580" s="1754"/>
      <c r="DW580" s="1754"/>
      <c r="DX580" s="1754">
        <f t="shared" si="248"/>
        <v>0</v>
      </c>
      <c r="DY580" s="1754"/>
      <c r="DZ580" s="1754"/>
      <c r="EA580" s="1754">
        <f t="shared" si="249"/>
        <v>0</v>
      </c>
      <c r="EB580" s="1754"/>
      <c r="EC580" s="1754"/>
      <c r="ED580" s="1754"/>
      <c r="EE580" s="384"/>
      <c r="EF580" s="1750">
        <f t="shared" si="221"/>
        <v>0</v>
      </c>
      <c r="EG580" s="1751"/>
      <c r="EH580" s="1751"/>
      <c r="EI580" s="1751"/>
      <c r="EJ580" s="1752"/>
      <c r="EL580" s="1750">
        <f t="shared" si="250"/>
        <v>0</v>
      </c>
      <c r="EM580" s="1751"/>
      <c r="EN580" s="1751"/>
      <c r="EO580" s="1751"/>
      <c r="EP580" s="1752"/>
      <c r="ER580" s="1750">
        <f t="shared" si="222"/>
        <v>0</v>
      </c>
      <c r="ES580" s="1751"/>
      <c r="ET580" s="1751"/>
      <c r="EU580" s="1751"/>
      <c r="EV580" s="1752"/>
      <c r="EX580" s="1750">
        <f>IF(BE580&gt;0,Einstrahlung!$K$14*Kalkulation!$P$62/100*$AY$29*POWER((100-$P$64)/100,BD580-1),0)</f>
        <v>0</v>
      </c>
      <c r="EY580" s="1751"/>
      <c r="EZ580" s="1751"/>
      <c r="FA580" s="1751"/>
      <c r="FB580" s="1752"/>
      <c r="FD580" s="1750">
        <f t="shared" si="229"/>
        <v>0</v>
      </c>
      <c r="FE580" s="1751"/>
      <c r="FF580" s="1751"/>
      <c r="FG580" s="1751"/>
      <c r="FH580" s="1752"/>
      <c r="FI580" s="385"/>
      <c r="FJ580" s="380">
        <f t="shared" si="239"/>
        <v>0</v>
      </c>
      <c r="FK580" s="385"/>
      <c r="FL580" s="380">
        <f t="shared" si="271"/>
        <v>0</v>
      </c>
      <c r="FM580" s="385"/>
      <c r="FN580" s="380">
        <f t="shared" si="231"/>
        <v>0</v>
      </c>
      <c r="FO580" s="962">
        <f t="shared" si="237"/>
        <v>372</v>
      </c>
      <c r="FP580" s="956">
        <f t="shared" si="223"/>
        <v>0.4</v>
      </c>
      <c r="FQ580" s="380">
        <f t="shared" si="243"/>
        <v>0</v>
      </c>
      <c r="FR580" s="626">
        <f t="shared" si="272"/>
        <v>1</v>
      </c>
      <c r="FT580" s="1819">
        <f t="shared" si="238"/>
        <v>0</v>
      </c>
      <c r="FU580" s="1820"/>
      <c r="FV580" s="1820"/>
      <c r="FW580" s="1820"/>
      <c r="FX580" s="1821"/>
      <c r="FY580" s="1819">
        <f t="shared" si="233"/>
        <v>0</v>
      </c>
      <c r="FZ580" s="1820"/>
      <c r="GA580" s="1820"/>
      <c r="GB580" s="1821"/>
      <c r="GC580" s="1825">
        <f t="shared" si="253"/>
        <v>0</v>
      </c>
      <c r="GD580" s="1826"/>
      <c r="GE580" s="1826"/>
      <c r="GF580" s="1827"/>
      <c r="GH580" s="1750">
        <f t="shared" si="234"/>
        <v>0</v>
      </c>
      <c r="GI580" s="1751"/>
      <c r="GJ580" s="1751"/>
      <c r="GK580" s="1752"/>
      <c r="GL580" s="1750">
        <f t="shared" si="235"/>
        <v>0</v>
      </c>
      <c r="GM580" s="1751"/>
      <c r="GN580" s="1751"/>
      <c r="GO580" s="1752"/>
      <c r="GP580" s="385"/>
      <c r="GQ580" s="1750">
        <f t="shared" si="236"/>
        <v>0</v>
      </c>
      <c r="GR580" s="1751"/>
      <c r="GS580" s="1751"/>
      <c r="GT580" s="1752"/>
      <c r="GU580" s="192">
        <f t="shared" si="242"/>
        <v>1</v>
      </c>
      <c r="GV580" s="192">
        <f>SUM($GU$337:GU580)</f>
        <v>236</v>
      </c>
      <c r="GW580" s="318"/>
      <c r="HP580" s="380">
        <f t="shared" si="267"/>
        <v>0</v>
      </c>
      <c r="HX580" s="380"/>
    </row>
    <row r="581" spans="4:232">
      <c r="D581" s="409"/>
      <c r="E581" s="318"/>
      <c r="F581" s="1568"/>
      <c r="G581" s="1568"/>
      <c r="H581" s="1568"/>
      <c r="I581" s="1568">
        <f>F580</f>
        <v>0</v>
      </c>
      <c r="J581" s="1568"/>
      <c r="K581" s="1568"/>
      <c r="L581" s="1568"/>
      <c r="M581" s="1568"/>
      <c r="N581" s="1568"/>
      <c r="O581" s="1568"/>
      <c r="P581" s="1568"/>
      <c r="Q581" s="1568"/>
      <c r="R581" s="1568"/>
      <c r="S581" s="1568"/>
      <c r="T581" s="1568"/>
      <c r="U581" s="247"/>
      <c r="V581" s="1568"/>
      <c r="W581" s="1568"/>
      <c r="X581" s="1568"/>
      <c r="Y581" s="523"/>
      <c r="BD581" s="387">
        <f t="shared" si="268"/>
        <v>20</v>
      </c>
      <c r="BE581" s="382">
        <f>IF(BD581&gt;0,244,0)</f>
        <v>244</v>
      </c>
      <c r="BG581" s="383">
        <f>IF($BE581&gt;$R$66-3+($BR$335*12),244,0)</f>
        <v>244</v>
      </c>
      <c r="BH581" s="1754">
        <f t="shared" si="269"/>
        <v>0</v>
      </c>
      <c r="BI581" s="1754"/>
      <c r="BJ581" s="1754"/>
      <c r="BK581" s="1754"/>
      <c r="BL581" s="1754">
        <f t="shared" si="224"/>
        <v>0</v>
      </c>
      <c r="BM581" s="1754"/>
      <c r="BN581" s="1754"/>
      <c r="BO581" s="1754">
        <f t="shared" si="214"/>
        <v>0</v>
      </c>
      <c r="BP581" s="1754"/>
      <c r="BQ581" s="1754"/>
      <c r="BR581" s="1754">
        <f t="shared" si="270"/>
        <v>0</v>
      </c>
      <c r="BS581" s="1754"/>
      <c r="BT581" s="1754"/>
      <c r="BU581" s="1754"/>
      <c r="BW581" s="383">
        <f>IF($BE581&gt;$R$66-3+($CH$335*12),244,0)</f>
        <v>244</v>
      </c>
      <c r="BX581" s="1754">
        <f t="shared" si="205"/>
        <v>0</v>
      </c>
      <c r="BY581" s="1754"/>
      <c r="BZ581" s="1754"/>
      <c r="CA581" s="1754"/>
      <c r="CB581" s="1754">
        <f t="shared" si="225"/>
        <v>0</v>
      </c>
      <c r="CC581" s="1754"/>
      <c r="CD581" s="1754"/>
      <c r="CE581" s="1754">
        <f t="shared" si="216"/>
        <v>0</v>
      </c>
      <c r="CF581" s="1754"/>
      <c r="CG581" s="1754"/>
      <c r="CH581" s="1754">
        <f t="shared" si="217"/>
        <v>0</v>
      </c>
      <c r="CI581" s="1754"/>
      <c r="CJ581" s="1754"/>
      <c r="CK581" s="1754"/>
      <c r="CM581" s="383">
        <f>IF($BE581&gt;$R$66-3+($CX$335*12),244,0)</f>
        <v>244</v>
      </c>
      <c r="CN581" s="1754">
        <f t="shared" si="206"/>
        <v>0</v>
      </c>
      <c r="CO581" s="1754"/>
      <c r="CP581" s="1754"/>
      <c r="CQ581" s="1754"/>
      <c r="CR581" s="1754">
        <f t="shared" si="226"/>
        <v>0</v>
      </c>
      <c r="CS581" s="1754"/>
      <c r="CT581" s="1754"/>
      <c r="CU581" s="1754">
        <f t="shared" si="218"/>
        <v>0</v>
      </c>
      <c r="CV581" s="1754"/>
      <c r="CW581" s="1754"/>
      <c r="CX581" s="1754">
        <f t="shared" si="219"/>
        <v>0</v>
      </c>
      <c r="CY581" s="1754"/>
      <c r="CZ581" s="1754"/>
      <c r="DA581" s="1754"/>
      <c r="DC581" s="383">
        <f>IF($BE581&gt;$R$66-3,244,0)</f>
        <v>244</v>
      </c>
      <c r="DD581" s="1754">
        <f t="shared" si="207"/>
        <v>0</v>
      </c>
      <c r="DE581" s="1754"/>
      <c r="DF581" s="1754"/>
      <c r="DG581" s="1754"/>
      <c r="DH581" s="1754">
        <f t="shared" si="227"/>
        <v>0</v>
      </c>
      <c r="DI581" s="1754"/>
      <c r="DJ581" s="1754"/>
      <c r="DK581" s="1754">
        <f t="shared" si="254"/>
        <v>0</v>
      </c>
      <c r="DL581" s="1754"/>
      <c r="DM581" s="1754"/>
      <c r="DN581" s="1754"/>
      <c r="DP581" s="383">
        <f t="shared" si="228"/>
        <v>244</v>
      </c>
      <c r="DQ581" s="1754">
        <f t="shared" si="240"/>
        <v>0</v>
      </c>
      <c r="DR581" s="1754"/>
      <c r="DS581" s="1754"/>
      <c r="DT581" s="1754"/>
      <c r="DU581" s="1754">
        <f t="shared" si="241"/>
        <v>0</v>
      </c>
      <c r="DV581" s="1754"/>
      <c r="DW581" s="1754"/>
      <c r="DX581" s="1754">
        <f t="shared" si="248"/>
        <v>0</v>
      </c>
      <c r="DY581" s="1754"/>
      <c r="DZ581" s="1754"/>
      <c r="EA581" s="1754">
        <f t="shared" si="249"/>
        <v>0</v>
      </c>
      <c r="EB581" s="1754"/>
      <c r="EC581" s="1754"/>
      <c r="ED581" s="1754"/>
      <c r="EE581" s="384"/>
      <c r="EF581" s="1750">
        <f t="shared" si="221"/>
        <v>0</v>
      </c>
      <c r="EG581" s="1751"/>
      <c r="EH581" s="1751"/>
      <c r="EI581" s="1751"/>
      <c r="EJ581" s="1752"/>
      <c r="EL581" s="1750">
        <f t="shared" si="250"/>
        <v>0</v>
      </c>
      <c r="EM581" s="1751"/>
      <c r="EN581" s="1751"/>
      <c r="EO581" s="1751"/>
      <c r="EP581" s="1752"/>
      <c r="ER581" s="1750">
        <f t="shared" si="222"/>
        <v>0</v>
      </c>
      <c r="ES581" s="1751"/>
      <c r="ET581" s="1751"/>
      <c r="EU581" s="1751"/>
      <c r="EV581" s="1752"/>
      <c r="EX581" s="1750">
        <f>IF(BE581&gt;0,Einstrahlung!$K$16*Kalkulation!$P$62/100*$AY$29*POWER((100-$P$64)/100,BD581-1),0)</f>
        <v>0</v>
      </c>
      <c r="EY581" s="1751"/>
      <c r="EZ581" s="1751"/>
      <c r="FA581" s="1751"/>
      <c r="FB581" s="1752"/>
      <c r="FD581" s="1750">
        <f t="shared" si="229"/>
        <v>0</v>
      </c>
      <c r="FE581" s="1751"/>
      <c r="FF581" s="1751"/>
      <c r="FG581" s="1751"/>
      <c r="FH581" s="1752"/>
      <c r="FI581" s="385"/>
      <c r="FJ581" s="380">
        <f t="shared" si="239"/>
        <v>0</v>
      </c>
      <c r="FK581" s="385"/>
      <c r="FL581" s="380">
        <f t="shared" si="271"/>
        <v>0</v>
      </c>
      <c r="FM581" s="385"/>
      <c r="FN581" s="380">
        <f t="shared" si="231"/>
        <v>0</v>
      </c>
      <c r="FO581" s="962">
        <f t="shared" si="237"/>
        <v>373</v>
      </c>
      <c r="FP581" s="956">
        <f t="shared" si="223"/>
        <v>0.4</v>
      </c>
      <c r="FQ581" s="380">
        <f t="shared" si="243"/>
        <v>0</v>
      </c>
      <c r="FR581" s="626">
        <f t="shared" si="272"/>
        <v>1</v>
      </c>
      <c r="FT581" s="1819">
        <f t="shared" si="238"/>
        <v>0</v>
      </c>
      <c r="FU581" s="1820"/>
      <c r="FV581" s="1820"/>
      <c r="FW581" s="1820"/>
      <c r="FX581" s="1821"/>
      <c r="FY581" s="1819">
        <f t="shared" si="233"/>
        <v>0</v>
      </c>
      <c r="FZ581" s="1820"/>
      <c r="GA581" s="1820"/>
      <c r="GB581" s="1821"/>
      <c r="GC581" s="1825">
        <f t="shared" si="253"/>
        <v>0</v>
      </c>
      <c r="GD581" s="1826"/>
      <c r="GE581" s="1826"/>
      <c r="GF581" s="1827"/>
      <c r="GH581" s="1750">
        <f t="shared" si="234"/>
        <v>0</v>
      </c>
      <c r="GI581" s="1751"/>
      <c r="GJ581" s="1751"/>
      <c r="GK581" s="1752"/>
      <c r="GL581" s="1750">
        <f t="shared" si="235"/>
        <v>0</v>
      </c>
      <c r="GM581" s="1751"/>
      <c r="GN581" s="1751"/>
      <c r="GO581" s="1752"/>
      <c r="GP581" s="385"/>
      <c r="GQ581" s="1750">
        <f t="shared" si="236"/>
        <v>0</v>
      </c>
      <c r="GR581" s="1751"/>
      <c r="GS581" s="1751"/>
      <c r="GT581" s="1752"/>
      <c r="GU581" s="192">
        <f t="shared" si="242"/>
        <v>1</v>
      </c>
      <c r="GV581" s="192">
        <f>SUM($GU$337:GU581)</f>
        <v>237</v>
      </c>
      <c r="GW581" s="318"/>
      <c r="HP581" s="380">
        <f t="shared" si="267"/>
        <v>0</v>
      </c>
      <c r="HX581" s="380"/>
    </row>
    <row r="582" spans="4:232">
      <c r="D582" s="409"/>
      <c r="E582" s="318"/>
      <c r="F582" s="1568"/>
      <c r="G582" s="1568"/>
      <c r="H582" s="1568"/>
      <c r="I582" s="1568"/>
      <c r="J582" s="1568"/>
      <c r="K582" s="1568"/>
      <c r="L582" s="1568">
        <f>F580</f>
        <v>0</v>
      </c>
      <c r="M582" s="1568"/>
      <c r="N582" s="1568"/>
      <c r="O582" s="1568"/>
      <c r="P582" s="1568"/>
      <c r="Q582" s="1568"/>
      <c r="R582" s="1568"/>
      <c r="S582" s="1568"/>
      <c r="T582" s="1568"/>
      <c r="U582" s="247"/>
      <c r="V582" s="1568"/>
      <c r="W582" s="1568"/>
      <c r="X582" s="1568"/>
      <c r="Y582" s="523"/>
      <c r="BD582" s="387">
        <f t="shared" si="268"/>
        <v>20</v>
      </c>
      <c r="BE582" s="382">
        <f>IF(BD582&gt;0,245,0)</f>
        <v>245</v>
      </c>
      <c r="BG582" s="383">
        <f>IF($BE582&gt;$R$66-3+($BR$335*12),245,0)</f>
        <v>245</v>
      </c>
      <c r="BH582" s="1754">
        <f t="shared" si="269"/>
        <v>0</v>
      </c>
      <c r="BI582" s="1754"/>
      <c r="BJ582" s="1754"/>
      <c r="BK582" s="1754"/>
      <c r="BL582" s="1754">
        <f t="shared" si="224"/>
        <v>0</v>
      </c>
      <c r="BM582" s="1754"/>
      <c r="BN582" s="1754"/>
      <c r="BO582" s="1754">
        <f t="shared" si="214"/>
        <v>0</v>
      </c>
      <c r="BP582" s="1754"/>
      <c r="BQ582" s="1754"/>
      <c r="BR582" s="1754">
        <f t="shared" si="270"/>
        <v>0</v>
      </c>
      <c r="BS582" s="1754"/>
      <c r="BT582" s="1754"/>
      <c r="BU582" s="1754"/>
      <c r="BW582" s="383">
        <f>IF($BE582&gt;$R$66-3+($CH$335*12),245,0)</f>
        <v>245</v>
      </c>
      <c r="BX582" s="1754">
        <f t="shared" ref="BX582:BX645" si="273">IF(CH581&lt;=0,0,CH581)</f>
        <v>0</v>
      </c>
      <c r="BY582" s="1754"/>
      <c r="BZ582" s="1754"/>
      <c r="CA582" s="1754"/>
      <c r="CB582" s="1754">
        <f t="shared" si="225"/>
        <v>0</v>
      </c>
      <c r="CC582" s="1754"/>
      <c r="CD582" s="1754"/>
      <c r="CE582" s="1754">
        <f t="shared" si="216"/>
        <v>0</v>
      </c>
      <c r="CF582" s="1754"/>
      <c r="CG582" s="1754"/>
      <c r="CH582" s="1754">
        <f t="shared" si="217"/>
        <v>0</v>
      </c>
      <c r="CI582" s="1754"/>
      <c r="CJ582" s="1754"/>
      <c r="CK582" s="1754"/>
      <c r="CM582" s="383">
        <f>IF($BE582&gt;$R$66-3+($CX$335*12),245,0)</f>
        <v>245</v>
      </c>
      <c r="CN582" s="1754">
        <f t="shared" ref="CN582:CN645" si="274">IF(CX581&lt;=0,0,CX581)</f>
        <v>0</v>
      </c>
      <c r="CO582" s="1754"/>
      <c r="CP582" s="1754"/>
      <c r="CQ582" s="1754"/>
      <c r="CR582" s="1754">
        <f t="shared" si="226"/>
        <v>0</v>
      </c>
      <c r="CS582" s="1754"/>
      <c r="CT582" s="1754"/>
      <c r="CU582" s="1754">
        <f t="shared" si="218"/>
        <v>0</v>
      </c>
      <c r="CV582" s="1754"/>
      <c r="CW582" s="1754"/>
      <c r="CX582" s="1754">
        <f t="shared" si="219"/>
        <v>0</v>
      </c>
      <c r="CY582" s="1754"/>
      <c r="CZ582" s="1754"/>
      <c r="DA582" s="1754"/>
      <c r="DC582" s="383">
        <f>IF($BE582&gt;$R$66-3,245,0)</f>
        <v>245</v>
      </c>
      <c r="DD582" s="1754">
        <f t="shared" ref="DD582:DD645" si="275">IF(DK581&lt;=0,0,DK581)</f>
        <v>0</v>
      </c>
      <c r="DE582" s="1754"/>
      <c r="DF582" s="1754"/>
      <c r="DG582" s="1754"/>
      <c r="DH582" s="1754">
        <f t="shared" si="227"/>
        <v>0</v>
      </c>
      <c r="DI582" s="1754"/>
      <c r="DJ582" s="1754"/>
      <c r="DK582" s="1754">
        <f t="shared" si="254"/>
        <v>0</v>
      </c>
      <c r="DL582" s="1754"/>
      <c r="DM582" s="1754"/>
      <c r="DN582" s="1754"/>
      <c r="DP582" s="383">
        <f t="shared" si="228"/>
        <v>245</v>
      </c>
      <c r="DQ582" s="1754">
        <f t="shared" si="240"/>
        <v>0</v>
      </c>
      <c r="DR582" s="1754"/>
      <c r="DS582" s="1754"/>
      <c r="DT582" s="1754"/>
      <c r="DU582" s="1754">
        <f t="shared" si="241"/>
        <v>0</v>
      </c>
      <c r="DV582" s="1754"/>
      <c r="DW582" s="1754"/>
      <c r="DX582" s="1754">
        <f t="shared" si="248"/>
        <v>0</v>
      </c>
      <c r="DY582" s="1754"/>
      <c r="DZ582" s="1754"/>
      <c r="EA582" s="1754">
        <f t="shared" si="249"/>
        <v>0</v>
      </c>
      <c r="EB582" s="1754"/>
      <c r="EC582" s="1754"/>
      <c r="ED582" s="1754"/>
      <c r="EE582" s="384"/>
      <c r="EF582" s="1750">
        <f t="shared" si="221"/>
        <v>0</v>
      </c>
      <c r="EG582" s="1751"/>
      <c r="EH582" s="1751"/>
      <c r="EI582" s="1751"/>
      <c r="EJ582" s="1752"/>
      <c r="EL582" s="1750">
        <f t="shared" si="250"/>
        <v>0</v>
      </c>
      <c r="EM582" s="1751"/>
      <c r="EN582" s="1751"/>
      <c r="EO582" s="1751"/>
      <c r="EP582" s="1752"/>
      <c r="ER582" s="1750">
        <f t="shared" si="222"/>
        <v>0</v>
      </c>
      <c r="ES582" s="1751"/>
      <c r="ET582" s="1751"/>
      <c r="EU582" s="1751"/>
      <c r="EV582" s="1752"/>
      <c r="EX582" s="1750">
        <f>IF(BE582&gt;0,Einstrahlung!$K$18*Kalkulation!$P$62/100*$AY$29*POWER((100-$P$64)/100,BD582-1),0)</f>
        <v>0</v>
      </c>
      <c r="EY582" s="1751"/>
      <c r="EZ582" s="1751"/>
      <c r="FA582" s="1751"/>
      <c r="FB582" s="1752"/>
      <c r="FD582" s="1750">
        <f t="shared" si="229"/>
        <v>0</v>
      </c>
      <c r="FE582" s="1751"/>
      <c r="FF582" s="1751"/>
      <c r="FG582" s="1751"/>
      <c r="FH582" s="1752"/>
      <c r="FI582" s="385"/>
      <c r="FJ582" s="380">
        <f t="shared" si="239"/>
        <v>0</v>
      </c>
      <c r="FK582" s="385"/>
      <c r="FL582" s="380">
        <f t="shared" si="271"/>
        <v>0</v>
      </c>
      <c r="FM582" s="385"/>
      <c r="FN582" s="380">
        <f t="shared" si="231"/>
        <v>0</v>
      </c>
      <c r="FO582" s="962">
        <f t="shared" si="237"/>
        <v>374</v>
      </c>
      <c r="FP582" s="956">
        <f t="shared" si="223"/>
        <v>0.4</v>
      </c>
      <c r="FQ582" s="380">
        <f t="shared" si="243"/>
        <v>0</v>
      </c>
      <c r="FR582" s="626">
        <f t="shared" si="272"/>
        <v>1</v>
      </c>
      <c r="FT582" s="1819">
        <f t="shared" si="238"/>
        <v>0</v>
      </c>
      <c r="FU582" s="1820"/>
      <c r="FV582" s="1820"/>
      <c r="FW582" s="1820"/>
      <c r="FX582" s="1821"/>
      <c r="FY582" s="1819">
        <f t="shared" si="233"/>
        <v>0</v>
      </c>
      <c r="FZ582" s="1820"/>
      <c r="GA582" s="1820"/>
      <c r="GB582" s="1821"/>
      <c r="GC582" s="1825">
        <f t="shared" si="253"/>
        <v>0</v>
      </c>
      <c r="GD582" s="1826"/>
      <c r="GE582" s="1826"/>
      <c r="GF582" s="1827"/>
      <c r="GH582" s="1750">
        <f t="shared" si="234"/>
        <v>0</v>
      </c>
      <c r="GI582" s="1751"/>
      <c r="GJ582" s="1751"/>
      <c r="GK582" s="1752"/>
      <c r="GL582" s="1750">
        <f t="shared" si="235"/>
        <v>0</v>
      </c>
      <c r="GM582" s="1751"/>
      <c r="GN582" s="1751"/>
      <c r="GO582" s="1752"/>
      <c r="GP582" s="385"/>
      <c r="GQ582" s="1750">
        <f t="shared" si="236"/>
        <v>0</v>
      </c>
      <c r="GR582" s="1751"/>
      <c r="GS582" s="1751"/>
      <c r="GT582" s="1752"/>
      <c r="GU582" s="192">
        <f t="shared" si="242"/>
        <v>1</v>
      </c>
      <c r="GV582" s="192">
        <f>SUM($GU$337:GU582)</f>
        <v>238</v>
      </c>
      <c r="GW582" s="318"/>
      <c r="HP582" s="380">
        <f t="shared" si="267"/>
        <v>0</v>
      </c>
      <c r="HX582" s="380"/>
    </row>
    <row r="583" spans="4:232">
      <c r="D583" s="409"/>
      <c r="E583" s="318"/>
      <c r="F583" s="1568"/>
      <c r="G583" s="1568"/>
      <c r="H583" s="1568"/>
      <c r="I583" s="1568"/>
      <c r="J583" s="1568"/>
      <c r="K583" s="1568"/>
      <c r="L583" s="1568"/>
      <c r="M583" s="1568"/>
      <c r="N583" s="1568"/>
      <c r="O583" s="1568">
        <f>V583</f>
        <v>0</v>
      </c>
      <c r="P583" s="1568"/>
      <c r="Q583" s="1568"/>
      <c r="R583" s="1568"/>
      <c r="S583" s="1568"/>
      <c r="T583" s="1568"/>
      <c r="U583" s="247"/>
      <c r="V583" s="1568">
        <f>IF(D251&gt;0,V578+(G251+J251)-(O251+Q251+S251+T251+V251)+Y251,0)</f>
        <v>0</v>
      </c>
      <c r="W583" s="1568"/>
      <c r="X583" s="1568"/>
      <c r="Y583" s="523">
        <f>IF(D251&gt;0,IF(V583&gt;0,0,1),0)</f>
        <v>1</v>
      </c>
      <c r="BD583" s="387">
        <f t="shared" si="268"/>
        <v>20</v>
      </c>
      <c r="BE583" s="382">
        <f>IF(BD583&gt;0,246,0)</f>
        <v>246</v>
      </c>
      <c r="BG583" s="383">
        <f>IF($BE583&gt;$R$66-3+($BR$335*12),246,0)</f>
        <v>246</v>
      </c>
      <c r="BH583" s="1754">
        <f t="shared" si="269"/>
        <v>0</v>
      </c>
      <c r="BI583" s="1754"/>
      <c r="BJ583" s="1754"/>
      <c r="BK583" s="1754"/>
      <c r="BL583" s="1754">
        <f t="shared" si="224"/>
        <v>0</v>
      </c>
      <c r="BM583" s="1754"/>
      <c r="BN583" s="1754"/>
      <c r="BO583" s="1754">
        <f t="shared" si="214"/>
        <v>0</v>
      </c>
      <c r="BP583" s="1754"/>
      <c r="BQ583" s="1754"/>
      <c r="BR583" s="1754">
        <f t="shared" si="270"/>
        <v>0</v>
      </c>
      <c r="BS583" s="1754"/>
      <c r="BT583" s="1754"/>
      <c r="BU583" s="1754"/>
      <c r="BW583" s="383">
        <f>IF($BE583&gt;$R$66-3+($CH$335*12),246,0)</f>
        <v>246</v>
      </c>
      <c r="BX583" s="1754">
        <f t="shared" si="273"/>
        <v>0</v>
      </c>
      <c r="BY583" s="1754"/>
      <c r="BZ583" s="1754"/>
      <c r="CA583" s="1754"/>
      <c r="CB583" s="1754">
        <f t="shared" si="225"/>
        <v>0</v>
      </c>
      <c r="CC583" s="1754"/>
      <c r="CD583" s="1754"/>
      <c r="CE583" s="1754">
        <f t="shared" si="216"/>
        <v>0</v>
      </c>
      <c r="CF583" s="1754"/>
      <c r="CG583" s="1754"/>
      <c r="CH583" s="1754">
        <f t="shared" si="217"/>
        <v>0</v>
      </c>
      <c r="CI583" s="1754"/>
      <c r="CJ583" s="1754"/>
      <c r="CK583" s="1754"/>
      <c r="CM583" s="383">
        <f>IF($BE583&gt;$R$66-3+($CX$335*12),246,0)</f>
        <v>246</v>
      </c>
      <c r="CN583" s="1754">
        <f t="shared" si="274"/>
        <v>0</v>
      </c>
      <c r="CO583" s="1754"/>
      <c r="CP583" s="1754"/>
      <c r="CQ583" s="1754"/>
      <c r="CR583" s="1754">
        <f t="shared" si="226"/>
        <v>0</v>
      </c>
      <c r="CS583" s="1754"/>
      <c r="CT583" s="1754"/>
      <c r="CU583" s="1754">
        <f t="shared" si="218"/>
        <v>0</v>
      </c>
      <c r="CV583" s="1754"/>
      <c r="CW583" s="1754"/>
      <c r="CX583" s="1754">
        <f t="shared" si="219"/>
        <v>0</v>
      </c>
      <c r="CY583" s="1754"/>
      <c r="CZ583" s="1754"/>
      <c r="DA583" s="1754"/>
      <c r="DC583" s="383">
        <f>IF($BE583&gt;$R$66-3,246,0)</f>
        <v>246</v>
      </c>
      <c r="DD583" s="1754">
        <f t="shared" si="275"/>
        <v>0</v>
      </c>
      <c r="DE583" s="1754"/>
      <c r="DF583" s="1754"/>
      <c r="DG583" s="1754"/>
      <c r="DH583" s="1754">
        <f t="shared" si="227"/>
        <v>0</v>
      </c>
      <c r="DI583" s="1754"/>
      <c r="DJ583" s="1754"/>
      <c r="DK583" s="1754">
        <f t="shared" si="254"/>
        <v>0</v>
      </c>
      <c r="DL583" s="1754"/>
      <c r="DM583" s="1754"/>
      <c r="DN583" s="1754"/>
      <c r="DP583" s="383">
        <f t="shared" si="228"/>
        <v>246</v>
      </c>
      <c r="DQ583" s="1754">
        <f t="shared" si="240"/>
        <v>0</v>
      </c>
      <c r="DR583" s="1754"/>
      <c r="DS583" s="1754"/>
      <c r="DT583" s="1754"/>
      <c r="DU583" s="1754">
        <f t="shared" si="241"/>
        <v>0</v>
      </c>
      <c r="DV583" s="1754"/>
      <c r="DW583" s="1754"/>
      <c r="DX583" s="1754">
        <f t="shared" si="248"/>
        <v>0</v>
      </c>
      <c r="DY583" s="1754"/>
      <c r="DZ583" s="1754"/>
      <c r="EA583" s="1754">
        <f t="shared" si="249"/>
        <v>0</v>
      </c>
      <c r="EB583" s="1754"/>
      <c r="EC583" s="1754"/>
      <c r="ED583" s="1754"/>
      <c r="EE583" s="384"/>
      <c r="EF583" s="1750">
        <f t="shared" si="221"/>
        <v>0</v>
      </c>
      <c r="EG583" s="1751"/>
      <c r="EH583" s="1751"/>
      <c r="EI583" s="1751"/>
      <c r="EJ583" s="1752"/>
      <c r="EL583" s="1750">
        <f t="shared" si="250"/>
        <v>0</v>
      </c>
      <c r="EM583" s="1751"/>
      <c r="EN583" s="1751"/>
      <c r="EO583" s="1751"/>
      <c r="EP583" s="1752"/>
      <c r="ER583" s="1750">
        <f t="shared" si="222"/>
        <v>0</v>
      </c>
      <c r="ES583" s="1751"/>
      <c r="ET583" s="1751"/>
      <c r="EU583" s="1751"/>
      <c r="EV583" s="1752"/>
      <c r="EX583" s="1750">
        <f>IF(BE583&gt;0,Einstrahlung!$K$20*Kalkulation!$P$62/100*$AY$29*POWER((100-$P$64)/100,BD583-1),0)</f>
        <v>0</v>
      </c>
      <c r="EY583" s="1751"/>
      <c r="EZ583" s="1751"/>
      <c r="FA583" s="1751"/>
      <c r="FB583" s="1752"/>
      <c r="FD583" s="1750">
        <f t="shared" si="229"/>
        <v>0</v>
      </c>
      <c r="FE583" s="1751"/>
      <c r="FF583" s="1751"/>
      <c r="FG583" s="1751"/>
      <c r="FH583" s="1752"/>
      <c r="FI583" s="385"/>
      <c r="FJ583" s="380">
        <f t="shared" si="239"/>
        <v>0</v>
      </c>
      <c r="FK583" s="385"/>
      <c r="FL583" s="380">
        <f t="shared" si="271"/>
        <v>0</v>
      </c>
      <c r="FM583" s="385"/>
      <c r="FN583" s="380">
        <f t="shared" si="231"/>
        <v>0</v>
      </c>
      <c r="FO583" s="962">
        <f t="shared" si="237"/>
        <v>375</v>
      </c>
      <c r="FP583" s="956">
        <f t="shared" si="223"/>
        <v>0.4</v>
      </c>
      <c r="FQ583" s="380">
        <f t="shared" si="243"/>
        <v>0</v>
      </c>
      <c r="FR583" s="626">
        <f t="shared" si="272"/>
        <v>1</v>
      </c>
      <c r="FT583" s="1819">
        <f t="shared" si="238"/>
        <v>0</v>
      </c>
      <c r="FU583" s="1820"/>
      <c r="FV583" s="1820"/>
      <c r="FW583" s="1820"/>
      <c r="FX583" s="1821"/>
      <c r="FY583" s="1819">
        <f t="shared" si="233"/>
        <v>0</v>
      </c>
      <c r="FZ583" s="1820"/>
      <c r="GA583" s="1820"/>
      <c r="GB583" s="1821"/>
      <c r="GC583" s="1825">
        <f t="shared" si="253"/>
        <v>0</v>
      </c>
      <c r="GD583" s="1826"/>
      <c r="GE583" s="1826"/>
      <c r="GF583" s="1827"/>
      <c r="GH583" s="1750">
        <f t="shared" si="234"/>
        <v>0</v>
      </c>
      <c r="GI583" s="1751"/>
      <c r="GJ583" s="1751"/>
      <c r="GK583" s="1752"/>
      <c r="GL583" s="1750">
        <f t="shared" si="235"/>
        <v>0</v>
      </c>
      <c r="GM583" s="1751"/>
      <c r="GN583" s="1751"/>
      <c r="GO583" s="1752"/>
      <c r="GP583" s="385"/>
      <c r="GQ583" s="1750">
        <f t="shared" si="236"/>
        <v>0</v>
      </c>
      <c r="GR583" s="1751"/>
      <c r="GS583" s="1751"/>
      <c r="GT583" s="1752"/>
      <c r="GU583" s="192">
        <f t="shared" si="242"/>
        <v>1</v>
      </c>
      <c r="GV583" s="192">
        <f>SUM($GU$337:GU583)</f>
        <v>239</v>
      </c>
      <c r="GW583" s="318"/>
      <c r="HP583" s="380">
        <f t="shared" si="267"/>
        <v>0</v>
      </c>
      <c r="HX583" s="380"/>
    </row>
    <row r="584" spans="4:232">
      <c r="D584" s="409"/>
      <c r="E584" s="318"/>
      <c r="F584" s="1568"/>
      <c r="G584" s="1568"/>
      <c r="H584" s="1568"/>
      <c r="I584" s="1568"/>
      <c r="J584" s="1568"/>
      <c r="K584" s="1568"/>
      <c r="L584" s="1568"/>
      <c r="M584" s="1568"/>
      <c r="N584" s="1568"/>
      <c r="O584" s="1568"/>
      <c r="P584" s="1568"/>
      <c r="Q584" s="1568"/>
      <c r="R584" s="1568"/>
      <c r="S584" s="1568"/>
      <c r="T584" s="1568"/>
      <c r="U584" s="247"/>
      <c r="V584" s="1568"/>
      <c r="W584" s="1568"/>
      <c r="X584" s="1568"/>
      <c r="Y584" s="523"/>
      <c r="BD584" s="387">
        <f t="shared" si="268"/>
        <v>20</v>
      </c>
      <c r="BE584" s="382">
        <f>IF(BD584&gt;0,247,0)</f>
        <v>247</v>
      </c>
      <c r="BG584" s="383">
        <f>IF($BE584&gt;$R$66-3+($BR$335*12),247,0)</f>
        <v>247</v>
      </c>
      <c r="BH584" s="1754">
        <f t="shared" si="269"/>
        <v>0</v>
      </c>
      <c r="BI584" s="1754"/>
      <c r="BJ584" s="1754"/>
      <c r="BK584" s="1754"/>
      <c r="BL584" s="1754">
        <f t="shared" si="224"/>
        <v>0</v>
      </c>
      <c r="BM584" s="1754"/>
      <c r="BN584" s="1754"/>
      <c r="BO584" s="1754">
        <f t="shared" si="214"/>
        <v>0</v>
      </c>
      <c r="BP584" s="1754"/>
      <c r="BQ584" s="1754"/>
      <c r="BR584" s="1754">
        <f t="shared" si="270"/>
        <v>0</v>
      </c>
      <c r="BS584" s="1754"/>
      <c r="BT584" s="1754"/>
      <c r="BU584" s="1754"/>
      <c r="BW584" s="383">
        <f>IF($BE584&gt;$R$66-3+($CH$335*12),247,0)</f>
        <v>247</v>
      </c>
      <c r="BX584" s="1754">
        <f t="shared" si="273"/>
        <v>0</v>
      </c>
      <c r="BY584" s="1754"/>
      <c r="BZ584" s="1754"/>
      <c r="CA584" s="1754"/>
      <c r="CB584" s="1754">
        <f t="shared" si="225"/>
        <v>0</v>
      </c>
      <c r="CC584" s="1754"/>
      <c r="CD584" s="1754"/>
      <c r="CE584" s="1754">
        <f t="shared" si="216"/>
        <v>0</v>
      </c>
      <c r="CF584" s="1754"/>
      <c r="CG584" s="1754"/>
      <c r="CH584" s="1754">
        <f t="shared" si="217"/>
        <v>0</v>
      </c>
      <c r="CI584" s="1754"/>
      <c r="CJ584" s="1754"/>
      <c r="CK584" s="1754"/>
      <c r="CM584" s="383">
        <f>IF($BE584&gt;$R$66-3+($CX$335*12),247,0)</f>
        <v>247</v>
      </c>
      <c r="CN584" s="1754">
        <f t="shared" si="274"/>
        <v>0</v>
      </c>
      <c r="CO584" s="1754"/>
      <c r="CP584" s="1754"/>
      <c r="CQ584" s="1754"/>
      <c r="CR584" s="1754">
        <f t="shared" si="226"/>
        <v>0</v>
      </c>
      <c r="CS584" s="1754"/>
      <c r="CT584" s="1754"/>
      <c r="CU584" s="1754">
        <f t="shared" si="218"/>
        <v>0</v>
      </c>
      <c r="CV584" s="1754"/>
      <c r="CW584" s="1754"/>
      <c r="CX584" s="1754">
        <f t="shared" si="219"/>
        <v>0</v>
      </c>
      <c r="CY584" s="1754"/>
      <c r="CZ584" s="1754"/>
      <c r="DA584" s="1754"/>
      <c r="DC584" s="383">
        <f>IF($BE584&gt;$R$66-3,247,0)</f>
        <v>247</v>
      </c>
      <c r="DD584" s="1754">
        <f t="shared" si="275"/>
        <v>0</v>
      </c>
      <c r="DE584" s="1754"/>
      <c r="DF584" s="1754"/>
      <c r="DG584" s="1754"/>
      <c r="DH584" s="1754">
        <f t="shared" si="227"/>
        <v>0</v>
      </c>
      <c r="DI584" s="1754"/>
      <c r="DJ584" s="1754"/>
      <c r="DK584" s="1754">
        <f t="shared" si="254"/>
        <v>0</v>
      </c>
      <c r="DL584" s="1754"/>
      <c r="DM584" s="1754"/>
      <c r="DN584" s="1754"/>
      <c r="DP584" s="383">
        <f t="shared" si="228"/>
        <v>247</v>
      </c>
      <c r="DQ584" s="1754">
        <f t="shared" si="240"/>
        <v>0</v>
      </c>
      <c r="DR584" s="1754"/>
      <c r="DS584" s="1754"/>
      <c r="DT584" s="1754"/>
      <c r="DU584" s="1754">
        <f t="shared" si="241"/>
        <v>0</v>
      </c>
      <c r="DV584" s="1754"/>
      <c r="DW584" s="1754"/>
      <c r="DX584" s="1754">
        <f t="shared" si="248"/>
        <v>0</v>
      </c>
      <c r="DY584" s="1754"/>
      <c r="DZ584" s="1754"/>
      <c r="EA584" s="1754">
        <f t="shared" si="249"/>
        <v>0</v>
      </c>
      <c r="EB584" s="1754"/>
      <c r="EC584" s="1754"/>
      <c r="ED584" s="1754"/>
      <c r="EE584" s="384"/>
      <c r="EF584" s="1750">
        <f t="shared" si="221"/>
        <v>0</v>
      </c>
      <c r="EG584" s="1751"/>
      <c r="EH584" s="1751"/>
      <c r="EI584" s="1751"/>
      <c r="EJ584" s="1752"/>
      <c r="EL584" s="1750">
        <f t="shared" si="250"/>
        <v>0</v>
      </c>
      <c r="EM584" s="1751"/>
      <c r="EN584" s="1751"/>
      <c r="EO584" s="1751"/>
      <c r="EP584" s="1752"/>
      <c r="ER584" s="1750">
        <f t="shared" si="222"/>
        <v>0</v>
      </c>
      <c r="ES584" s="1751"/>
      <c r="ET584" s="1751"/>
      <c r="EU584" s="1751"/>
      <c r="EV584" s="1752"/>
      <c r="EX584" s="1750">
        <f>IF(BE584&gt;0,Einstrahlung!$K$22*Kalkulation!$P$62/100*$AY$29*POWER((100-$P$64)/100,BD584-1),0)</f>
        <v>0</v>
      </c>
      <c r="EY584" s="1751"/>
      <c r="EZ584" s="1751"/>
      <c r="FA584" s="1751"/>
      <c r="FB584" s="1752"/>
      <c r="FD584" s="1750">
        <f t="shared" si="229"/>
        <v>0</v>
      </c>
      <c r="FE584" s="1751"/>
      <c r="FF584" s="1751"/>
      <c r="FG584" s="1751"/>
      <c r="FH584" s="1752"/>
      <c r="FI584" s="385"/>
      <c r="FJ584" s="380">
        <f t="shared" si="239"/>
        <v>0</v>
      </c>
      <c r="FK584" s="385"/>
      <c r="FL584" s="380">
        <f t="shared" si="271"/>
        <v>0</v>
      </c>
      <c r="FM584" s="385"/>
      <c r="FN584" s="380">
        <f t="shared" si="231"/>
        <v>0</v>
      </c>
      <c r="FO584" s="962">
        <f t="shared" si="237"/>
        <v>376</v>
      </c>
      <c r="FP584" s="956">
        <f t="shared" si="223"/>
        <v>0.4</v>
      </c>
      <c r="FQ584" s="380">
        <f t="shared" si="243"/>
        <v>0</v>
      </c>
      <c r="FR584" s="626">
        <f t="shared" si="272"/>
        <v>1</v>
      </c>
      <c r="FT584" s="1819">
        <f t="shared" si="238"/>
        <v>0</v>
      </c>
      <c r="FU584" s="1820"/>
      <c r="FV584" s="1820"/>
      <c r="FW584" s="1820"/>
      <c r="FX584" s="1821"/>
      <c r="FY584" s="1819">
        <f t="shared" si="233"/>
        <v>0</v>
      </c>
      <c r="FZ584" s="1820"/>
      <c r="GA584" s="1820"/>
      <c r="GB584" s="1821"/>
      <c r="GC584" s="1825">
        <f t="shared" si="253"/>
        <v>0</v>
      </c>
      <c r="GD584" s="1826"/>
      <c r="GE584" s="1826"/>
      <c r="GF584" s="1827"/>
      <c r="GH584" s="1750">
        <f t="shared" si="234"/>
        <v>0</v>
      </c>
      <c r="GI584" s="1751"/>
      <c r="GJ584" s="1751"/>
      <c r="GK584" s="1752"/>
      <c r="GL584" s="1750">
        <f t="shared" si="235"/>
        <v>0</v>
      </c>
      <c r="GM584" s="1751"/>
      <c r="GN584" s="1751"/>
      <c r="GO584" s="1752"/>
      <c r="GP584" s="385"/>
      <c r="GQ584" s="1750">
        <f t="shared" si="236"/>
        <v>0</v>
      </c>
      <c r="GR584" s="1751"/>
      <c r="GS584" s="1751"/>
      <c r="GT584" s="1752"/>
      <c r="GU584" s="192">
        <f t="shared" si="242"/>
        <v>1</v>
      </c>
      <c r="GV584" s="192">
        <f>SUM($GU$337:GU584)</f>
        <v>240</v>
      </c>
      <c r="GW584" s="318"/>
      <c r="HP584" s="380">
        <f t="shared" si="267"/>
        <v>0</v>
      </c>
      <c r="HX584" s="380"/>
    </row>
    <row r="585" spans="4:232">
      <c r="D585" s="409">
        <v>4</v>
      </c>
      <c r="E585" s="318"/>
      <c r="F585" s="1568">
        <f>AH253</f>
        <v>0</v>
      </c>
      <c r="G585" s="1568"/>
      <c r="H585" s="1568"/>
      <c r="I585" s="1568"/>
      <c r="J585" s="1568"/>
      <c r="K585" s="1568"/>
      <c r="L585" s="1568"/>
      <c r="M585" s="1568"/>
      <c r="N585" s="1568"/>
      <c r="O585" s="1568"/>
      <c r="P585" s="1568"/>
      <c r="Q585" s="1568"/>
      <c r="R585" s="1568"/>
      <c r="S585" s="1568"/>
      <c r="T585" s="1568"/>
      <c r="U585" s="247"/>
      <c r="V585" s="1568"/>
      <c r="W585" s="1568"/>
      <c r="X585" s="1568"/>
      <c r="Y585" s="523"/>
      <c r="BD585" s="387">
        <f t="shared" si="268"/>
        <v>20</v>
      </c>
      <c r="BE585" s="382">
        <f>IF(BD585&gt;0,248,0)</f>
        <v>248</v>
      </c>
      <c r="BG585" s="383">
        <f>IF($BE585&gt;$R$66-3+($BR$335*12),248,0)</f>
        <v>248</v>
      </c>
      <c r="BH585" s="1754">
        <f t="shared" si="269"/>
        <v>0</v>
      </c>
      <c r="BI585" s="1754"/>
      <c r="BJ585" s="1754"/>
      <c r="BK585" s="1754"/>
      <c r="BL585" s="1754">
        <f t="shared" si="224"/>
        <v>0</v>
      </c>
      <c r="BM585" s="1754"/>
      <c r="BN585" s="1754"/>
      <c r="BO585" s="1754">
        <f t="shared" si="214"/>
        <v>0</v>
      </c>
      <c r="BP585" s="1754"/>
      <c r="BQ585" s="1754"/>
      <c r="BR585" s="1754">
        <f t="shared" si="270"/>
        <v>0</v>
      </c>
      <c r="BS585" s="1754"/>
      <c r="BT585" s="1754"/>
      <c r="BU585" s="1754"/>
      <c r="BW585" s="383">
        <f>IF($BE585&gt;$R$66-3+($CH$335*12),248,0)</f>
        <v>248</v>
      </c>
      <c r="BX585" s="1754">
        <f t="shared" si="273"/>
        <v>0</v>
      </c>
      <c r="BY585" s="1754"/>
      <c r="BZ585" s="1754"/>
      <c r="CA585" s="1754"/>
      <c r="CB585" s="1754">
        <f t="shared" si="225"/>
        <v>0</v>
      </c>
      <c r="CC585" s="1754"/>
      <c r="CD585" s="1754"/>
      <c r="CE585" s="1754">
        <f t="shared" si="216"/>
        <v>0</v>
      </c>
      <c r="CF585" s="1754"/>
      <c r="CG585" s="1754"/>
      <c r="CH585" s="1754">
        <f t="shared" si="217"/>
        <v>0</v>
      </c>
      <c r="CI585" s="1754"/>
      <c r="CJ585" s="1754"/>
      <c r="CK585" s="1754"/>
      <c r="CM585" s="383">
        <f>IF($BE585&gt;$R$66-3+($CX$335*12),248,0)</f>
        <v>248</v>
      </c>
      <c r="CN585" s="1754">
        <f t="shared" si="274"/>
        <v>0</v>
      </c>
      <c r="CO585" s="1754"/>
      <c r="CP585" s="1754"/>
      <c r="CQ585" s="1754"/>
      <c r="CR585" s="1754">
        <f t="shared" si="226"/>
        <v>0</v>
      </c>
      <c r="CS585" s="1754"/>
      <c r="CT585" s="1754"/>
      <c r="CU585" s="1754">
        <f t="shared" si="218"/>
        <v>0</v>
      </c>
      <c r="CV585" s="1754"/>
      <c r="CW585" s="1754"/>
      <c r="CX585" s="1754">
        <f t="shared" si="219"/>
        <v>0</v>
      </c>
      <c r="CY585" s="1754"/>
      <c r="CZ585" s="1754"/>
      <c r="DA585" s="1754"/>
      <c r="DC585" s="383">
        <f>IF($BE585&gt;$R$66-3,248,0)</f>
        <v>248</v>
      </c>
      <c r="DD585" s="1754">
        <f t="shared" si="275"/>
        <v>0</v>
      </c>
      <c r="DE585" s="1754"/>
      <c r="DF585" s="1754"/>
      <c r="DG585" s="1754"/>
      <c r="DH585" s="1754">
        <f t="shared" si="227"/>
        <v>0</v>
      </c>
      <c r="DI585" s="1754"/>
      <c r="DJ585" s="1754"/>
      <c r="DK585" s="1754">
        <f t="shared" si="254"/>
        <v>0</v>
      </c>
      <c r="DL585" s="1754"/>
      <c r="DM585" s="1754"/>
      <c r="DN585" s="1754"/>
      <c r="DP585" s="383">
        <f t="shared" si="228"/>
        <v>248</v>
      </c>
      <c r="DQ585" s="1754">
        <f t="shared" si="240"/>
        <v>0</v>
      </c>
      <c r="DR585" s="1754"/>
      <c r="DS585" s="1754"/>
      <c r="DT585" s="1754"/>
      <c r="DU585" s="1754">
        <f t="shared" si="241"/>
        <v>0</v>
      </c>
      <c r="DV585" s="1754"/>
      <c r="DW585" s="1754"/>
      <c r="DX585" s="1754">
        <f t="shared" si="248"/>
        <v>0</v>
      </c>
      <c r="DY585" s="1754"/>
      <c r="DZ585" s="1754"/>
      <c r="EA585" s="1754">
        <f t="shared" si="249"/>
        <v>0</v>
      </c>
      <c r="EB585" s="1754"/>
      <c r="EC585" s="1754"/>
      <c r="ED585" s="1754"/>
      <c r="EE585" s="384"/>
      <c r="EF585" s="1750">
        <f t="shared" si="221"/>
        <v>0</v>
      </c>
      <c r="EG585" s="1751"/>
      <c r="EH585" s="1751"/>
      <c r="EI585" s="1751"/>
      <c r="EJ585" s="1752"/>
      <c r="EL585" s="1750">
        <f t="shared" si="250"/>
        <v>0</v>
      </c>
      <c r="EM585" s="1751"/>
      <c r="EN585" s="1751"/>
      <c r="EO585" s="1751"/>
      <c r="EP585" s="1752"/>
      <c r="ER585" s="1750">
        <f t="shared" si="222"/>
        <v>0</v>
      </c>
      <c r="ES585" s="1751"/>
      <c r="ET585" s="1751"/>
      <c r="EU585" s="1751"/>
      <c r="EV585" s="1752"/>
      <c r="EX585" s="1750">
        <f>IF(BE585&gt;0,Einstrahlung!$K$24*Kalkulation!$P$62/100*$AY$29*POWER((100-$P$64)/100,BD585-1),0)</f>
        <v>0</v>
      </c>
      <c r="EY585" s="1751"/>
      <c r="EZ585" s="1751"/>
      <c r="FA585" s="1751"/>
      <c r="FB585" s="1752"/>
      <c r="FD585" s="1750">
        <f t="shared" si="229"/>
        <v>0</v>
      </c>
      <c r="FE585" s="1751"/>
      <c r="FF585" s="1751"/>
      <c r="FG585" s="1751"/>
      <c r="FH585" s="1752"/>
      <c r="FI585" s="385"/>
      <c r="FJ585" s="380">
        <f t="shared" si="239"/>
        <v>0</v>
      </c>
      <c r="FK585" s="385"/>
      <c r="FL585" s="380">
        <f t="shared" si="271"/>
        <v>0</v>
      </c>
      <c r="FM585" s="385"/>
      <c r="FN585" s="380">
        <f t="shared" si="231"/>
        <v>0</v>
      </c>
      <c r="FO585" s="962">
        <f t="shared" si="237"/>
        <v>377</v>
      </c>
      <c r="FP585" s="956">
        <f t="shared" si="223"/>
        <v>0.4</v>
      </c>
      <c r="FQ585" s="380">
        <f t="shared" si="243"/>
        <v>0</v>
      </c>
      <c r="FR585" s="626">
        <f t="shared" si="272"/>
        <v>1</v>
      </c>
      <c r="FT585" s="1819">
        <f t="shared" si="238"/>
        <v>0</v>
      </c>
      <c r="FU585" s="1820"/>
      <c r="FV585" s="1820"/>
      <c r="FW585" s="1820"/>
      <c r="FX585" s="1821"/>
      <c r="FY585" s="1819">
        <f t="shared" si="233"/>
        <v>0</v>
      </c>
      <c r="FZ585" s="1820"/>
      <c r="GA585" s="1820"/>
      <c r="GB585" s="1821"/>
      <c r="GC585" s="1825">
        <f t="shared" si="253"/>
        <v>0</v>
      </c>
      <c r="GD585" s="1826"/>
      <c r="GE585" s="1826"/>
      <c r="GF585" s="1827"/>
      <c r="GH585" s="1750">
        <f t="shared" si="234"/>
        <v>0</v>
      </c>
      <c r="GI585" s="1751"/>
      <c r="GJ585" s="1751"/>
      <c r="GK585" s="1752"/>
      <c r="GL585" s="1750">
        <f t="shared" si="235"/>
        <v>0</v>
      </c>
      <c r="GM585" s="1751"/>
      <c r="GN585" s="1751"/>
      <c r="GO585" s="1752"/>
      <c r="GP585" s="385"/>
      <c r="GQ585" s="1750">
        <f t="shared" si="236"/>
        <v>0</v>
      </c>
      <c r="GR585" s="1751"/>
      <c r="GS585" s="1751"/>
      <c r="GT585" s="1752"/>
      <c r="GU585" s="192">
        <f t="shared" si="242"/>
        <v>1</v>
      </c>
      <c r="GV585" s="192">
        <f>SUM($GU$337:GU585)</f>
        <v>241</v>
      </c>
      <c r="GW585" s="318"/>
      <c r="HP585" s="380">
        <f t="shared" si="267"/>
        <v>0</v>
      </c>
      <c r="HX585" s="380"/>
    </row>
    <row r="586" spans="4:232">
      <c r="D586" s="409"/>
      <c r="E586" s="318"/>
      <c r="F586" s="1568"/>
      <c r="G586" s="1568"/>
      <c r="H586" s="1568"/>
      <c r="I586" s="1568">
        <f>F585</f>
        <v>0</v>
      </c>
      <c r="J586" s="1568"/>
      <c r="K586" s="1568"/>
      <c r="L586" s="1568"/>
      <c r="M586" s="1568"/>
      <c r="N586" s="1568"/>
      <c r="O586" s="1568"/>
      <c r="P586" s="1568"/>
      <c r="Q586" s="1568"/>
      <c r="R586" s="1568"/>
      <c r="S586" s="1568"/>
      <c r="T586" s="1568"/>
      <c r="U586" s="247"/>
      <c r="V586" s="1568"/>
      <c r="W586" s="1568"/>
      <c r="X586" s="1568"/>
      <c r="Y586" s="523"/>
      <c r="BD586" s="387">
        <f t="shared" si="268"/>
        <v>20</v>
      </c>
      <c r="BE586" s="382">
        <f>IF(BD586&gt;0,249,0)</f>
        <v>249</v>
      </c>
      <c r="BG586" s="383">
        <f>IF($BE586&gt;$R$66-3+($BR$335*12),249,0)</f>
        <v>249</v>
      </c>
      <c r="BH586" s="1754">
        <f t="shared" si="269"/>
        <v>0</v>
      </c>
      <c r="BI586" s="1754"/>
      <c r="BJ586" s="1754"/>
      <c r="BK586" s="1754"/>
      <c r="BL586" s="1754">
        <f t="shared" si="224"/>
        <v>0</v>
      </c>
      <c r="BM586" s="1754"/>
      <c r="BN586" s="1754"/>
      <c r="BO586" s="1754">
        <f t="shared" si="214"/>
        <v>0</v>
      </c>
      <c r="BP586" s="1754"/>
      <c r="BQ586" s="1754"/>
      <c r="BR586" s="1754">
        <f t="shared" si="270"/>
        <v>0</v>
      </c>
      <c r="BS586" s="1754"/>
      <c r="BT586" s="1754"/>
      <c r="BU586" s="1754"/>
      <c r="BW586" s="383">
        <f>IF($BE586&gt;$R$66-3+($CH$335*12),249,0)</f>
        <v>249</v>
      </c>
      <c r="BX586" s="1754">
        <f t="shared" si="273"/>
        <v>0</v>
      </c>
      <c r="BY586" s="1754"/>
      <c r="BZ586" s="1754"/>
      <c r="CA586" s="1754"/>
      <c r="CB586" s="1754">
        <f t="shared" si="225"/>
        <v>0</v>
      </c>
      <c r="CC586" s="1754"/>
      <c r="CD586" s="1754"/>
      <c r="CE586" s="1754">
        <f t="shared" si="216"/>
        <v>0</v>
      </c>
      <c r="CF586" s="1754"/>
      <c r="CG586" s="1754"/>
      <c r="CH586" s="1754">
        <f t="shared" si="217"/>
        <v>0</v>
      </c>
      <c r="CI586" s="1754"/>
      <c r="CJ586" s="1754"/>
      <c r="CK586" s="1754"/>
      <c r="CM586" s="383">
        <f>IF($BE586&gt;$R$66-3+($CX$335*12),249,0)</f>
        <v>249</v>
      </c>
      <c r="CN586" s="1754">
        <f t="shared" si="274"/>
        <v>0</v>
      </c>
      <c r="CO586" s="1754"/>
      <c r="CP586" s="1754"/>
      <c r="CQ586" s="1754"/>
      <c r="CR586" s="1754">
        <f t="shared" si="226"/>
        <v>0</v>
      </c>
      <c r="CS586" s="1754"/>
      <c r="CT586" s="1754"/>
      <c r="CU586" s="1754">
        <f t="shared" si="218"/>
        <v>0</v>
      </c>
      <c r="CV586" s="1754"/>
      <c r="CW586" s="1754"/>
      <c r="CX586" s="1754">
        <f t="shared" si="219"/>
        <v>0</v>
      </c>
      <c r="CY586" s="1754"/>
      <c r="CZ586" s="1754"/>
      <c r="DA586" s="1754"/>
      <c r="DC586" s="383">
        <f>IF($BE586&gt;$R$66-3,249,0)</f>
        <v>249</v>
      </c>
      <c r="DD586" s="1754">
        <f t="shared" si="275"/>
        <v>0</v>
      </c>
      <c r="DE586" s="1754"/>
      <c r="DF586" s="1754"/>
      <c r="DG586" s="1754"/>
      <c r="DH586" s="1754">
        <f t="shared" si="227"/>
        <v>0</v>
      </c>
      <c r="DI586" s="1754"/>
      <c r="DJ586" s="1754"/>
      <c r="DK586" s="1754">
        <f t="shared" si="254"/>
        <v>0</v>
      </c>
      <c r="DL586" s="1754"/>
      <c r="DM586" s="1754"/>
      <c r="DN586" s="1754"/>
      <c r="DP586" s="383">
        <f t="shared" si="228"/>
        <v>249</v>
      </c>
      <c r="DQ586" s="1754">
        <f t="shared" si="240"/>
        <v>0</v>
      </c>
      <c r="DR586" s="1754"/>
      <c r="DS586" s="1754"/>
      <c r="DT586" s="1754"/>
      <c r="DU586" s="1754">
        <f t="shared" si="241"/>
        <v>0</v>
      </c>
      <c r="DV586" s="1754"/>
      <c r="DW586" s="1754"/>
      <c r="DX586" s="1754">
        <f t="shared" si="248"/>
        <v>0</v>
      </c>
      <c r="DY586" s="1754"/>
      <c r="DZ586" s="1754"/>
      <c r="EA586" s="1754">
        <f t="shared" si="249"/>
        <v>0</v>
      </c>
      <c r="EB586" s="1754"/>
      <c r="EC586" s="1754"/>
      <c r="ED586" s="1754"/>
      <c r="EE586" s="384"/>
      <c r="EF586" s="1750">
        <f t="shared" si="221"/>
        <v>0</v>
      </c>
      <c r="EG586" s="1751"/>
      <c r="EH586" s="1751"/>
      <c r="EI586" s="1751"/>
      <c r="EJ586" s="1752"/>
      <c r="EL586" s="1750">
        <f t="shared" si="250"/>
        <v>0</v>
      </c>
      <c r="EM586" s="1751"/>
      <c r="EN586" s="1751"/>
      <c r="EO586" s="1751"/>
      <c r="EP586" s="1752"/>
      <c r="ER586" s="1750">
        <f t="shared" si="222"/>
        <v>0</v>
      </c>
      <c r="ES586" s="1751"/>
      <c r="ET586" s="1751"/>
      <c r="EU586" s="1751"/>
      <c r="EV586" s="1752"/>
      <c r="EX586" s="1750">
        <f>IF(BE586&gt;0,Einstrahlung!$K$26*Kalkulation!$P$62/100*$AY$29*POWER((100-$P$64)/100,BD586-1),0)</f>
        <v>0</v>
      </c>
      <c r="EY586" s="1751"/>
      <c r="EZ586" s="1751"/>
      <c r="FA586" s="1751"/>
      <c r="FB586" s="1752"/>
      <c r="FD586" s="1750">
        <f t="shared" si="229"/>
        <v>0</v>
      </c>
      <c r="FE586" s="1751"/>
      <c r="FF586" s="1751"/>
      <c r="FG586" s="1751"/>
      <c r="FH586" s="1752"/>
      <c r="FI586" s="385"/>
      <c r="FJ586" s="380">
        <f t="shared" si="239"/>
        <v>0</v>
      </c>
      <c r="FK586" s="385"/>
      <c r="FL586" s="380">
        <f t="shared" si="271"/>
        <v>0</v>
      </c>
      <c r="FM586" s="385"/>
      <c r="FN586" s="380">
        <f t="shared" si="231"/>
        <v>0</v>
      </c>
      <c r="FO586" s="962">
        <f t="shared" si="237"/>
        <v>378</v>
      </c>
      <c r="FP586" s="956">
        <f t="shared" si="223"/>
        <v>0.4</v>
      </c>
      <c r="FQ586" s="380">
        <f t="shared" si="243"/>
        <v>0</v>
      </c>
      <c r="FR586" s="626">
        <f t="shared" si="272"/>
        <v>1</v>
      </c>
      <c r="FT586" s="1819">
        <f t="shared" si="238"/>
        <v>0</v>
      </c>
      <c r="FU586" s="1820"/>
      <c r="FV586" s="1820"/>
      <c r="FW586" s="1820"/>
      <c r="FX586" s="1821"/>
      <c r="FY586" s="1819">
        <f t="shared" si="233"/>
        <v>0</v>
      </c>
      <c r="FZ586" s="1820"/>
      <c r="GA586" s="1820"/>
      <c r="GB586" s="1821"/>
      <c r="GC586" s="1825">
        <f t="shared" si="253"/>
        <v>0</v>
      </c>
      <c r="GD586" s="1826"/>
      <c r="GE586" s="1826"/>
      <c r="GF586" s="1827"/>
      <c r="GH586" s="1750">
        <f t="shared" si="234"/>
        <v>0</v>
      </c>
      <c r="GI586" s="1751"/>
      <c r="GJ586" s="1751"/>
      <c r="GK586" s="1752"/>
      <c r="GL586" s="1750">
        <f t="shared" si="235"/>
        <v>0</v>
      </c>
      <c r="GM586" s="1751"/>
      <c r="GN586" s="1751"/>
      <c r="GO586" s="1752"/>
      <c r="GP586" s="385"/>
      <c r="GQ586" s="1750">
        <f t="shared" si="236"/>
        <v>0</v>
      </c>
      <c r="GR586" s="1751"/>
      <c r="GS586" s="1751"/>
      <c r="GT586" s="1752"/>
      <c r="GU586" s="192">
        <f t="shared" si="242"/>
        <v>1</v>
      </c>
      <c r="GV586" s="192">
        <f>SUM($GU$337:GU586)</f>
        <v>242</v>
      </c>
      <c r="GW586" s="318"/>
      <c r="HP586" s="380">
        <f t="shared" si="267"/>
        <v>0</v>
      </c>
      <c r="HX586" s="380"/>
    </row>
    <row r="587" spans="4:232">
      <c r="D587" s="409"/>
      <c r="E587" s="318"/>
      <c r="F587" s="1568"/>
      <c r="G587" s="1568"/>
      <c r="H587" s="1568"/>
      <c r="I587" s="1568"/>
      <c r="J587" s="1568"/>
      <c r="K587" s="1568"/>
      <c r="L587" s="1568">
        <f>F585</f>
        <v>0</v>
      </c>
      <c r="M587" s="1568"/>
      <c r="N587" s="1568"/>
      <c r="O587" s="1568"/>
      <c r="P587" s="1568"/>
      <c r="Q587" s="1568"/>
      <c r="R587" s="1568"/>
      <c r="S587" s="1568"/>
      <c r="T587" s="1568"/>
      <c r="U587" s="247"/>
      <c r="V587" s="1568"/>
      <c r="W587" s="1568"/>
      <c r="X587" s="1568"/>
      <c r="Y587" s="523"/>
      <c r="BD587" s="387">
        <f t="shared" si="268"/>
        <v>20</v>
      </c>
      <c r="BE587" s="382">
        <f>IF(BD587&gt;0,250,0)</f>
        <v>250</v>
      </c>
      <c r="BG587" s="383">
        <f>IF($BE587&gt;$R$66-3+($BR$335*12),250,0)</f>
        <v>250</v>
      </c>
      <c r="BH587" s="1754">
        <f t="shared" si="269"/>
        <v>0</v>
      </c>
      <c r="BI587" s="1754"/>
      <c r="BJ587" s="1754"/>
      <c r="BK587" s="1754"/>
      <c r="BL587" s="1754">
        <f t="shared" si="224"/>
        <v>0</v>
      </c>
      <c r="BM587" s="1754"/>
      <c r="BN587" s="1754"/>
      <c r="BO587" s="1754">
        <f t="shared" si="214"/>
        <v>0</v>
      </c>
      <c r="BP587" s="1754"/>
      <c r="BQ587" s="1754"/>
      <c r="BR587" s="1754">
        <f t="shared" si="270"/>
        <v>0</v>
      </c>
      <c r="BS587" s="1754"/>
      <c r="BT587" s="1754"/>
      <c r="BU587" s="1754"/>
      <c r="BW587" s="383">
        <f>IF($BE587&gt;$R$66-3+($CH$335*12),250,0)</f>
        <v>250</v>
      </c>
      <c r="BX587" s="1754">
        <f t="shared" si="273"/>
        <v>0</v>
      </c>
      <c r="BY587" s="1754"/>
      <c r="BZ587" s="1754"/>
      <c r="CA587" s="1754"/>
      <c r="CB587" s="1754">
        <f t="shared" si="225"/>
        <v>0</v>
      </c>
      <c r="CC587" s="1754"/>
      <c r="CD587" s="1754"/>
      <c r="CE587" s="1754">
        <f t="shared" si="216"/>
        <v>0</v>
      </c>
      <c r="CF587" s="1754"/>
      <c r="CG587" s="1754"/>
      <c r="CH587" s="1754">
        <f t="shared" si="217"/>
        <v>0</v>
      </c>
      <c r="CI587" s="1754"/>
      <c r="CJ587" s="1754"/>
      <c r="CK587" s="1754"/>
      <c r="CM587" s="383">
        <f>IF($BE587&gt;$R$66-3+($CX$335*12),250,0)</f>
        <v>250</v>
      </c>
      <c r="CN587" s="1754">
        <f t="shared" si="274"/>
        <v>0</v>
      </c>
      <c r="CO587" s="1754"/>
      <c r="CP587" s="1754"/>
      <c r="CQ587" s="1754"/>
      <c r="CR587" s="1754">
        <f t="shared" si="226"/>
        <v>0</v>
      </c>
      <c r="CS587" s="1754"/>
      <c r="CT587" s="1754"/>
      <c r="CU587" s="1754">
        <f t="shared" si="218"/>
        <v>0</v>
      </c>
      <c r="CV587" s="1754"/>
      <c r="CW587" s="1754"/>
      <c r="CX587" s="1754">
        <f t="shared" si="219"/>
        <v>0</v>
      </c>
      <c r="CY587" s="1754"/>
      <c r="CZ587" s="1754"/>
      <c r="DA587" s="1754"/>
      <c r="DC587" s="383">
        <f>IF($BE587&gt;$R$66-3,250,0)</f>
        <v>250</v>
      </c>
      <c r="DD587" s="1754">
        <f t="shared" si="275"/>
        <v>0</v>
      </c>
      <c r="DE587" s="1754"/>
      <c r="DF587" s="1754"/>
      <c r="DG587" s="1754"/>
      <c r="DH587" s="1754">
        <f t="shared" si="227"/>
        <v>0</v>
      </c>
      <c r="DI587" s="1754"/>
      <c r="DJ587" s="1754"/>
      <c r="DK587" s="1754">
        <f t="shared" si="254"/>
        <v>0</v>
      </c>
      <c r="DL587" s="1754"/>
      <c r="DM587" s="1754"/>
      <c r="DN587" s="1754"/>
      <c r="DP587" s="383">
        <f t="shared" si="228"/>
        <v>250</v>
      </c>
      <c r="DQ587" s="1754">
        <f t="shared" si="240"/>
        <v>0</v>
      </c>
      <c r="DR587" s="1754"/>
      <c r="DS587" s="1754"/>
      <c r="DT587" s="1754"/>
      <c r="DU587" s="1754">
        <f t="shared" si="241"/>
        <v>0</v>
      </c>
      <c r="DV587" s="1754"/>
      <c r="DW587" s="1754"/>
      <c r="DX587" s="1754">
        <f t="shared" si="248"/>
        <v>0</v>
      </c>
      <c r="DY587" s="1754"/>
      <c r="DZ587" s="1754"/>
      <c r="EA587" s="1754">
        <f t="shared" si="249"/>
        <v>0</v>
      </c>
      <c r="EB587" s="1754"/>
      <c r="EC587" s="1754"/>
      <c r="ED587" s="1754"/>
      <c r="EE587" s="384"/>
      <c r="EF587" s="1750">
        <f t="shared" si="221"/>
        <v>0</v>
      </c>
      <c r="EG587" s="1751"/>
      <c r="EH587" s="1751"/>
      <c r="EI587" s="1751"/>
      <c r="EJ587" s="1752"/>
      <c r="EL587" s="1750">
        <f t="shared" si="250"/>
        <v>0</v>
      </c>
      <c r="EM587" s="1751"/>
      <c r="EN587" s="1751"/>
      <c r="EO587" s="1751"/>
      <c r="EP587" s="1752"/>
      <c r="ER587" s="1750">
        <f t="shared" si="222"/>
        <v>0</v>
      </c>
      <c r="ES587" s="1751"/>
      <c r="ET587" s="1751"/>
      <c r="EU587" s="1751"/>
      <c r="EV587" s="1752"/>
      <c r="EX587" s="1750">
        <f>IF(BE587&gt;0,Einstrahlung!$K$28*Kalkulation!$P$62/100*$AY$29*POWER((100-$P$64)/100,BD587-1),0)</f>
        <v>0</v>
      </c>
      <c r="EY587" s="1751"/>
      <c r="EZ587" s="1751"/>
      <c r="FA587" s="1751"/>
      <c r="FB587" s="1752"/>
      <c r="FD587" s="1750">
        <f t="shared" si="229"/>
        <v>0</v>
      </c>
      <c r="FE587" s="1751"/>
      <c r="FF587" s="1751"/>
      <c r="FG587" s="1751"/>
      <c r="FH587" s="1752"/>
      <c r="FI587" s="385"/>
      <c r="FJ587" s="380">
        <f t="shared" si="239"/>
        <v>0</v>
      </c>
      <c r="FK587" s="385"/>
      <c r="FL587" s="380">
        <f t="shared" si="271"/>
        <v>0</v>
      </c>
      <c r="FM587" s="385"/>
      <c r="FN587" s="380">
        <f t="shared" si="231"/>
        <v>0</v>
      </c>
      <c r="FO587" s="962">
        <f t="shared" si="237"/>
        <v>379</v>
      </c>
      <c r="FP587" s="956">
        <f t="shared" si="223"/>
        <v>0.4</v>
      </c>
      <c r="FQ587" s="380">
        <f t="shared" si="243"/>
        <v>0</v>
      </c>
      <c r="FR587" s="626">
        <f t="shared" si="272"/>
        <v>1</v>
      </c>
      <c r="FT587" s="1819">
        <f t="shared" si="238"/>
        <v>0</v>
      </c>
      <c r="FU587" s="1820"/>
      <c r="FV587" s="1820"/>
      <c r="FW587" s="1820"/>
      <c r="FX587" s="1821"/>
      <c r="FY587" s="1819">
        <f t="shared" si="233"/>
        <v>0</v>
      </c>
      <c r="FZ587" s="1820"/>
      <c r="GA587" s="1820"/>
      <c r="GB587" s="1821"/>
      <c r="GC587" s="1825">
        <f t="shared" si="253"/>
        <v>0</v>
      </c>
      <c r="GD587" s="1826"/>
      <c r="GE587" s="1826"/>
      <c r="GF587" s="1827"/>
      <c r="GH587" s="1750">
        <f t="shared" si="234"/>
        <v>0</v>
      </c>
      <c r="GI587" s="1751"/>
      <c r="GJ587" s="1751"/>
      <c r="GK587" s="1752"/>
      <c r="GL587" s="1750">
        <f t="shared" si="235"/>
        <v>0</v>
      </c>
      <c r="GM587" s="1751"/>
      <c r="GN587" s="1751"/>
      <c r="GO587" s="1752"/>
      <c r="GP587" s="385"/>
      <c r="GQ587" s="1750">
        <f t="shared" si="236"/>
        <v>0</v>
      </c>
      <c r="GR587" s="1751"/>
      <c r="GS587" s="1751"/>
      <c r="GT587" s="1752"/>
      <c r="GU587" s="192">
        <f t="shared" si="242"/>
        <v>1</v>
      </c>
      <c r="GV587" s="192">
        <f>SUM($GU$337:GU587)</f>
        <v>243</v>
      </c>
      <c r="GW587" s="318"/>
      <c r="HP587" s="380">
        <f t="shared" si="267"/>
        <v>0</v>
      </c>
      <c r="HX587" s="380"/>
    </row>
    <row r="588" spans="4:232">
      <c r="D588" s="409"/>
      <c r="E588" s="318"/>
      <c r="F588" s="1568"/>
      <c r="G588" s="1568"/>
      <c r="H588" s="1568"/>
      <c r="I588" s="1568"/>
      <c r="J588" s="1568"/>
      <c r="K588" s="1568"/>
      <c r="L588" s="1568"/>
      <c r="M588" s="1568"/>
      <c r="N588" s="1568"/>
      <c r="O588" s="1568">
        <f>V588</f>
        <v>0</v>
      </c>
      <c r="P588" s="1568"/>
      <c r="Q588" s="1568"/>
      <c r="R588" s="1568"/>
      <c r="S588" s="1568"/>
      <c r="T588" s="1568"/>
      <c r="U588" s="247"/>
      <c r="V588" s="1568">
        <f>IF(D253&gt;0,V583+(G253+J253)-(O253+Q253+S253+T253+V253)+Y253,0)</f>
        <v>0</v>
      </c>
      <c r="W588" s="1568"/>
      <c r="X588" s="1568"/>
      <c r="Y588" s="523">
        <f>IF(D253&gt;0,IF(V588&gt;0,0,1),0)</f>
        <v>1</v>
      </c>
      <c r="BD588" s="387">
        <f t="shared" si="268"/>
        <v>20</v>
      </c>
      <c r="BE588" s="382">
        <f>IF(BD588&gt;0,251,0)</f>
        <v>251</v>
      </c>
      <c r="BG588" s="383">
        <f>IF($BE588&gt;$R$66-3+($BR$335*12),251,0)</f>
        <v>251</v>
      </c>
      <c r="BH588" s="1754">
        <f t="shared" si="269"/>
        <v>0</v>
      </c>
      <c r="BI588" s="1754"/>
      <c r="BJ588" s="1754"/>
      <c r="BK588" s="1754"/>
      <c r="BL588" s="1754">
        <f t="shared" si="224"/>
        <v>0</v>
      </c>
      <c r="BM588" s="1754"/>
      <c r="BN588" s="1754"/>
      <c r="BO588" s="1754">
        <f t="shared" si="214"/>
        <v>0</v>
      </c>
      <c r="BP588" s="1754"/>
      <c r="BQ588" s="1754"/>
      <c r="BR588" s="1754">
        <f t="shared" si="270"/>
        <v>0</v>
      </c>
      <c r="BS588" s="1754"/>
      <c r="BT588" s="1754"/>
      <c r="BU588" s="1754"/>
      <c r="BW588" s="383">
        <f>IF($BE588&gt;$R$66-3+($CH$335*12),251,0)</f>
        <v>251</v>
      </c>
      <c r="BX588" s="1754">
        <f t="shared" si="273"/>
        <v>0</v>
      </c>
      <c r="BY588" s="1754"/>
      <c r="BZ588" s="1754"/>
      <c r="CA588" s="1754"/>
      <c r="CB588" s="1754">
        <f t="shared" si="225"/>
        <v>0</v>
      </c>
      <c r="CC588" s="1754"/>
      <c r="CD588" s="1754"/>
      <c r="CE588" s="1754">
        <f t="shared" si="216"/>
        <v>0</v>
      </c>
      <c r="CF588" s="1754"/>
      <c r="CG588" s="1754"/>
      <c r="CH588" s="1754">
        <f t="shared" si="217"/>
        <v>0</v>
      </c>
      <c r="CI588" s="1754"/>
      <c r="CJ588" s="1754"/>
      <c r="CK588" s="1754"/>
      <c r="CM588" s="383">
        <f>IF($BE588&gt;$R$66-3+($CX$335*12),251,0)</f>
        <v>251</v>
      </c>
      <c r="CN588" s="1754">
        <f t="shared" si="274"/>
        <v>0</v>
      </c>
      <c r="CO588" s="1754"/>
      <c r="CP588" s="1754"/>
      <c r="CQ588" s="1754"/>
      <c r="CR588" s="1754">
        <f t="shared" si="226"/>
        <v>0</v>
      </c>
      <c r="CS588" s="1754"/>
      <c r="CT588" s="1754"/>
      <c r="CU588" s="1754">
        <f t="shared" si="218"/>
        <v>0</v>
      </c>
      <c r="CV588" s="1754"/>
      <c r="CW588" s="1754"/>
      <c r="CX588" s="1754">
        <f t="shared" si="219"/>
        <v>0</v>
      </c>
      <c r="CY588" s="1754"/>
      <c r="CZ588" s="1754"/>
      <c r="DA588" s="1754"/>
      <c r="DC588" s="383">
        <f>IF($BE588&gt;$R$66-3,251,0)</f>
        <v>251</v>
      </c>
      <c r="DD588" s="1754">
        <f t="shared" si="275"/>
        <v>0</v>
      </c>
      <c r="DE588" s="1754"/>
      <c r="DF588" s="1754"/>
      <c r="DG588" s="1754"/>
      <c r="DH588" s="1754">
        <f t="shared" si="227"/>
        <v>0</v>
      </c>
      <c r="DI588" s="1754"/>
      <c r="DJ588" s="1754"/>
      <c r="DK588" s="1754">
        <f t="shared" si="254"/>
        <v>0</v>
      </c>
      <c r="DL588" s="1754"/>
      <c r="DM588" s="1754"/>
      <c r="DN588" s="1754"/>
      <c r="DP588" s="383">
        <f t="shared" si="228"/>
        <v>251</v>
      </c>
      <c r="DQ588" s="1754">
        <f t="shared" si="240"/>
        <v>0</v>
      </c>
      <c r="DR588" s="1754"/>
      <c r="DS588" s="1754"/>
      <c r="DT588" s="1754"/>
      <c r="DU588" s="1754">
        <f t="shared" si="241"/>
        <v>0</v>
      </c>
      <c r="DV588" s="1754"/>
      <c r="DW588" s="1754"/>
      <c r="DX588" s="1754">
        <f t="shared" si="248"/>
        <v>0</v>
      </c>
      <c r="DY588" s="1754"/>
      <c r="DZ588" s="1754"/>
      <c r="EA588" s="1754">
        <f t="shared" si="249"/>
        <v>0</v>
      </c>
      <c r="EB588" s="1754"/>
      <c r="EC588" s="1754"/>
      <c r="ED588" s="1754"/>
      <c r="EE588" s="384"/>
      <c r="EF588" s="1750">
        <f t="shared" si="221"/>
        <v>0</v>
      </c>
      <c r="EG588" s="1751"/>
      <c r="EH588" s="1751"/>
      <c r="EI588" s="1751"/>
      <c r="EJ588" s="1752"/>
      <c r="EL588" s="1750">
        <f t="shared" si="250"/>
        <v>0</v>
      </c>
      <c r="EM588" s="1751"/>
      <c r="EN588" s="1751"/>
      <c r="EO588" s="1751"/>
      <c r="EP588" s="1752"/>
      <c r="ER588" s="1750">
        <f t="shared" si="222"/>
        <v>0</v>
      </c>
      <c r="ES588" s="1751"/>
      <c r="ET588" s="1751"/>
      <c r="EU588" s="1751"/>
      <c r="EV588" s="1752"/>
      <c r="EX588" s="1750">
        <f>IF(BE588&gt;0,Einstrahlung!$K$30*Kalkulation!$P$62/100*$AY$29*POWER((100-$P$64)/100,BD588-1),0)</f>
        <v>0</v>
      </c>
      <c r="EY588" s="1751"/>
      <c r="EZ588" s="1751"/>
      <c r="FA588" s="1751"/>
      <c r="FB588" s="1752"/>
      <c r="FD588" s="1750">
        <f t="shared" si="229"/>
        <v>0</v>
      </c>
      <c r="FE588" s="1751"/>
      <c r="FF588" s="1751"/>
      <c r="FG588" s="1751"/>
      <c r="FH588" s="1752"/>
      <c r="FI588" s="385"/>
      <c r="FJ588" s="380">
        <f t="shared" si="239"/>
        <v>0</v>
      </c>
      <c r="FK588" s="385"/>
      <c r="FL588" s="380">
        <f t="shared" si="271"/>
        <v>0</v>
      </c>
      <c r="FM588" s="385"/>
      <c r="FN588" s="380">
        <f t="shared" si="231"/>
        <v>0</v>
      </c>
      <c r="FO588" s="962">
        <f t="shared" si="237"/>
        <v>380</v>
      </c>
      <c r="FP588" s="956">
        <f t="shared" si="223"/>
        <v>0.4</v>
      </c>
      <c r="FQ588" s="380">
        <f t="shared" si="243"/>
        <v>0</v>
      </c>
      <c r="FR588" s="626">
        <f t="shared" si="272"/>
        <v>1</v>
      </c>
      <c r="FT588" s="1819">
        <f t="shared" si="238"/>
        <v>0</v>
      </c>
      <c r="FU588" s="1820"/>
      <c r="FV588" s="1820"/>
      <c r="FW588" s="1820"/>
      <c r="FX588" s="1821"/>
      <c r="FY588" s="1819">
        <f t="shared" si="233"/>
        <v>0</v>
      </c>
      <c r="FZ588" s="1820"/>
      <c r="GA588" s="1820"/>
      <c r="GB588" s="1821"/>
      <c r="GC588" s="1825">
        <f t="shared" si="253"/>
        <v>0</v>
      </c>
      <c r="GD588" s="1826"/>
      <c r="GE588" s="1826"/>
      <c r="GF588" s="1827"/>
      <c r="GH588" s="1750">
        <f t="shared" si="234"/>
        <v>0</v>
      </c>
      <c r="GI588" s="1751"/>
      <c r="GJ588" s="1751"/>
      <c r="GK588" s="1752"/>
      <c r="GL588" s="1750">
        <f t="shared" si="235"/>
        <v>0</v>
      </c>
      <c r="GM588" s="1751"/>
      <c r="GN588" s="1751"/>
      <c r="GO588" s="1752"/>
      <c r="GP588" s="385"/>
      <c r="GQ588" s="1750">
        <f t="shared" si="236"/>
        <v>0</v>
      </c>
      <c r="GR588" s="1751"/>
      <c r="GS588" s="1751"/>
      <c r="GT588" s="1752"/>
      <c r="GU588" s="192">
        <f t="shared" si="242"/>
        <v>1</v>
      </c>
      <c r="GV588" s="192">
        <f>SUM($GU$337:GU588)</f>
        <v>244</v>
      </c>
      <c r="GW588" s="318"/>
      <c r="HP588" s="380">
        <f t="shared" si="267"/>
        <v>0</v>
      </c>
      <c r="HX588" s="380"/>
    </row>
    <row r="589" spans="4:232" ht="13.5" thickBot="1">
      <c r="D589" s="409"/>
      <c r="E589" s="318"/>
      <c r="F589" s="1568"/>
      <c r="G589" s="1568"/>
      <c r="H589" s="1568"/>
      <c r="I589" s="1568"/>
      <c r="J589" s="1568"/>
      <c r="K589" s="1568"/>
      <c r="L589" s="1568"/>
      <c r="M589" s="1568"/>
      <c r="N589" s="1568"/>
      <c r="O589" s="1568"/>
      <c r="P589" s="1568"/>
      <c r="Q589" s="1568"/>
      <c r="R589" s="1568"/>
      <c r="S589" s="1568"/>
      <c r="T589" s="1568"/>
      <c r="U589" s="247"/>
      <c r="V589" s="1568"/>
      <c r="W589" s="1568"/>
      <c r="X589" s="1568"/>
      <c r="Y589" s="523"/>
      <c r="BD589" s="389">
        <f t="shared" si="268"/>
        <v>20</v>
      </c>
      <c r="BE589" s="390">
        <f>IF(BD589&gt;0,252,0)</f>
        <v>252</v>
      </c>
      <c r="BG589" s="391">
        <f>IF($BE589&gt;$R$66-3+($BR$335*12),252,0)</f>
        <v>252</v>
      </c>
      <c r="BH589" s="1753">
        <f t="shared" si="269"/>
        <v>0</v>
      </c>
      <c r="BI589" s="1753"/>
      <c r="BJ589" s="1753"/>
      <c r="BK589" s="1753"/>
      <c r="BL589" s="1753">
        <f t="shared" si="224"/>
        <v>0</v>
      </c>
      <c r="BM589" s="1753"/>
      <c r="BN589" s="1753"/>
      <c r="BO589" s="1753">
        <f t="shared" si="214"/>
        <v>0</v>
      </c>
      <c r="BP589" s="1753"/>
      <c r="BQ589" s="1753"/>
      <c r="BR589" s="1753">
        <f t="shared" si="270"/>
        <v>0</v>
      </c>
      <c r="BS589" s="1753"/>
      <c r="BT589" s="1753"/>
      <c r="BU589" s="1753"/>
      <c r="BW589" s="391">
        <f>IF($BE589&gt;$R$66-3+($CH$335*12),252,0)</f>
        <v>252</v>
      </c>
      <c r="BX589" s="1753">
        <f t="shared" si="273"/>
        <v>0</v>
      </c>
      <c r="BY589" s="1753"/>
      <c r="BZ589" s="1753"/>
      <c r="CA589" s="1753"/>
      <c r="CB589" s="1753">
        <f t="shared" si="225"/>
        <v>0</v>
      </c>
      <c r="CC589" s="1753"/>
      <c r="CD589" s="1753"/>
      <c r="CE589" s="1753">
        <f t="shared" si="216"/>
        <v>0</v>
      </c>
      <c r="CF589" s="1753"/>
      <c r="CG589" s="1753"/>
      <c r="CH589" s="1753">
        <f t="shared" si="217"/>
        <v>0</v>
      </c>
      <c r="CI589" s="1753"/>
      <c r="CJ589" s="1753"/>
      <c r="CK589" s="1753"/>
      <c r="CM589" s="391">
        <f>IF($BE589&gt;$R$66-3+($CX$335*12),252,0)</f>
        <v>252</v>
      </c>
      <c r="CN589" s="1753">
        <f t="shared" si="274"/>
        <v>0</v>
      </c>
      <c r="CO589" s="1753"/>
      <c r="CP589" s="1753"/>
      <c r="CQ589" s="1753"/>
      <c r="CR589" s="1753">
        <f t="shared" si="226"/>
        <v>0</v>
      </c>
      <c r="CS589" s="1753"/>
      <c r="CT589" s="1753"/>
      <c r="CU589" s="1753">
        <f t="shared" si="218"/>
        <v>0</v>
      </c>
      <c r="CV589" s="1753"/>
      <c r="CW589" s="1753"/>
      <c r="CX589" s="1753">
        <f t="shared" si="219"/>
        <v>0</v>
      </c>
      <c r="CY589" s="1753"/>
      <c r="CZ589" s="1753"/>
      <c r="DA589" s="1753"/>
      <c r="DC589" s="391">
        <f>IF($BE589&gt;$R$66-3,252,0)</f>
        <v>252</v>
      </c>
      <c r="DD589" s="1753">
        <f t="shared" si="275"/>
        <v>0</v>
      </c>
      <c r="DE589" s="1753"/>
      <c r="DF589" s="1753"/>
      <c r="DG589" s="1753"/>
      <c r="DH589" s="1753">
        <f t="shared" si="227"/>
        <v>0</v>
      </c>
      <c r="DI589" s="1753"/>
      <c r="DJ589" s="1753"/>
      <c r="DK589" s="1753">
        <f t="shared" si="254"/>
        <v>0</v>
      </c>
      <c r="DL589" s="1753"/>
      <c r="DM589" s="1753"/>
      <c r="DN589" s="1753"/>
      <c r="DP589" s="391">
        <f t="shared" si="228"/>
        <v>252</v>
      </c>
      <c r="DQ589" s="1753">
        <f t="shared" si="240"/>
        <v>0</v>
      </c>
      <c r="DR589" s="1753"/>
      <c r="DS589" s="1753"/>
      <c r="DT589" s="1753"/>
      <c r="DU589" s="1753">
        <f t="shared" si="241"/>
        <v>0</v>
      </c>
      <c r="DV589" s="1753"/>
      <c r="DW589" s="1753"/>
      <c r="DX589" s="1753">
        <f t="shared" si="248"/>
        <v>0</v>
      </c>
      <c r="DY589" s="1753"/>
      <c r="DZ589" s="1753"/>
      <c r="EA589" s="1753">
        <f t="shared" si="249"/>
        <v>0</v>
      </c>
      <c r="EB589" s="1753"/>
      <c r="EC589" s="1753"/>
      <c r="ED589" s="1753"/>
      <c r="EE589" s="384"/>
      <c r="EF589" s="1744">
        <f t="shared" si="221"/>
        <v>0</v>
      </c>
      <c r="EG589" s="1745"/>
      <c r="EH589" s="1745"/>
      <c r="EI589" s="1745"/>
      <c r="EJ589" s="1746"/>
      <c r="EL589" s="1744">
        <f t="shared" si="250"/>
        <v>0</v>
      </c>
      <c r="EM589" s="1745"/>
      <c r="EN589" s="1745"/>
      <c r="EO589" s="1745"/>
      <c r="EP589" s="1746"/>
      <c r="ER589" s="1744">
        <f t="shared" si="222"/>
        <v>0</v>
      </c>
      <c r="ES589" s="1745"/>
      <c r="ET589" s="1745"/>
      <c r="EU589" s="1745"/>
      <c r="EV589" s="1746"/>
      <c r="EX589" s="1744">
        <f>IF(BE589&gt;0,Einstrahlung!$K$32*Kalkulation!$P$62/100*$AY$29*POWER((100-$P$64)/100,BD589-1),0)</f>
        <v>0</v>
      </c>
      <c r="EY589" s="1745"/>
      <c r="EZ589" s="1745"/>
      <c r="FA589" s="1745"/>
      <c r="FB589" s="1746"/>
      <c r="FD589" s="1744">
        <f t="shared" si="229"/>
        <v>0</v>
      </c>
      <c r="FE589" s="1745"/>
      <c r="FF589" s="1745"/>
      <c r="FG589" s="1745"/>
      <c r="FH589" s="1746"/>
      <c r="FI589" s="385"/>
      <c r="FJ589" s="453">
        <f t="shared" si="239"/>
        <v>0</v>
      </c>
      <c r="FK589" s="385"/>
      <c r="FL589" s="453">
        <f t="shared" si="271"/>
        <v>0</v>
      </c>
      <c r="FM589" s="385"/>
      <c r="FN589" s="453">
        <f t="shared" si="231"/>
        <v>0</v>
      </c>
      <c r="FO589" s="962">
        <f t="shared" si="237"/>
        <v>381</v>
      </c>
      <c r="FP589" s="956">
        <f t="shared" si="223"/>
        <v>0.4</v>
      </c>
      <c r="FQ589" s="453">
        <f t="shared" si="243"/>
        <v>0</v>
      </c>
      <c r="FR589" s="957">
        <f>POWER(1+$FQ$333,FS589)</f>
        <v>1</v>
      </c>
      <c r="FS589" s="617">
        <f>FS577+1</f>
        <v>20</v>
      </c>
      <c r="FT589" s="1822">
        <f t="shared" si="238"/>
        <v>0</v>
      </c>
      <c r="FU589" s="1823"/>
      <c r="FV589" s="1823"/>
      <c r="FW589" s="1823"/>
      <c r="FX589" s="1824"/>
      <c r="FY589" s="1822">
        <f t="shared" si="233"/>
        <v>0</v>
      </c>
      <c r="FZ589" s="1823"/>
      <c r="GA589" s="1823"/>
      <c r="GB589" s="1824"/>
      <c r="GC589" s="1831">
        <f t="shared" si="253"/>
        <v>0</v>
      </c>
      <c r="GD589" s="1832"/>
      <c r="GE589" s="1832"/>
      <c r="GF589" s="1833"/>
      <c r="GH589" s="1744">
        <f t="shared" si="234"/>
        <v>0</v>
      </c>
      <c r="GI589" s="1745"/>
      <c r="GJ589" s="1745"/>
      <c r="GK589" s="1746"/>
      <c r="GL589" s="1744">
        <f t="shared" si="235"/>
        <v>0</v>
      </c>
      <c r="GM589" s="1745"/>
      <c r="GN589" s="1745"/>
      <c r="GO589" s="1746"/>
      <c r="GP589" s="385"/>
      <c r="GQ589" s="1744">
        <f t="shared" si="236"/>
        <v>0</v>
      </c>
      <c r="GR589" s="1745"/>
      <c r="GS589" s="1745"/>
      <c r="GT589" s="1746"/>
      <c r="GU589" s="192">
        <f t="shared" si="242"/>
        <v>1</v>
      </c>
      <c r="GV589" s="192">
        <f>SUM($GU$337:GU589)</f>
        <v>245</v>
      </c>
      <c r="GW589" s="318"/>
      <c r="HQ589" s="380">
        <f t="shared" ref="HQ589:HQ600" si="276">IF(GV589=252,SUM(GQ578:GT589),0)</f>
        <v>0</v>
      </c>
      <c r="HX589" s="380"/>
    </row>
    <row r="590" spans="4:232">
      <c r="D590" s="409">
        <v>5</v>
      </c>
      <c r="E590" s="318"/>
      <c r="F590" s="1568">
        <f>AH255</f>
        <v>0</v>
      </c>
      <c r="G590" s="1568"/>
      <c r="H590" s="1568"/>
      <c r="I590" s="1568"/>
      <c r="J590" s="1568"/>
      <c r="K590" s="1568"/>
      <c r="L590" s="1568"/>
      <c r="M590" s="1568"/>
      <c r="N590" s="1568"/>
      <c r="O590" s="1568"/>
      <c r="P590" s="1568"/>
      <c r="Q590" s="1568"/>
      <c r="R590" s="1568"/>
      <c r="S590" s="1568"/>
      <c r="T590" s="1568"/>
      <c r="U590" s="247"/>
      <c r="V590" s="1568"/>
      <c r="W590" s="1568"/>
      <c r="X590" s="1568"/>
      <c r="Y590" s="523"/>
      <c r="BD590" s="381">
        <f t="shared" ref="BD590:BD601" si="277">IF(BH590&lt;0,0,IF($V$21&gt;0,21,0))</f>
        <v>21</v>
      </c>
      <c r="BE590" s="382">
        <f>IF(BD590&gt;0,253,0)</f>
        <v>253</v>
      </c>
      <c r="BG590" s="395">
        <f>IF($BE590&gt;$R$66-3+($BR$335*12),253,0)</f>
        <v>253</v>
      </c>
      <c r="BH590" s="1754">
        <f t="shared" ref="BH590:BH601" si="278">IF(BR589&lt;=0,0,BR589)</f>
        <v>0</v>
      </c>
      <c r="BI590" s="1754"/>
      <c r="BJ590" s="1754"/>
      <c r="BK590" s="1754"/>
      <c r="BL590" s="1754">
        <f t="shared" si="224"/>
        <v>0</v>
      </c>
      <c r="BM590" s="1754"/>
      <c r="BN590" s="1754"/>
      <c r="BO590" s="1754">
        <f t="shared" si="214"/>
        <v>0</v>
      </c>
      <c r="BP590" s="1754"/>
      <c r="BQ590" s="1754"/>
      <c r="BR590" s="1754">
        <f t="shared" ref="BR590:BR601" si="279">BH590-BL590</f>
        <v>0</v>
      </c>
      <c r="BS590" s="1754"/>
      <c r="BT590" s="1754"/>
      <c r="BU590" s="1754"/>
      <c r="BW590" s="395">
        <f>IF($BE590&gt;$R$66-3+($CH$335*12),253,0)</f>
        <v>253</v>
      </c>
      <c r="BX590" s="1754">
        <f t="shared" si="273"/>
        <v>0</v>
      </c>
      <c r="BY590" s="1754"/>
      <c r="BZ590" s="1754"/>
      <c r="CA590" s="1754"/>
      <c r="CB590" s="1754">
        <f t="shared" si="225"/>
        <v>0</v>
      </c>
      <c r="CC590" s="1754"/>
      <c r="CD590" s="1754"/>
      <c r="CE590" s="1754">
        <f t="shared" si="216"/>
        <v>0</v>
      </c>
      <c r="CF590" s="1754"/>
      <c r="CG590" s="1754"/>
      <c r="CH590" s="1754">
        <f t="shared" si="217"/>
        <v>0</v>
      </c>
      <c r="CI590" s="1754"/>
      <c r="CJ590" s="1754"/>
      <c r="CK590" s="1754"/>
      <c r="CM590" s="395">
        <f>IF($BE590&gt;$R$66-3+($CX$335*12),253,0)</f>
        <v>253</v>
      </c>
      <c r="CN590" s="1754">
        <f t="shared" si="274"/>
        <v>0</v>
      </c>
      <c r="CO590" s="1754"/>
      <c r="CP590" s="1754"/>
      <c r="CQ590" s="1754"/>
      <c r="CR590" s="1754">
        <f t="shared" si="226"/>
        <v>0</v>
      </c>
      <c r="CS590" s="1754"/>
      <c r="CT590" s="1754"/>
      <c r="CU590" s="1754">
        <f t="shared" si="218"/>
        <v>0</v>
      </c>
      <c r="CV590" s="1754"/>
      <c r="CW590" s="1754"/>
      <c r="CX590" s="1754">
        <f t="shared" si="219"/>
        <v>0</v>
      </c>
      <c r="CY590" s="1754"/>
      <c r="CZ590" s="1754"/>
      <c r="DA590" s="1754"/>
      <c r="DC590" s="395">
        <f>IF($BE590&gt;$R$66-3,253,0)</f>
        <v>253</v>
      </c>
      <c r="DD590" s="1754">
        <f t="shared" si="275"/>
        <v>0</v>
      </c>
      <c r="DE590" s="1754"/>
      <c r="DF590" s="1754"/>
      <c r="DG590" s="1754"/>
      <c r="DH590" s="1754">
        <f t="shared" si="227"/>
        <v>0</v>
      </c>
      <c r="DI590" s="1754"/>
      <c r="DJ590" s="1754"/>
      <c r="DK590" s="1754">
        <f t="shared" si="254"/>
        <v>0</v>
      </c>
      <c r="DL590" s="1754"/>
      <c r="DM590" s="1754"/>
      <c r="DN590" s="1754"/>
      <c r="DP590" s="395">
        <f t="shared" si="228"/>
        <v>253</v>
      </c>
      <c r="DQ590" s="1754">
        <f t="shared" si="240"/>
        <v>0</v>
      </c>
      <c r="DR590" s="1754"/>
      <c r="DS590" s="1754"/>
      <c r="DT590" s="1754"/>
      <c r="DU590" s="1754">
        <f t="shared" si="241"/>
        <v>0</v>
      </c>
      <c r="DV590" s="1754"/>
      <c r="DW590" s="1754"/>
      <c r="DX590" s="1754">
        <f t="shared" si="248"/>
        <v>0</v>
      </c>
      <c r="DY590" s="1754"/>
      <c r="DZ590" s="1754"/>
      <c r="EA590" s="1754">
        <f t="shared" si="249"/>
        <v>0</v>
      </c>
      <c r="EB590" s="1754"/>
      <c r="EC590" s="1754"/>
      <c r="ED590" s="1754"/>
      <c r="EE590" s="384"/>
      <c r="EF590" s="1750">
        <f t="shared" si="221"/>
        <v>0</v>
      </c>
      <c r="EG590" s="1751"/>
      <c r="EH590" s="1751"/>
      <c r="EI590" s="1751"/>
      <c r="EJ590" s="1752"/>
      <c r="EL590" s="1750">
        <f t="shared" si="250"/>
        <v>0</v>
      </c>
      <c r="EM590" s="1751"/>
      <c r="EN590" s="1751"/>
      <c r="EO590" s="1751"/>
      <c r="EP590" s="1752"/>
      <c r="ER590" s="1750">
        <f t="shared" si="222"/>
        <v>0</v>
      </c>
      <c r="ES590" s="1751"/>
      <c r="ET590" s="1751"/>
      <c r="EU590" s="1751"/>
      <c r="EV590" s="1752"/>
      <c r="EX590" s="1750">
        <f>IF(BE590&gt;0,Einstrahlung!$K$10*Kalkulation!$P$62/100*$AY$29*POWER((100-$P$64)/100,BD590-1),0)</f>
        <v>0</v>
      </c>
      <c r="EY590" s="1751"/>
      <c r="EZ590" s="1751"/>
      <c r="FA590" s="1751"/>
      <c r="FB590" s="1752"/>
      <c r="FC590" s="783">
        <v>21</v>
      </c>
      <c r="FD590" s="1804">
        <f>FJ590*FI590*$BA$166</f>
        <v>0</v>
      </c>
      <c r="FE590" s="1805"/>
      <c r="FF590" s="1805"/>
      <c r="FG590" s="1805"/>
      <c r="FH590" s="1806"/>
      <c r="FI590" s="784">
        <f>POWER(1+$FH$333,0)</f>
        <v>1</v>
      </c>
      <c r="FJ590" s="380">
        <f t="shared" si="239"/>
        <v>0</v>
      </c>
      <c r="FK590" s="385"/>
      <c r="FL590" s="380">
        <f>IF(BE590&gt;0,IF($FL$336&gt;SUM($EX$590:$FB$601),SUM($EX$590:$FB$601)/12,$FL$336/12),0)</f>
        <v>0</v>
      </c>
      <c r="FM590" s="385"/>
      <c r="FN590" s="380">
        <f t="shared" si="231"/>
        <v>0</v>
      </c>
      <c r="FO590" s="962">
        <f t="shared" si="237"/>
        <v>382</v>
      </c>
      <c r="FP590" s="956">
        <f t="shared" si="223"/>
        <v>0.4</v>
      </c>
      <c r="FQ590" s="380">
        <f t="shared" si="243"/>
        <v>0</v>
      </c>
      <c r="FR590" s="626">
        <f>IF(AND(GV590&gt;240,GV590&lt;=252),$FR$589,IF(AND(GV590&gt;252,GV590&lt;=264),$FR$601,0))</f>
        <v>1</v>
      </c>
      <c r="FT590" s="1819">
        <f t="shared" si="238"/>
        <v>0</v>
      </c>
      <c r="FU590" s="1820"/>
      <c r="FV590" s="1820"/>
      <c r="FW590" s="1820"/>
      <c r="FX590" s="1821"/>
      <c r="FY590" s="1819">
        <f t="shared" si="233"/>
        <v>0</v>
      </c>
      <c r="FZ590" s="1820"/>
      <c r="GA590" s="1820"/>
      <c r="GB590" s="1821"/>
      <c r="GC590" s="1825">
        <f t="shared" si="253"/>
        <v>0</v>
      </c>
      <c r="GD590" s="1826"/>
      <c r="GE590" s="1826"/>
      <c r="GF590" s="1827"/>
      <c r="GH590" s="1750">
        <f t="shared" si="234"/>
        <v>0</v>
      </c>
      <c r="GI590" s="1751"/>
      <c r="GJ590" s="1751"/>
      <c r="GK590" s="1751"/>
      <c r="GL590" s="1750">
        <f t="shared" si="235"/>
        <v>0</v>
      </c>
      <c r="GM590" s="1751"/>
      <c r="GN590" s="1751"/>
      <c r="GO590" s="1752"/>
      <c r="GP590" s="385"/>
      <c r="GQ590" s="1865">
        <f>IF($V$21&lt;=20,0,FD590+FQ590+EF590+EL590+ER590+IF(FY590&gt;0,0,FY590))</f>
        <v>0</v>
      </c>
      <c r="GR590" s="1866"/>
      <c r="GS590" s="1866"/>
      <c r="GT590" s="1867"/>
      <c r="GU590" s="192">
        <f t="shared" si="242"/>
        <v>1</v>
      </c>
      <c r="GV590" s="192">
        <f>SUM($GU$337:GU590)</f>
        <v>246</v>
      </c>
      <c r="GW590" s="318"/>
      <c r="HQ590" s="380">
        <f t="shared" si="276"/>
        <v>0</v>
      </c>
      <c r="HX590" s="380"/>
    </row>
    <row r="591" spans="4:232">
      <c r="D591" s="409"/>
      <c r="E591" s="318"/>
      <c r="F591" s="1568"/>
      <c r="G591" s="1568"/>
      <c r="H591" s="1568"/>
      <c r="I591" s="1568">
        <f>F590</f>
        <v>0</v>
      </c>
      <c r="J591" s="1568"/>
      <c r="K591" s="1568"/>
      <c r="L591" s="1568"/>
      <c r="M591" s="1568"/>
      <c r="N591" s="1568"/>
      <c r="O591" s="1568"/>
      <c r="P591" s="1568"/>
      <c r="Q591" s="1568"/>
      <c r="R591" s="1568"/>
      <c r="S591" s="1568"/>
      <c r="T591" s="1568"/>
      <c r="U591" s="247"/>
      <c r="V591" s="1568"/>
      <c r="W591" s="1568"/>
      <c r="X591" s="1568"/>
      <c r="Y591" s="523"/>
      <c r="BD591" s="387">
        <f t="shared" si="277"/>
        <v>21</v>
      </c>
      <c r="BE591" s="382">
        <f>IF(BD591&gt;0,254,0)</f>
        <v>254</v>
      </c>
      <c r="BG591" s="383">
        <f>IF($BE591&gt;$R$66-3+($BR$335*12),254,0)</f>
        <v>254</v>
      </c>
      <c r="BH591" s="1754">
        <f t="shared" si="278"/>
        <v>0</v>
      </c>
      <c r="BI591" s="1754"/>
      <c r="BJ591" s="1754"/>
      <c r="BK591" s="1754"/>
      <c r="BL591" s="1754">
        <f t="shared" si="224"/>
        <v>0</v>
      </c>
      <c r="BM591" s="1754"/>
      <c r="BN591" s="1754"/>
      <c r="BO591" s="1754">
        <f t="shared" si="214"/>
        <v>0</v>
      </c>
      <c r="BP591" s="1754"/>
      <c r="BQ591" s="1754"/>
      <c r="BR591" s="1754">
        <f t="shared" si="279"/>
        <v>0</v>
      </c>
      <c r="BS591" s="1754"/>
      <c r="BT591" s="1754"/>
      <c r="BU591" s="1754"/>
      <c r="BW591" s="383">
        <f>IF($BE591&gt;$R$66-3+($CH$335*12),254,0)</f>
        <v>254</v>
      </c>
      <c r="BX591" s="1754">
        <f t="shared" si="273"/>
        <v>0</v>
      </c>
      <c r="BY591" s="1754"/>
      <c r="BZ591" s="1754"/>
      <c r="CA591" s="1754"/>
      <c r="CB591" s="1754">
        <f t="shared" si="225"/>
        <v>0</v>
      </c>
      <c r="CC591" s="1754"/>
      <c r="CD591" s="1754"/>
      <c r="CE591" s="1754">
        <f t="shared" si="216"/>
        <v>0</v>
      </c>
      <c r="CF591" s="1754"/>
      <c r="CG591" s="1754"/>
      <c r="CH591" s="1754">
        <f t="shared" si="217"/>
        <v>0</v>
      </c>
      <c r="CI591" s="1754"/>
      <c r="CJ591" s="1754"/>
      <c r="CK591" s="1754"/>
      <c r="CM591" s="383">
        <f>IF($BE591&gt;$R$66-3+($CX$335*12),254,0)</f>
        <v>254</v>
      </c>
      <c r="CN591" s="1754">
        <f t="shared" si="274"/>
        <v>0</v>
      </c>
      <c r="CO591" s="1754"/>
      <c r="CP591" s="1754"/>
      <c r="CQ591" s="1754"/>
      <c r="CR591" s="1754">
        <f t="shared" si="226"/>
        <v>0</v>
      </c>
      <c r="CS591" s="1754"/>
      <c r="CT591" s="1754"/>
      <c r="CU591" s="1754">
        <f t="shared" si="218"/>
        <v>0</v>
      </c>
      <c r="CV591" s="1754"/>
      <c r="CW591" s="1754"/>
      <c r="CX591" s="1754">
        <f t="shared" si="219"/>
        <v>0</v>
      </c>
      <c r="CY591" s="1754"/>
      <c r="CZ591" s="1754"/>
      <c r="DA591" s="1754"/>
      <c r="DC591" s="383">
        <f>IF($BE591&gt;$R$66-3,254,0)</f>
        <v>254</v>
      </c>
      <c r="DD591" s="1754">
        <f t="shared" si="275"/>
        <v>0</v>
      </c>
      <c r="DE591" s="1754"/>
      <c r="DF591" s="1754"/>
      <c r="DG591" s="1754"/>
      <c r="DH591" s="1754">
        <f t="shared" si="227"/>
        <v>0</v>
      </c>
      <c r="DI591" s="1754"/>
      <c r="DJ591" s="1754"/>
      <c r="DK591" s="1754">
        <f t="shared" si="254"/>
        <v>0</v>
      </c>
      <c r="DL591" s="1754"/>
      <c r="DM591" s="1754"/>
      <c r="DN591" s="1754"/>
      <c r="DP591" s="383">
        <f t="shared" si="228"/>
        <v>254</v>
      </c>
      <c r="DQ591" s="1754">
        <f t="shared" si="240"/>
        <v>0</v>
      </c>
      <c r="DR591" s="1754"/>
      <c r="DS591" s="1754"/>
      <c r="DT591" s="1754"/>
      <c r="DU591" s="1754">
        <f t="shared" si="241"/>
        <v>0</v>
      </c>
      <c r="DV591" s="1754"/>
      <c r="DW591" s="1754"/>
      <c r="DX591" s="1754">
        <f t="shared" si="248"/>
        <v>0</v>
      </c>
      <c r="DY591" s="1754"/>
      <c r="DZ591" s="1754"/>
      <c r="EA591" s="1754">
        <f t="shared" si="249"/>
        <v>0</v>
      </c>
      <c r="EB591" s="1754"/>
      <c r="EC591" s="1754"/>
      <c r="ED591" s="1754"/>
      <c r="EE591" s="384"/>
      <c r="EF591" s="1750">
        <f t="shared" si="221"/>
        <v>0</v>
      </c>
      <c r="EG591" s="1751"/>
      <c r="EH591" s="1751"/>
      <c r="EI591" s="1751"/>
      <c r="EJ591" s="1752"/>
      <c r="EL591" s="1750">
        <f t="shared" si="250"/>
        <v>0</v>
      </c>
      <c r="EM591" s="1751"/>
      <c r="EN591" s="1751"/>
      <c r="EO591" s="1751"/>
      <c r="EP591" s="1752"/>
      <c r="ER591" s="1750">
        <f t="shared" si="222"/>
        <v>0</v>
      </c>
      <c r="ES591" s="1751"/>
      <c r="ET591" s="1751"/>
      <c r="EU591" s="1751"/>
      <c r="EV591" s="1752"/>
      <c r="EX591" s="1750">
        <f>IF(BE591&gt;0,Einstrahlung!$K$12*Kalkulation!$P$62/100*$AY$29*POWER((100-$P$64)/100,BD591-1),0)</f>
        <v>0</v>
      </c>
      <c r="EY591" s="1751"/>
      <c r="EZ591" s="1751"/>
      <c r="FA591" s="1751"/>
      <c r="FB591" s="1752"/>
      <c r="FD591" s="1804">
        <f t="shared" ref="FD591:FD649" si="280">FJ591*FI591*$BA$166</f>
        <v>0</v>
      </c>
      <c r="FE591" s="1805"/>
      <c r="FF591" s="1805"/>
      <c r="FG591" s="1805"/>
      <c r="FH591" s="1806"/>
      <c r="FI591" s="785">
        <f t="shared" ref="FI591:FI601" si="281">POWER(1+$FH$333,0)</f>
        <v>1</v>
      </c>
      <c r="FJ591" s="380">
        <f t="shared" si="239"/>
        <v>0</v>
      </c>
      <c r="FK591" s="385"/>
      <c r="FL591" s="380">
        <f t="shared" ref="FL591:FL601" si="282">IF(BE591&gt;0,IF($FL$336&gt;SUM($EX$590:$FB$601),SUM($EX$590:$FB$601)/12,$FL$336/12),0)</f>
        <v>0</v>
      </c>
      <c r="FM591" s="385"/>
      <c r="FN591" s="380">
        <f t="shared" si="231"/>
        <v>0</v>
      </c>
      <c r="FO591" s="962">
        <f t="shared" si="237"/>
        <v>383</v>
      </c>
      <c r="FP591" s="956">
        <f t="shared" si="223"/>
        <v>0.4</v>
      </c>
      <c r="FQ591" s="380">
        <f t="shared" si="243"/>
        <v>0</v>
      </c>
      <c r="FR591" s="626">
        <f t="shared" ref="FR591:FR600" si="283">IF(AND(GV591&gt;240,GV591&lt;=252),$FR$589,IF(AND(GV591&gt;252,GV591&lt;=264),$FR$601,0))</f>
        <v>1</v>
      </c>
      <c r="FT591" s="1819">
        <f t="shared" si="238"/>
        <v>0</v>
      </c>
      <c r="FU591" s="1820"/>
      <c r="FV591" s="1820"/>
      <c r="FW591" s="1820"/>
      <c r="FX591" s="1821"/>
      <c r="FY591" s="1819">
        <f t="shared" si="233"/>
        <v>0</v>
      </c>
      <c r="FZ591" s="1820"/>
      <c r="GA591" s="1820"/>
      <c r="GB591" s="1821"/>
      <c r="GC591" s="1825">
        <f t="shared" si="253"/>
        <v>0</v>
      </c>
      <c r="GD591" s="1826"/>
      <c r="GE591" s="1826"/>
      <c r="GF591" s="1827"/>
      <c r="GH591" s="1750">
        <f t="shared" si="234"/>
        <v>0</v>
      </c>
      <c r="GI591" s="1751"/>
      <c r="GJ591" s="1751"/>
      <c r="GK591" s="1752"/>
      <c r="GL591" s="1750">
        <f t="shared" si="235"/>
        <v>0</v>
      </c>
      <c r="GM591" s="1751"/>
      <c r="GN591" s="1751"/>
      <c r="GO591" s="1752"/>
      <c r="GP591" s="385"/>
      <c r="GQ591" s="1750">
        <f t="shared" ref="GQ591:GQ601" si="284">IF($V$21&lt;=20,0,FD591+FQ591+EF591+EL591+ER591+IF(FY591&gt;0,0,FY591))</f>
        <v>0</v>
      </c>
      <c r="GR591" s="1751"/>
      <c r="GS591" s="1751"/>
      <c r="GT591" s="1752"/>
      <c r="GU591" s="192">
        <f t="shared" si="242"/>
        <v>1</v>
      </c>
      <c r="GV591" s="192">
        <f>SUM($GU$337:GU591)</f>
        <v>247</v>
      </c>
      <c r="GW591" s="318"/>
      <c r="HQ591" s="380">
        <f t="shared" si="276"/>
        <v>0</v>
      </c>
      <c r="HX591" s="380"/>
    </row>
    <row r="592" spans="4:232">
      <c r="D592" s="409"/>
      <c r="E592" s="318"/>
      <c r="F592" s="1568"/>
      <c r="G592" s="1568"/>
      <c r="H592" s="1568"/>
      <c r="I592" s="1568"/>
      <c r="J592" s="1568"/>
      <c r="K592" s="1568"/>
      <c r="L592" s="1568">
        <f>F590</f>
        <v>0</v>
      </c>
      <c r="M592" s="1568"/>
      <c r="N592" s="1568"/>
      <c r="O592" s="1568"/>
      <c r="P592" s="1568"/>
      <c r="Q592" s="1568"/>
      <c r="R592" s="1568"/>
      <c r="S592" s="1568"/>
      <c r="T592" s="1568"/>
      <c r="U592" s="247"/>
      <c r="V592" s="1568"/>
      <c r="W592" s="1568"/>
      <c r="X592" s="1568"/>
      <c r="Y592" s="523"/>
      <c r="BD592" s="387">
        <f t="shared" si="277"/>
        <v>21</v>
      </c>
      <c r="BE592" s="382">
        <f>IF(BD592&gt;0,255,0)</f>
        <v>255</v>
      </c>
      <c r="BG592" s="383">
        <f>IF($BE592&gt;$R$66-3+($BR$335*12),255,0)</f>
        <v>255</v>
      </c>
      <c r="BH592" s="1754">
        <f t="shared" si="278"/>
        <v>0</v>
      </c>
      <c r="BI592" s="1754"/>
      <c r="BJ592" s="1754"/>
      <c r="BK592" s="1754"/>
      <c r="BL592" s="1754">
        <f t="shared" si="224"/>
        <v>0</v>
      </c>
      <c r="BM592" s="1754"/>
      <c r="BN592" s="1754"/>
      <c r="BO592" s="1754">
        <f t="shared" si="214"/>
        <v>0</v>
      </c>
      <c r="BP592" s="1754"/>
      <c r="BQ592" s="1754"/>
      <c r="BR592" s="1754">
        <f t="shared" si="279"/>
        <v>0</v>
      </c>
      <c r="BS592" s="1754"/>
      <c r="BT592" s="1754"/>
      <c r="BU592" s="1754"/>
      <c r="BW592" s="383">
        <f>IF($BE592&gt;$R$66-3+($CH$335*12),255,0)</f>
        <v>255</v>
      </c>
      <c r="BX592" s="1754">
        <f t="shared" si="273"/>
        <v>0</v>
      </c>
      <c r="BY592" s="1754"/>
      <c r="BZ592" s="1754"/>
      <c r="CA592" s="1754"/>
      <c r="CB592" s="1754">
        <f t="shared" si="225"/>
        <v>0</v>
      </c>
      <c r="CC592" s="1754"/>
      <c r="CD592" s="1754"/>
      <c r="CE592" s="1754">
        <f t="shared" si="216"/>
        <v>0</v>
      </c>
      <c r="CF592" s="1754"/>
      <c r="CG592" s="1754"/>
      <c r="CH592" s="1754">
        <f t="shared" si="217"/>
        <v>0</v>
      </c>
      <c r="CI592" s="1754"/>
      <c r="CJ592" s="1754"/>
      <c r="CK592" s="1754"/>
      <c r="CM592" s="383">
        <f>IF($BE592&gt;$R$66-3+($CX$335*12),255,0)</f>
        <v>255</v>
      </c>
      <c r="CN592" s="1754">
        <f t="shared" si="274"/>
        <v>0</v>
      </c>
      <c r="CO592" s="1754"/>
      <c r="CP592" s="1754"/>
      <c r="CQ592" s="1754"/>
      <c r="CR592" s="1754">
        <f t="shared" si="226"/>
        <v>0</v>
      </c>
      <c r="CS592" s="1754"/>
      <c r="CT592" s="1754"/>
      <c r="CU592" s="1754">
        <f t="shared" si="218"/>
        <v>0</v>
      </c>
      <c r="CV592" s="1754"/>
      <c r="CW592" s="1754"/>
      <c r="CX592" s="1754">
        <f t="shared" si="219"/>
        <v>0</v>
      </c>
      <c r="CY592" s="1754"/>
      <c r="CZ592" s="1754"/>
      <c r="DA592" s="1754"/>
      <c r="DC592" s="383">
        <f>IF($BE592&gt;$R$66-3,255,0)</f>
        <v>255</v>
      </c>
      <c r="DD592" s="1754">
        <f t="shared" si="275"/>
        <v>0</v>
      </c>
      <c r="DE592" s="1754"/>
      <c r="DF592" s="1754"/>
      <c r="DG592" s="1754"/>
      <c r="DH592" s="1754">
        <f t="shared" si="227"/>
        <v>0</v>
      </c>
      <c r="DI592" s="1754"/>
      <c r="DJ592" s="1754"/>
      <c r="DK592" s="1754">
        <f t="shared" si="254"/>
        <v>0</v>
      </c>
      <c r="DL592" s="1754"/>
      <c r="DM592" s="1754"/>
      <c r="DN592" s="1754"/>
      <c r="DP592" s="383">
        <f t="shared" si="228"/>
        <v>255</v>
      </c>
      <c r="DQ592" s="1754">
        <f t="shared" si="240"/>
        <v>0</v>
      </c>
      <c r="DR592" s="1754"/>
      <c r="DS592" s="1754"/>
      <c r="DT592" s="1754"/>
      <c r="DU592" s="1754">
        <f t="shared" si="241"/>
        <v>0</v>
      </c>
      <c r="DV592" s="1754"/>
      <c r="DW592" s="1754"/>
      <c r="DX592" s="1754">
        <f t="shared" si="248"/>
        <v>0</v>
      </c>
      <c r="DY592" s="1754"/>
      <c r="DZ592" s="1754"/>
      <c r="EA592" s="1754">
        <f t="shared" si="249"/>
        <v>0</v>
      </c>
      <c r="EB592" s="1754"/>
      <c r="EC592" s="1754"/>
      <c r="ED592" s="1754"/>
      <c r="EE592" s="384"/>
      <c r="EF592" s="1750">
        <f t="shared" si="221"/>
        <v>0</v>
      </c>
      <c r="EG592" s="1751"/>
      <c r="EH592" s="1751"/>
      <c r="EI592" s="1751"/>
      <c r="EJ592" s="1752"/>
      <c r="EL592" s="1750">
        <f t="shared" si="250"/>
        <v>0</v>
      </c>
      <c r="EM592" s="1751"/>
      <c r="EN592" s="1751"/>
      <c r="EO592" s="1751"/>
      <c r="EP592" s="1752"/>
      <c r="ER592" s="1750">
        <f t="shared" si="222"/>
        <v>0</v>
      </c>
      <c r="ES592" s="1751"/>
      <c r="ET592" s="1751"/>
      <c r="EU592" s="1751"/>
      <c r="EV592" s="1752"/>
      <c r="EX592" s="1750">
        <f>IF(BE592&gt;0,Einstrahlung!$K$14*Kalkulation!$P$62/100*$AY$29*POWER((100-$P$64)/100,BD592-1),0)</f>
        <v>0</v>
      </c>
      <c r="EY592" s="1751"/>
      <c r="EZ592" s="1751"/>
      <c r="FA592" s="1751"/>
      <c r="FB592" s="1752"/>
      <c r="FD592" s="1804">
        <f t="shared" si="280"/>
        <v>0</v>
      </c>
      <c r="FE592" s="1805"/>
      <c r="FF592" s="1805"/>
      <c r="FG592" s="1805"/>
      <c r="FH592" s="1806"/>
      <c r="FI592" s="785">
        <f t="shared" si="281"/>
        <v>1</v>
      </c>
      <c r="FJ592" s="380">
        <f t="shared" si="239"/>
        <v>0</v>
      </c>
      <c r="FK592" s="385"/>
      <c r="FL592" s="380">
        <f t="shared" si="282"/>
        <v>0</v>
      </c>
      <c r="FM592" s="385"/>
      <c r="FN592" s="380">
        <f t="shared" si="231"/>
        <v>0</v>
      </c>
      <c r="FO592" s="962">
        <f t="shared" si="237"/>
        <v>384</v>
      </c>
      <c r="FP592" s="956">
        <f t="shared" si="223"/>
        <v>0.4</v>
      </c>
      <c r="FQ592" s="380">
        <f t="shared" si="243"/>
        <v>0</v>
      </c>
      <c r="FR592" s="626">
        <f t="shared" si="283"/>
        <v>1</v>
      </c>
      <c r="FT592" s="1819">
        <f t="shared" si="238"/>
        <v>0</v>
      </c>
      <c r="FU592" s="1820"/>
      <c r="FV592" s="1820"/>
      <c r="FW592" s="1820"/>
      <c r="FX592" s="1821"/>
      <c r="FY592" s="1819">
        <f t="shared" si="233"/>
        <v>0</v>
      </c>
      <c r="FZ592" s="1820"/>
      <c r="GA592" s="1820"/>
      <c r="GB592" s="1821"/>
      <c r="GC592" s="1825">
        <f t="shared" si="253"/>
        <v>0</v>
      </c>
      <c r="GD592" s="1826"/>
      <c r="GE592" s="1826"/>
      <c r="GF592" s="1827"/>
      <c r="GH592" s="1750">
        <f t="shared" si="234"/>
        <v>0</v>
      </c>
      <c r="GI592" s="1751"/>
      <c r="GJ592" s="1751"/>
      <c r="GK592" s="1752"/>
      <c r="GL592" s="1750">
        <f t="shared" si="235"/>
        <v>0</v>
      </c>
      <c r="GM592" s="1751"/>
      <c r="GN592" s="1751"/>
      <c r="GO592" s="1752"/>
      <c r="GP592" s="385"/>
      <c r="GQ592" s="1750">
        <f t="shared" si="284"/>
        <v>0</v>
      </c>
      <c r="GR592" s="1751"/>
      <c r="GS592" s="1751"/>
      <c r="GT592" s="1752"/>
      <c r="GU592" s="192">
        <f t="shared" si="242"/>
        <v>1</v>
      </c>
      <c r="GV592" s="192">
        <f>SUM($GU$337:GU592)</f>
        <v>248</v>
      </c>
      <c r="GW592" s="318"/>
      <c r="HQ592" s="380">
        <f t="shared" si="276"/>
        <v>0</v>
      </c>
      <c r="HX592" s="380"/>
    </row>
    <row r="593" spans="4:232">
      <c r="D593" s="409"/>
      <c r="E593" s="318"/>
      <c r="F593" s="1568"/>
      <c r="G593" s="1568"/>
      <c r="H593" s="1568"/>
      <c r="I593" s="1568"/>
      <c r="J593" s="1568"/>
      <c r="K593" s="1568"/>
      <c r="L593" s="1568"/>
      <c r="M593" s="1568"/>
      <c r="N593" s="1568"/>
      <c r="O593" s="1568">
        <f>V593</f>
        <v>0</v>
      </c>
      <c r="P593" s="1568"/>
      <c r="Q593" s="1568"/>
      <c r="R593" s="1568"/>
      <c r="S593" s="1568"/>
      <c r="T593" s="1568"/>
      <c r="U593" s="247"/>
      <c r="V593" s="1568">
        <f>IF(D255&gt;0,V588+(G255+J255)-(O255+Q255+S255+T255+V255)+Y255,0)</f>
        <v>0</v>
      </c>
      <c r="W593" s="1568"/>
      <c r="X593" s="1568"/>
      <c r="Y593" s="523">
        <f>IF(D255&gt;0,IF(V593&gt;0,0,1),0)</f>
        <v>1</v>
      </c>
      <c r="BD593" s="387">
        <f t="shared" si="277"/>
        <v>21</v>
      </c>
      <c r="BE593" s="382">
        <f>IF(BD593&gt;0,256,0)</f>
        <v>256</v>
      </c>
      <c r="BG593" s="383">
        <f>IF($BE593&gt;$R$66-3+($BR$335*12),256,0)</f>
        <v>256</v>
      </c>
      <c r="BH593" s="1754">
        <f t="shared" si="278"/>
        <v>0</v>
      </c>
      <c r="BI593" s="1754"/>
      <c r="BJ593" s="1754"/>
      <c r="BK593" s="1754"/>
      <c r="BL593" s="1754">
        <f t="shared" si="224"/>
        <v>0</v>
      </c>
      <c r="BM593" s="1754"/>
      <c r="BN593" s="1754"/>
      <c r="BO593" s="1754">
        <f t="shared" si="214"/>
        <v>0</v>
      </c>
      <c r="BP593" s="1754"/>
      <c r="BQ593" s="1754"/>
      <c r="BR593" s="1754">
        <f t="shared" si="279"/>
        <v>0</v>
      </c>
      <c r="BS593" s="1754"/>
      <c r="BT593" s="1754"/>
      <c r="BU593" s="1754"/>
      <c r="BW593" s="383">
        <f>IF($BE593&gt;$R$66-3+($CH$335*12),256,0)</f>
        <v>256</v>
      </c>
      <c r="BX593" s="1754">
        <f t="shared" si="273"/>
        <v>0</v>
      </c>
      <c r="BY593" s="1754"/>
      <c r="BZ593" s="1754"/>
      <c r="CA593" s="1754"/>
      <c r="CB593" s="1754">
        <f t="shared" si="225"/>
        <v>0</v>
      </c>
      <c r="CC593" s="1754"/>
      <c r="CD593" s="1754"/>
      <c r="CE593" s="1754">
        <f t="shared" si="216"/>
        <v>0</v>
      </c>
      <c r="CF593" s="1754"/>
      <c r="CG593" s="1754"/>
      <c r="CH593" s="1754">
        <f t="shared" si="217"/>
        <v>0</v>
      </c>
      <c r="CI593" s="1754"/>
      <c r="CJ593" s="1754"/>
      <c r="CK593" s="1754"/>
      <c r="CM593" s="383">
        <f>IF($BE593&gt;$R$66-3+($CX$335*12),256,0)</f>
        <v>256</v>
      </c>
      <c r="CN593" s="1754">
        <f t="shared" si="274"/>
        <v>0</v>
      </c>
      <c r="CO593" s="1754"/>
      <c r="CP593" s="1754"/>
      <c r="CQ593" s="1754"/>
      <c r="CR593" s="1754">
        <f t="shared" si="226"/>
        <v>0</v>
      </c>
      <c r="CS593" s="1754"/>
      <c r="CT593" s="1754"/>
      <c r="CU593" s="1754">
        <f t="shared" si="218"/>
        <v>0</v>
      </c>
      <c r="CV593" s="1754"/>
      <c r="CW593" s="1754"/>
      <c r="CX593" s="1754">
        <f t="shared" si="219"/>
        <v>0</v>
      </c>
      <c r="CY593" s="1754"/>
      <c r="CZ593" s="1754"/>
      <c r="DA593" s="1754"/>
      <c r="DC593" s="383">
        <f>IF($BE593&gt;$R$66-3,256,0)</f>
        <v>256</v>
      </c>
      <c r="DD593" s="1754">
        <f t="shared" si="275"/>
        <v>0</v>
      </c>
      <c r="DE593" s="1754"/>
      <c r="DF593" s="1754"/>
      <c r="DG593" s="1754"/>
      <c r="DH593" s="1754">
        <f t="shared" si="227"/>
        <v>0</v>
      </c>
      <c r="DI593" s="1754"/>
      <c r="DJ593" s="1754"/>
      <c r="DK593" s="1754">
        <f t="shared" si="254"/>
        <v>0</v>
      </c>
      <c r="DL593" s="1754"/>
      <c r="DM593" s="1754"/>
      <c r="DN593" s="1754"/>
      <c r="DP593" s="383">
        <f t="shared" si="228"/>
        <v>256</v>
      </c>
      <c r="DQ593" s="1754">
        <f t="shared" si="240"/>
        <v>0</v>
      </c>
      <c r="DR593" s="1754"/>
      <c r="DS593" s="1754"/>
      <c r="DT593" s="1754"/>
      <c r="DU593" s="1754">
        <f t="shared" si="241"/>
        <v>0</v>
      </c>
      <c r="DV593" s="1754"/>
      <c r="DW593" s="1754"/>
      <c r="DX593" s="1754">
        <f t="shared" si="248"/>
        <v>0</v>
      </c>
      <c r="DY593" s="1754"/>
      <c r="DZ593" s="1754"/>
      <c r="EA593" s="1754">
        <f t="shared" si="249"/>
        <v>0</v>
      </c>
      <c r="EB593" s="1754"/>
      <c r="EC593" s="1754"/>
      <c r="ED593" s="1754"/>
      <c r="EE593" s="384"/>
      <c r="EF593" s="1750">
        <f t="shared" si="221"/>
        <v>0</v>
      </c>
      <c r="EG593" s="1751"/>
      <c r="EH593" s="1751"/>
      <c r="EI593" s="1751"/>
      <c r="EJ593" s="1752"/>
      <c r="EL593" s="1750">
        <f t="shared" si="250"/>
        <v>0</v>
      </c>
      <c r="EM593" s="1751"/>
      <c r="EN593" s="1751"/>
      <c r="EO593" s="1751"/>
      <c r="EP593" s="1752"/>
      <c r="ER593" s="1750">
        <f t="shared" si="222"/>
        <v>0</v>
      </c>
      <c r="ES593" s="1751"/>
      <c r="ET593" s="1751"/>
      <c r="EU593" s="1751"/>
      <c r="EV593" s="1752"/>
      <c r="EX593" s="1750">
        <f>IF(BE593&gt;0,Einstrahlung!$K$16*Kalkulation!$P$62/100*$AY$29*POWER((100-$P$64)/100,BD593-1),0)</f>
        <v>0</v>
      </c>
      <c r="EY593" s="1751"/>
      <c r="EZ593" s="1751"/>
      <c r="FA593" s="1751"/>
      <c r="FB593" s="1752"/>
      <c r="FD593" s="1804">
        <f t="shared" si="280"/>
        <v>0</v>
      </c>
      <c r="FE593" s="1805"/>
      <c r="FF593" s="1805"/>
      <c r="FG593" s="1805"/>
      <c r="FH593" s="1806"/>
      <c r="FI593" s="785">
        <f t="shared" si="281"/>
        <v>1</v>
      </c>
      <c r="FJ593" s="380">
        <f t="shared" si="239"/>
        <v>0</v>
      </c>
      <c r="FK593" s="385"/>
      <c r="FL593" s="380">
        <f t="shared" si="282"/>
        <v>0</v>
      </c>
      <c r="FM593" s="385"/>
      <c r="FN593" s="380">
        <f t="shared" si="231"/>
        <v>0</v>
      </c>
      <c r="FO593" s="962">
        <f t="shared" si="237"/>
        <v>385</v>
      </c>
      <c r="FP593" s="956">
        <f t="shared" si="223"/>
        <v>0.4</v>
      </c>
      <c r="FQ593" s="380">
        <f t="shared" si="243"/>
        <v>0</v>
      </c>
      <c r="FR593" s="626">
        <f t="shared" si="283"/>
        <v>1</v>
      </c>
      <c r="FT593" s="1819">
        <f t="shared" si="238"/>
        <v>0</v>
      </c>
      <c r="FU593" s="1820"/>
      <c r="FV593" s="1820"/>
      <c r="FW593" s="1820"/>
      <c r="FX593" s="1821"/>
      <c r="FY593" s="1819">
        <f t="shared" si="233"/>
        <v>0</v>
      </c>
      <c r="FZ593" s="1820"/>
      <c r="GA593" s="1820"/>
      <c r="GB593" s="1821"/>
      <c r="GC593" s="1825">
        <f t="shared" si="253"/>
        <v>0</v>
      </c>
      <c r="GD593" s="1826"/>
      <c r="GE593" s="1826"/>
      <c r="GF593" s="1827"/>
      <c r="GH593" s="1750">
        <f t="shared" si="234"/>
        <v>0</v>
      </c>
      <c r="GI593" s="1751"/>
      <c r="GJ593" s="1751"/>
      <c r="GK593" s="1752"/>
      <c r="GL593" s="1750">
        <f t="shared" si="235"/>
        <v>0</v>
      </c>
      <c r="GM593" s="1751"/>
      <c r="GN593" s="1751"/>
      <c r="GO593" s="1752"/>
      <c r="GP593" s="385"/>
      <c r="GQ593" s="1750">
        <f t="shared" si="284"/>
        <v>0</v>
      </c>
      <c r="GR593" s="1751"/>
      <c r="GS593" s="1751"/>
      <c r="GT593" s="1752"/>
      <c r="GU593" s="192">
        <f t="shared" si="242"/>
        <v>1</v>
      </c>
      <c r="GV593" s="192">
        <f>SUM($GU$337:GU593)</f>
        <v>249</v>
      </c>
      <c r="GW593" s="318"/>
      <c r="HQ593" s="380">
        <f t="shared" si="276"/>
        <v>0</v>
      </c>
      <c r="HX593" s="380"/>
    </row>
    <row r="594" spans="4:232">
      <c r="D594" s="409"/>
      <c r="E594" s="318"/>
      <c r="F594" s="1568"/>
      <c r="G594" s="1568"/>
      <c r="H594" s="1568"/>
      <c r="I594" s="1568"/>
      <c r="J594" s="1568"/>
      <c r="K594" s="1568"/>
      <c r="L594" s="1568"/>
      <c r="M594" s="1568"/>
      <c r="N594" s="1568"/>
      <c r="O594" s="1568"/>
      <c r="P594" s="1568"/>
      <c r="Q594" s="1568"/>
      <c r="R594" s="1568"/>
      <c r="S594" s="1568"/>
      <c r="T594" s="1568"/>
      <c r="U594" s="247"/>
      <c r="V594" s="1568"/>
      <c r="W594" s="1568"/>
      <c r="X594" s="1568"/>
      <c r="Y594" s="523"/>
      <c r="BD594" s="387">
        <f t="shared" si="277"/>
        <v>21</v>
      </c>
      <c r="BE594" s="382">
        <f>IF(BD594&gt;0,257,0)</f>
        <v>257</v>
      </c>
      <c r="BG594" s="383">
        <f>IF($BE594&gt;$R$66-3+($BR$335*12),257,0)</f>
        <v>257</v>
      </c>
      <c r="BH594" s="1754">
        <f t="shared" si="278"/>
        <v>0</v>
      </c>
      <c r="BI594" s="1754"/>
      <c r="BJ594" s="1754"/>
      <c r="BK594" s="1754"/>
      <c r="BL594" s="1754">
        <f t="shared" si="224"/>
        <v>0</v>
      </c>
      <c r="BM594" s="1754"/>
      <c r="BN594" s="1754"/>
      <c r="BO594" s="1754">
        <f t="shared" ref="BO594:BO649" si="285">IF($BE594&gt;0,BH594*$BI$335/(100*12),0)</f>
        <v>0</v>
      </c>
      <c r="BP594" s="1754"/>
      <c r="BQ594" s="1754"/>
      <c r="BR594" s="1754">
        <f t="shared" si="279"/>
        <v>0</v>
      </c>
      <c r="BS594" s="1754"/>
      <c r="BT594" s="1754"/>
      <c r="BU594" s="1754"/>
      <c r="BW594" s="383">
        <f>IF($BE594&gt;$R$66-3+($CH$335*12),257,0)</f>
        <v>257</v>
      </c>
      <c r="BX594" s="1754">
        <f t="shared" si="273"/>
        <v>0</v>
      </c>
      <c r="BY594" s="1754"/>
      <c r="BZ594" s="1754"/>
      <c r="CA594" s="1754"/>
      <c r="CB594" s="1754">
        <f t="shared" si="225"/>
        <v>0</v>
      </c>
      <c r="CC594" s="1754"/>
      <c r="CD594" s="1754"/>
      <c r="CE594" s="1754">
        <f t="shared" ref="CE594:CE649" si="286">IF($BE594&gt;0,BX594*$BY$335/(100*12),0)</f>
        <v>0</v>
      </c>
      <c r="CF594" s="1754"/>
      <c r="CG594" s="1754"/>
      <c r="CH594" s="1754">
        <f t="shared" ref="CH594:CH649" si="287">BX594-CB594</f>
        <v>0</v>
      </c>
      <c r="CI594" s="1754"/>
      <c r="CJ594" s="1754"/>
      <c r="CK594" s="1754"/>
      <c r="CM594" s="383">
        <f>IF($BE594&gt;$R$66-3+($CX$335*12),257,0)</f>
        <v>257</v>
      </c>
      <c r="CN594" s="1754">
        <f t="shared" si="274"/>
        <v>0</v>
      </c>
      <c r="CO594" s="1754"/>
      <c r="CP594" s="1754"/>
      <c r="CQ594" s="1754"/>
      <c r="CR594" s="1754">
        <f t="shared" si="226"/>
        <v>0</v>
      </c>
      <c r="CS594" s="1754"/>
      <c r="CT594" s="1754"/>
      <c r="CU594" s="1754">
        <f t="shared" ref="CU594:CU649" si="288">IF($BE594&gt;0,CN594*$CO$335/(100*12),0)</f>
        <v>0</v>
      </c>
      <c r="CV594" s="1754"/>
      <c r="CW594" s="1754"/>
      <c r="CX594" s="1754">
        <f t="shared" ref="CX594:CX649" si="289">CN594-CR594</f>
        <v>0</v>
      </c>
      <c r="CY594" s="1754"/>
      <c r="CZ594" s="1754"/>
      <c r="DA594" s="1754"/>
      <c r="DC594" s="383">
        <f>IF($BE594&gt;$R$66-3,257,0)</f>
        <v>257</v>
      </c>
      <c r="DD594" s="1754">
        <f t="shared" si="275"/>
        <v>0</v>
      </c>
      <c r="DE594" s="1754"/>
      <c r="DF594" s="1754"/>
      <c r="DG594" s="1754"/>
      <c r="DH594" s="1754">
        <f t="shared" si="227"/>
        <v>0</v>
      </c>
      <c r="DI594" s="1754"/>
      <c r="DJ594" s="1754"/>
      <c r="DK594" s="1754">
        <f t="shared" si="254"/>
        <v>0</v>
      </c>
      <c r="DL594" s="1754"/>
      <c r="DM594" s="1754"/>
      <c r="DN594" s="1754"/>
      <c r="DP594" s="383">
        <f t="shared" si="228"/>
        <v>257</v>
      </c>
      <c r="DQ594" s="1754">
        <f t="shared" si="240"/>
        <v>0</v>
      </c>
      <c r="DR594" s="1754"/>
      <c r="DS594" s="1754"/>
      <c r="DT594" s="1754"/>
      <c r="DU594" s="1754">
        <f t="shared" si="241"/>
        <v>0</v>
      </c>
      <c r="DV594" s="1754"/>
      <c r="DW594" s="1754"/>
      <c r="DX594" s="1754">
        <f t="shared" si="248"/>
        <v>0</v>
      </c>
      <c r="DY594" s="1754"/>
      <c r="DZ594" s="1754"/>
      <c r="EA594" s="1754">
        <f t="shared" si="249"/>
        <v>0</v>
      </c>
      <c r="EB594" s="1754"/>
      <c r="EC594" s="1754"/>
      <c r="ED594" s="1754"/>
      <c r="EE594" s="384"/>
      <c r="EF594" s="1750">
        <f t="shared" ref="EF594:EF649" si="290">IF($BE594&gt;0,$AB$187/12,0)</f>
        <v>0</v>
      </c>
      <c r="EG594" s="1751"/>
      <c r="EH594" s="1751"/>
      <c r="EI594" s="1751"/>
      <c r="EJ594" s="1752"/>
      <c r="EL594" s="1750">
        <f t="shared" si="250"/>
        <v>0</v>
      </c>
      <c r="EM594" s="1751"/>
      <c r="EN594" s="1751"/>
      <c r="EO594" s="1751"/>
      <c r="EP594" s="1752"/>
      <c r="ER594" s="1750">
        <f t="shared" ref="ER594:ER649" si="291">IF($BE594&gt;0,($AB$197+$AB$203)/12,0)</f>
        <v>0</v>
      </c>
      <c r="ES594" s="1751"/>
      <c r="ET594" s="1751"/>
      <c r="EU594" s="1751"/>
      <c r="EV594" s="1752"/>
      <c r="EX594" s="1750">
        <f>IF(BE594&gt;0,Einstrahlung!$K$18*Kalkulation!$P$62/100*$AY$29*POWER((100-$P$64)/100,BD594-1),0)</f>
        <v>0</v>
      </c>
      <c r="EY594" s="1751"/>
      <c r="EZ594" s="1751"/>
      <c r="FA594" s="1751"/>
      <c r="FB594" s="1752"/>
      <c r="FD594" s="1804">
        <f t="shared" si="280"/>
        <v>0</v>
      </c>
      <c r="FE594" s="1805"/>
      <c r="FF594" s="1805"/>
      <c r="FG594" s="1805"/>
      <c r="FH594" s="1806"/>
      <c r="FI594" s="785">
        <f t="shared" si="281"/>
        <v>1</v>
      </c>
      <c r="FJ594" s="380">
        <f t="shared" si="239"/>
        <v>0</v>
      </c>
      <c r="FK594" s="385"/>
      <c r="FL594" s="380">
        <f t="shared" si="282"/>
        <v>0</v>
      </c>
      <c r="FM594" s="385"/>
      <c r="FN594" s="380">
        <f t="shared" si="231"/>
        <v>0</v>
      </c>
      <c r="FO594" s="962">
        <f t="shared" si="237"/>
        <v>386</v>
      </c>
      <c r="FP594" s="956">
        <f t="shared" ref="FP594:FP649" si="292">IF($B$118&lt;41,0,IF(FO594&lt;58,$BI$147,IF(AND(FO594&gt;57,FO594&lt;70),$BI$143,IF(FO594&gt;69,$BI$141,0))))</f>
        <v>0.4</v>
      </c>
      <c r="FQ594" s="380">
        <f t="shared" si="243"/>
        <v>0</v>
      </c>
      <c r="FR594" s="626">
        <f t="shared" si="283"/>
        <v>1</v>
      </c>
      <c r="FT594" s="1819">
        <f t="shared" si="238"/>
        <v>0</v>
      </c>
      <c r="FU594" s="1820"/>
      <c r="FV594" s="1820"/>
      <c r="FW594" s="1820"/>
      <c r="FX594" s="1821"/>
      <c r="FY594" s="1819">
        <f t="shared" si="233"/>
        <v>0</v>
      </c>
      <c r="FZ594" s="1820"/>
      <c r="GA594" s="1820"/>
      <c r="GB594" s="1821"/>
      <c r="GC594" s="1825">
        <f t="shared" si="253"/>
        <v>0</v>
      </c>
      <c r="GD594" s="1826"/>
      <c r="GE594" s="1826"/>
      <c r="GF594" s="1827"/>
      <c r="GH594" s="1750">
        <f t="shared" si="234"/>
        <v>0</v>
      </c>
      <c r="GI594" s="1751"/>
      <c r="GJ594" s="1751"/>
      <c r="GK594" s="1752"/>
      <c r="GL594" s="1750">
        <f t="shared" si="235"/>
        <v>0</v>
      </c>
      <c r="GM594" s="1751"/>
      <c r="GN594" s="1751"/>
      <c r="GO594" s="1752"/>
      <c r="GP594" s="385"/>
      <c r="GQ594" s="1750">
        <f t="shared" si="284"/>
        <v>0</v>
      </c>
      <c r="GR594" s="1751"/>
      <c r="GS594" s="1751"/>
      <c r="GT594" s="1752"/>
      <c r="GU594" s="192">
        <f t="shared" si="242"/>
        <v>1</v>
      </c>
      <c r="GV594" s="192">
        <f>SUM($GU$337:GU594)</f>
        <v>250</v>
      </c>
      <c r="GW594" s="318"/>
      <c r="HQ594" s="380">
        <f t="shared" si="276"/>
        <v>0</v>
      </c>
      <c r="HX594" s="380"/>
    </row>
    <row r="595" spans="4:232">
      <c r="D595" s="409">
        <v>6</v>
      </c>
      <c r="E595" s="318"/>
      <c r="F595" s="1568">
        <f>AH257</f>
        <v>0</v>
      </c>
      <c r="G595" s="1568"/>
      <c r="H595" s="1568"/>
      <c r="I595" s="1568"/>
      <c r="J595" s="1568"/>
      <c r="K595" s="1568"/>
      <c r="L595" s="1568"/>
      <c r="M595" s="1568"/>
      <c r="N595" s="1568"/>
      <c r="O595" s="1568"/>
      <c r="P595" s="1568"/>
      <c r="Q595" s="1568"/>
      <c r="R595" s="1568"/>
      <c r="S595" s="1568"/>
      <c r="T595" s="1568"/>
      <c r="U595" s="247"/>
      <c r="V595" s="1568"/>
      <c r="W595" s="1568"/>
      <c r="X595" s="1568"/>
      <c r="Y595" s="523"/>
      <c r="BD595" s="387">
        <f t="shared" si="277"/>
        <v>21</v>
      </c>
      <c r="BE595" s="382">
        <f>IF(BD595&gt;0,258,0)</f>
        <v>258</v>
      </c>
      <c r="BG595" s="383">
        <f>IF($BE595&gt;$R$66-3+($BR$335*12),258,0)</f>
        <v>258</v>
      </c>
      <c r="BH595" s="1754">
        <f t="shared" si="278"/>
        <v>0</v>
      </c>
      <c r="BI595" s="1754"/>
      <c r="BJ595" s="1754"/>
      <c r="BK595" s="1754"/>
      <c r="BL595" s="1754">
        <f t="shared" ref="BL595:BL649" si="293">IF(BH595&lt;=BL594,BH595,IF(BG595&gt;0,IF($BG$334="R",$BR$332/(($BR$333-$X$92)*12),$BR$334/12-BO595),0))</f>
        <v>0</v>
      </c>
      <c r="BM595" s="1754"/>
      <c r="BN595" s="1754"/>
      <c r="BO595" s="1754">
        <f t="shared" si="285"/>
        <v>0</v>
      </c>
      <c r="BP595" s="1754"/>
      <c r="BQ595" s="1754"/>
      <c r="BR595" s="1754">
        <f t="shared" si="279"/>
        <v>0</v>
      </c>
      <c r="BS595" s="1754"/>
      <c r="BT595" s="1754"/>
      <c r="BU595" s="1754"/>
      <c r="BW595" s="383">
        <f>IF($BE595&gt;$R$66-3+($CH$335*12),258,0)</f>
        <v>258</v>
      </c>
      <c r="BX595" s="1754">
        <f t="shared" si="273"/>
        <v>0</v>
      </c>
      <c r="BY595" s="1754"/>
      <c r="BZ595" s="1754"/>
      <c r="CA595" s="1754"/>
      <c r="CB595" s="1754">
        <f t="shared" ref="CB595:CB649" si="294">IF(BX595&lt;=CB594,BX595,IF(BW595&gt;0,IF($BW$334="R",$CH$332/(($CH$333-$X$94)*12),$CH$334/12-CE595),0))</f>
        <v>0</v>
      </c>
      <c r="CC595" s="1754"/>
      <c r="CD595" s="1754"/>
      <c r="CE595" s="1754">
        <f t="shared" si="286"/>
        <v>0</v>
      </c>
      <c r="CF595" s="1754"/>
      <c r="CG595" s="1754"/>
      <c r="CH595" s="1754">
        <f t="shared" si="287"/>
        <v>0</v>
      </c>
      <c r="CI595" s="1754"/>
      <c r="CJ595" s="1754"/>
      <c r="CK595" s="1754"/>
      <c r="CM595" s="383">
        <f>IF($BE595&gt;$R$66-3+($CX$335*12),258,0)</f>
        <v>258</v>
      </c>
      <c r="CN595" s="1754">
        <f t="shared" si="274"/>
        <v>0</v>
      </c>
      <c r="CO595" s="1754"/>
      <c r="CP595" s="1754"/>
      <c r="CQ595" s="1754"/>
      <c r="CR595" s="1754">
        <f t="shared" ref="CR595:CR649" si="295">IF(CN595&lt;=CR594,CN595,IF(CM595&gt;0,IF($CM$334="R",$CX$332/(($CX$333-$X$96)*12),$CX$334/12-CU595),0))</f>
        <v>0</v>
      </c>
      <c r="CS595" s="1754"/>
      <c r="CT595" s="1754"/>
      <c r="CU595" s="1754">
        <f t="shared" si="288"/>
        <v>0</v>
      </c>
      <c r="CV595" s="1754"/>
      <c r="CW595" s="1754"/>
      <c r="CX595" s="1754">
        <f t="shared" si="289"/>
        <v>0</v>
      </c>
      <c r="CY595" s="1754"/>
      <c r="CZ595" s="1754"/>
      <c r="DA595" s="1754"/>
      <c r="DC595" s="383">
        <f>IF($BE595&gt;$R$66-3,258,0)</f>
        <v>258</v>
      </c>
      <c r="DD595" s="1754">
        <f t="shared" si="275"/>
        <v>0</v>
      </c>
      <c r="DE595" s="1754"/>
      <c r="DF595" s="1754"/>
      <c r="DG595" s="1754"/>
      <c r="DH595" s="1754">
        <f t="shared" ref="DH595:DH649" si="296">IF($BE595&gt;0,DD595*$DE$335/(100*12),0)</f>
        <v>0</v>
      </c>
      <c r="DI595" s="1754"/>
      <c r="DJ595" s="1754"/>
      <c r="DK595" s="1754">
        <f t="shared" si="254"/>
        <v>0</v>
      </c>
      <c r="DL595" s="1754"/>
      <c r="DM595" s="1754"/>
      <c r="DN595" s="1754"/>
      <c r="DP595" s="383">
        <f t="shared" ref="DP595:DP649" si="297">DC595</f>
        <v>258</v>
      </c>
      <c r="DQ595" s="1754">
        <f t="shared" si="240"/>
        <v>0</v>
      </c>
      <c r="DR595" s="1754"/>
      <c r="DS595" s="1754"/>
      <c r="DT595" s="1754"/>
      <c r="DU595" s="1754">
        <f t="shared" si="241"/>
        <v>0</v>
      </c>
      <c r="DV595" s="1754"/>
      <c r="DW595" s="1754"/>
      <c r="DX595" s="1754">
        <f t="shared" si="248"/>
        <v>0</v>
      </c>
      <c r="DY595" s="1754"/>
      <c r="DZ595" s="1754"/>
      <c r="EA595" s="1754">
        <f t="shared" si="249"/>
        <v>0</v>
      </c>
      <c r="EB595" s="1754"/>
      <c r="EC595" s="1754"/>
      <c r="ED595" s="1754"/>
      <c r="EE595" s="384"/>
      <c r="EF595" s="1750">
        <f t="shared" si="290"/>
        <v>0</v>
      </c>
      <c r="EG595" s="1751"/>
      <c r="EH595" s="1751"/>
      <c r="EI595" s="1751"/>
      <c r="EJ595" s="1752"/>
      <c r="EL595" s="1750">
        <f t="shared" si="250"/>
        <v>0</v>
      </c>
      <c r="EM595" s="1751"/>
      <c r="EN595" s="1751"/>
      <c r="EO595" s="1751"/>
      <c r="EP595" s="1752"/>
      <c r="ER595" s="1750">
        <f t="shared" si="291"/>
        <v>0</v>
      </c>
      <c r="ES595" s="1751"/>
      <c r="ET595" s="1751"/>
      <c r="EU595" s="1751"/>
      <c r="EV595" s="1752"/>
      <c r="EX595" s="1750">
        <f>IF(BE595&gt;0,Einstrahlung!$K$20*Kalkulation!$P$62/100*$AY$29*POWER((100-$P$64)/100,BD595-1),0)</f>
        <v>0</v>
      </c>
      <c r="EY595" s="1751"/>
      <c r="EZ595" s="1751"/>
      <c r="FA595" s="1751"/>
      <c r="FB595" s="1752"/>
      <c r="FD595" s="1804">
        <f t="shared" si="280"/>
        <v>0</v>
      </c>
      <c r="FE595" s="1805"/>
      <c r="FF595" s="1805"/>
      <c r="FG595" s="1805"/>
      <c r="FH595" s="1806"/>
      <c r="FI595" s="785">
        <f t="shared" si="281"/>
        <v>1</v>
      </c>
      <c r="FJ595" s="380">
        <f t="shared" si="239"/>
        <v>0</v>
      </c>
      <c r="FK595" s="385"/>
      <c r="FL595" s="380">
        <f t="shared" si="282"/>
        <v>0</v>
      </c>
      <c r="FM595" s="385"/>
      <c r="FN595" s="380">
        <f t="shared" ref="FN595:FN649" si="298">FL595*$FN$336</f>
        <v>0</v>
      </c>
      <c r="FO595" s="962">
        <f t="shared" si="237"/>
        <v>387</v>
      </c>
      <c r="FP595" s="956">
        <f t="shared" si="292"/>
        <v>0.4</v>
      </c>
      <c r="FQ595" s="380">
        <f t="shared" si="243"/>
        <v>0</v>
      </c>
      <c r="FR595" s="626">
        <f t="shared" si="283"/>
        <v>1</v>
      </c>
      <c r="FT595" s="1819">
        <f t="shared" si="238"/>
        <v>0</v>
      </c>
      <c r="FU595" s="1820"/>
      <c r="FV595" s="1820"/>
      <c r="FW595" s="1820"/>
      <c r="FX595" s="1821"/>
      <c r="FY595" s="1819">
        <f t="shared" ref="FY595:FY649" si="299">IF(BE595=0,0,IF((FT594+FT595)/2&lt;0,(FT595+FT594)/2*$AD$239/12/100,(FT595+FT594)/2*$AD$238/12/100))</f>
        <v>0</v>
      </c>
      <c r="FZ595" s="1820"/>
      <c r="GA595" s="1820"/>
      <c r="GB595" s="1821"/>
      <c r="GC595" s="1825">
        <f t="shared" si="253"/>
        <v>0</v>
      </c>
      <c r="GD595" s="1826"/>
      <c r="GE595" s="1826"/>
      <c r="GF595" s="1827"/>
      <c r="GH595" s="1750">
        <f t="shared" ref="GH595:GH649" si="300">BL595+CB595+CR595+DU595</f>
        <v>0</v>
      </c>
      <c r="GI595" s="1751"/>
      <c r="GJ595" s="1751"/>
      <c r="GK595" s="1752"/>
      <c r="GL595" s="1750">
        <f t="shared" ref="GL595:GL649" si="301">BO595+CE595+CU595+DH595</f>
        <v>0</v>
      </c>
      <c r="GM595" s="1751"/>
      <c r="GN595" s="1751"/>
      <c r="GO595" s="1752"/>
      <c r="GP595" s="385"/>
      <c r="GQ595" s="1750">
        <f t="shared" si="284"/>
        <v>0</v>
      </c>
      <c r="GR595" s="1751"/>
      <c r="GS595" s="1751"/>
      <c r="GT595" s="1752"/>
      <c r="GU595" s="192">
        <f t="shared" si="242"/>
        <v>1</v>
      </c>
      <c r="GV595" s="192">
        <f>SUM($GU$337:GU595)</f>
        <v>251</v>
      </c>
      <c r="GW595" s="318"/>
      <c r="HP595" s="440"/>
      <c r="HQ595" s="380">
        <f t="shared" si="276"/>
        <v>0</v>
      </c>
      <c r="HX595" s="380"/>
    </row>
    <row r="596" spans="4:232">
      <c r="D596" s="409"/>
      <c r="E596" s="318"/>
      <c r="F596" s="1568"/>
      <c r="G596" s="1568"/>
      <c r="H596" s="1568"/>
      <c r="I596" s="1568">
        <f>F595</f>
        <v>0</v>
      </c>
      <c r="J596" s="1568"/>
      <c r="K596" s="1568"/>
      <c r="L596" s="1568"/>
      <c r="M596" s="1568"/>
      <c r="N596" s="1568"/>
      <c r="O596" s="1568"/>
      <c r="P596" s="1568"/>
      <c r="Q596" s="1568"/>
      <c r="R596" s="1568"/>
      <c r="S596" s="1568"/>
      <c r="T596" s="1568"/>
      <c r="U596" s="247"/>
      <c r="V596" s="1568"/>
      <c r="W596" s="1568"/>
      <c r="X596" s="1568"/>
      <c r="Y596" s="523"/>
      <c r="BD596" s="387">
        <f t="shared" si="277"/>
        <v>21</v>
      </c>
      <c r="BE596" s="382">
        <f>IF(BD596&gt;0,259,0)</f>
        <v>259</v>
      </c>
      <c r="BG596" s="383">
        <f>IF($BE596&gt;$R$66-3+($BR$335*12),259,0)</f>
        <v>259</v>
      </c>
      <c r="BH596" s="1754">
        <f t="shared" si="278"/>
        <v>0</v>
      </c>
      <c r="BI596" s="1754"/>
      <c r="BJ596" s="1754"/>
      <c r="BK596" s="1754"/>
      <c r="BL596" s="1754">
        <f t="shared" si="293"/>
        <v>0</v>
      </c>
      <c r="BM596" s="1754"/>
      <c r="BN596" s="1754"/>
      <c r="BO596" s="1754">
        <f t="shared" si="285"/>
        <v>0</v>
      </c>
      <c r="BP596" s="1754"/>
      <c r="BQ596" s="1754"/>
      <c r="BR596" s="1754">
        <f t="shared" si="279"/>
        <v>0</v>
      </c>
      <c r="BS596" s="1754"/>
      <c r="BT596" s="1754"/>
      <c r="BU596" s="1754"/>
      <c r="BW596" s="383">
        <f>IF($BE596&gt;$R$66-3+($CH$335*12),259,0)</f>
        <v>259</v>
      </c>
      <c r="BX596" s="1754">
        <f t="shared" si="273"/>
        <v>0</v>
      </c>
      <c r="BY596" s="1754"/>
      <c r="BZ596" s="1754"/>
      <c r="CA596" s="1754"/>
      <c r="CB596" s="1754">
        <f t="shared" si="294"/>
        <v>0</v>
      </c>
      <c r="CC596" s="1754"/>
      <c r="CD596" s="1754"/>
      <c r="CE596" s="1754">
        <f t="shared" si="286"/>
        <v>0</v>
      </c>
      <c r="CF596" s="1754"/>
      <c r="CG596" s="1754"/>
      <c r="CH596" s="1754">
        <f t="shared" si="287"/>
        <v>0</v>
      </c>
      <c r="CI596" s="1754"/>
      <c r="CJ596" s="1754"/>
      <c r="CK596" s="1754"/>
      <c r="CM596" s="383">
        <f>IF($BE596&gt;$R$66-3+($CX$335*12),259,0)</f>
        <v>259</v>
      </c>
      <c r="CN596" s="1754">
        <f t="shared" si="274"/>
        <v>0</v>
      </c>
      <c r="CO596" s="1754"/>
      <c r="CP596" s="1754"/>
      <c r="CQ596" s="1754"/>
      <c r="CR596" s="1754">
        <f t="shared" si="295"/>
        <v>0</v>
      </c>
      <c r="CS596" s="1754"/>
      <c r="CT596" s="1754"/>
      <c r="CU596" s="1754">
        <f t="shared" si="288"/>
        <v>0</v>
      </c>
      <c r="CV596" s="1754"/>
      <c r="CW596" s="1754"/>
      <c r="CX596" s="1754">
        <f t="shared" si="289"/>
        <v>0</v>
      </c>
      <c r="CY596" s="1754"/>
      <c r="CZ596" s="1754"/>
      <c r="DA596" s="1754"/>
      <c r="DC596" s="383">
        <f>IF($BE596&gt;$R$66-3,259,0)</f>
        <v>259</v>
      </c>
      <c r="DD596" s="1754">
        <f t="shared" si="275"/>
        <v>0</v>
      </c>
      <c r="DE596" s="1754"/>
      <c r="DF596" s="1754"/>
      <c r="DG596" s="1754"/>
      <c r="DH596" s="1754">
        <f t="shared" si="296"/>
        <v>0</v>
      </c>
      <c r="DI596" s="1754"/>
      <c r="DJ596" s="1754"/>
      <c r="DK596" s="1754">
        <f t="shared" si="254"/>
        <v>0</v>
      </c>
      <c r="DL596" s="1754"/>
      <c r="DM596" s="1754"/>
      <c r="DN596" s="1754"/>
      <c r="DP596" s="383">
        <f t="shared" si="297"/>
        <v>259</v>
      </c>
      <c r="DQ596" s="1754">
        <f t="shared" si="240"/>
        <v>0</v>
      </c>
      <c r="DR596" s="1754"/>
      <c r="DS596" s="1754"/>
      <c r="DT596" s="1754"/>
      <c r="DU596" s="1754">
        <f t="shared" si="241"/>
        <v>0</v>
      </c>
      <c r="DV596" s="1754"/>
      <c r="DW596" s="1754"/>
      <c r="DX596" s="1754">
        <f t="shared" si="248"/>
        <v>0</v>
      </c>
      <c r="DY596" s="1754"/>
      <c r="DZ596" s="1754"/>
      <c r="EA596" s="1754">
        <f t="shared" si="249"/>
        <v>0</v>
      </c>
      <c r="EB596" s="1754"/>
      <c r="EC596" s="1754"/>
      <c r="ED596" s="1754"/>
      <c r="EE596" s="384"/>
      <c r="EF596" s="1750">
        <f t="shared" si="290"/>
        <v>0</v>
      </c>
      <c r="EG596" s="1751"/>
      <c r="EH596" s="1751"/>
      <c r="EI596" s="1751"/>
      <c r="EJ596" s="1752"/>
      <c r="EL596" s="1750">
        <f t="shared" si="250"/>
        <v>0</v>
      </c>
      <c r="EM596" s="1751"/>
      <c r="EN596" s="1751"/>
      <c r="EO596" s="1751"/>
      <c r="EP596" s="1752"/>
      <c r="ER596" s="1750">
        <f t="shared" si="291"/>
        <v>0</v>
      </c>
      <c r="ES596" s="1751"/>
      <c r="ET596" s="1751"/>
      <c r="EU596" s="1751"/>
      <c r="EV596" s="1752"/>
      <c r="EX596" s="1750">
        <f>IF(BE596&gt;0,Einstrahlung!$K$22*Kalkulation!$P$62/100*$AY$29*POWER((100-$P$64)/100,BD596-1),0)</f>
        <v>0</v>
      </c>
      <c r="EY596" s="1751"/>
      <c r="EZ596" s="1751"/>
      <c r="FA596" s="1751"/>
      <c r="FB596" s="1752"/>
      <c r="FD596" s="1804">
        <f t="shared" si="280"/>
        <v>0</v>
      </c>
      <c r="FE596" s="1805"/>
      <c r="FF596" s="1805"/>
      <c r="FG596" s="1805"/>
      <c r="FH596" s="1806"/>
      <c r="FI596" s="785">
        <f t="shared" si="281"/>
        <v>1</v>
      </c>
      <c r="FJ596" s="380">
        <f t="shared" si="239"/>
        <v>0</v>
      </c>
      <c r="FK596" s="385"/>
      <c r="FL596" s="380">
        <f t="shared" si="282"/>
        <v>0</v>
      </c>
      <c r="FM596" s="385"/>
      <c r="FN596" s="380">
        <f t="shared" si="298"/>
        <v>0</v>
      </c>
      <c r="FO596" s="962">
        <f t="shared" ref="FO596:FO649" si="302">FO595+1</f>
        <v>388</v>
      </c>
      <c r="FP596" s="956">
        <f t="shared" si="292"/>
        <v>0.4</v>
      </c>
      <c r="FQ596" s="380">
        <f t="shared" si="243"/>
        <v>0</v>
      </c>
      <c r="FR596" s="626">
        <f t="shared" si="283"/>
        <v>1</v>
      </c>
      <c r="FT596" s="1819">
        <f t="shared" ref="FT596:FT649" si="303">GC595+(FD596+FQ596)-(GH596+GL596)+(EF596+EL596+ER596)</f>
        <v>0</v>
      </c>
      <c r="FU596" s="1820"/>
      <c r="FV596" s="1820"/>
      <c r="FW596" s="1820"/>
      <c r="FX596" s="1821"/>
      <c r="FY596" s="1819">
        <f t="shared" si="299"/>
        <v>0</v>
      </c>
      <c r="FZ596" s="1820"/>
      <c r="GA596" s="1820"/>
      <c r="GB596" s="1821"/>
      <c r="GC596" s="1825">
        <f t="shared" si="253"/>
        <v>0</v>
      </c>
      <c r="GD596" s="1826"/>
      <c r="GE596" s="1826"/>
      <c r="GF596" s="1827"/>
      <c r="GH596" s="1750">
        <f t="shared" si="300"/>
        <v>0</v>
      </c>
      <c r="GI596" s="1751"/>
      <c r="GJ596" s="1751"/>
      <c r="GK596" s="1752"/>
      <c r="GL596" s="1750">
        <f t="shared" si="301"/>
        <v>0</v>
      </c>
      <c r="GM596" s="1751"/>
      <c r="GN596" s="1751"/>
      <c r="GO596" s="1752"/>
      <c r="GP596" s="385"/>
      <c r="GQ596" s="1750">
        <f t="shared" si="284"/>
        <v>0</v>
      </c>
      <c r="GR596" s="1751"/>
      <c r="GS596" s="1751"/>
      <c r="GT596" s="1752"/>
      <c r="GU596" s="192">
        <f t="shared" si="242"/>
        <v>1</v>
      </c>
      <c r="GV596" s="192">
        <f>SUM($GU$337:GU596)</f>
        <v>252</v>
      </c>
      <c r="GW596" s="318"/>
      <c r="HQ596" s="380">
        <f t="shared" si="276"/>
        <v>0</v>
      </c>
      <c r="HX596" s="380"/>
    </row>
    <row r="597" spans="4:232">
      <c r="D597" s="409"/>
      <c r="E597" s="318"/>
      <c r="F597" s="1568"/>
      <c r="G597" s="1568"/>
      <c r="H597" s="1568"/>
      <c r="I597" s="1568"/>
      <c r="J597" s="1568"/>
      <c r="K597" s="1568"/>
      <c r="L597" s="1568">
        <f>F595</f>
        <v>0</v>
      </c>
      <c r="M597" s="1568"/>
      <c r="N597" s="1568"/>
      <c r="O597" s="1568"/>
      <c r="P597" s="1568"/>
      <c r="Q597" s="1568"/>
      <c r="R597" s="1568"/>
      <c r="S597" s="1568"/>
      <c r="T597" s="1568"/>
      <c r="U597" s="247"/>
      <c r="V597" s="1568"/>
      <c r="W597" s="1568"/>
      <c r="X597" s="1568"/>
      <c r="Y597" s="523"/>
      <c r="BD597" s="387">
        <f t="shared" si="277"/>
        <v>21</v>
      </c>
      <c r="BE597" s="382">
        <f>IF(BD597&gt;0,260,0)</f>
        <v>260</v>
      </c>
      <c r="BG597" s="383">
        <f>IF($BE597&gt;$R$66-3+($BR$335*12),260,0)</f>
        <v>260</v>
      </c>
      <c r="BH597" s="1754">
        <f t="shared" si="278"/>
        <v>0</v>
      </c>
      <c r="BI597" s="1754"/>
      <c r="BJ597" s="1754"/>
      <c r="BK597" s="1754"/>
      <c r="BL597" s="1754">
        <f t="shared" si="293"/>
        <v>0</v>
      </c>
      <c r="BM597" s="1754"/>
      <c r="BN597" s="1754"/>
      <c r="BO597" s="1754">
        <f t="shared" si="285"/>
        <v>0</v>
      </c>
      <c r="BP597" s="1754"/>
      <c r="BQ597" s="1754"/>
      <c r="BR597" s="1754">
        <f t="shared" si="279"/>
        <v>0</v>
      </c>
      <c r="BS597" s="1754"/>
      <c r="BT597" s="1754"/>
      <c r="BU597" s="1754"/>
      <c r="BW597" s="383">
        <f>IF($BE597&gt;$R$66-3+($CH$335*12),260,0)</f>
        <v>260</v>
      </c>
      <c r="BX597" s="1754">
        <f t="shared" si="273"/>
        <v>0</v>
      </c>
      <c r="BY597" s="1754"/>
      <c r="BZ597" s="1754"/>
      <c r="CA597" s="1754"/>
      <c r="CB597" s="1754">
        <f t="shared" si="294"/>
        <v>0</v>
      </c>
      <c r="CC597" s="1754"/>
      <c r="CD597" s="1754"/>
      <c r="CE597" s="1754">
        <f t="shared" si="286"/>
        <v>0</v>
      </c>
      <c r="CF597" s="1754"/>
      <c r="CG597" s="1754"/>
      <c r="CH597" s="1754">
        <f t="shared" si="287"/>
        <v>0</v>
      </c>
      <c r="CI597" s="1754"/>
      <c r="CJ597" s="1754"/>
      <c r="CK597" s="1754"/>
      <c r="CM597" s="383">
        <f>IF($BE597&gt;$R$66-3+($CX$335*12),260,0)</f>
        <v>260</v>
      </c>
      <c r="CN597" s="1754">
        <f t="shared" si="274"/>
        <v>0</v>
      </c>
      <c r="CO597" s="1754"/>
      <c r="CP597" s="1754"/>
      <c r="CQ597" s="1754"/>
      <c r="CR597" s="1754">
        <f t="shared" si="295"/>
        <v>0</v>
      </c>
      <c r="CS597" s="1754"/>
      <c r="CT597" s="1754"/>
      <c r="CU597" s="1754">
        <f t="shared" si="288"/>
        <v>0</v>
      </c>
      <c r="CV597" s="1754"/>
      <c r="CW597" s="1754"/>
      <c r="CX597" s="1754">
        <f t="shared" si="289"/>
        <v>0</v>
      </c>
      <c r="CY597" s="1754"/>
      <c r="CZ597" s="1754"/>
      <c r="DA597" s="1754"/>
      <c r="DC597" s="383">
        <f>IF($BE597&gt;$R$66-3,260,0)</f>
        <v>260</v>
      </c>
      <c r="DD597" s="1754">
        <f t="shared" si="275"/>
        <v>0</v>
      </c>
      <c r="DE597" s="1754"/>
      <c r="DF597" s="1754"/>
      <c r="DG597" s="1754"/>
      <c r="DH597" s="1754">
        <f t="shared" si="296"/>
        <v>0</v>
      </c>
      <c r="DI597" s="1754"/>
      <c r="DJ597" s="1754"/>
      <c r="DK597" s="1754">
        <f t="shared" si="254"/>
        <v>0</v>
      </c>
      <c r="DL597" s="1754"/>
      <c r="DM597" s="1754"/>
      <c r="DN597" s="1754"/>
      <c r="DP597" s="383">
        <f t="shared" si="297"/>
        <v>260</v>
      </c>
      <c r="DQ597" s="1754">
        <f t="shared" si="240"/>
        <v>0</v>
      </c>
      <c r="DR597" s="1754"/>
      <c r="DS597" s="1754"/>
      <c r="DT597" s="1754"/>
      <c r="DU597" s="1754">
        <f t="shared" si="241"/>
        <v>0</v>
      </c>
      <c r="DV597" s="1754"/>
      <c r="DW597" s="1754"/>
      <c r="DX597" s="1754">
        <f t="shared" si="248"/>
        <v>0</v>
      </c>
      <c r="DY597" s="1754"/>
      <c r="DZ597" s="1754"/>
      <c r="EA597" s="1754">
        <f t="shared" si="249"/>
        <v>0</v>
      </c>
      <c r="EB597" s="1754"/>
      <c r="EC597" s="1754"/>
      <c r="ED597" s="1754"/>
      <c r="EE597" s="384"/>
      <c r="EF597" s="1750">
        <f t="shared" si="290"/>
        <v>0</v>
      </c>
      <c r="EG597" s="1751"/>
      <c r="EH597" s="1751"/>
      <c r="EI597" s="1751"/>
      <c r="EJ597" s="1752"/>
      <c r="EL597" s="1750">
        <f t="shared" si="250"/>
        <v>0</v>
      </c>
      <c r="EM597" s="1751"/>
      <c r="EN597" s="1751"/>
      <c r="EO597" s="1751"/>
      <c r="EP597" s="1752"/>
      <c r="ER597" s="1750">
        <f t="shared" si="291"/>
        <v>0</v>
      </c>
      <c r="ES597" s="1751"/>
      <c r="ET597" s="1751"/>
      <c r="EU597" s="1751"/>
      <c r="EV597" s="1752"/>
      <c r="EX597" s="1750">
        <f>IF(BE597&gt;0,Einstrahlung!$K$24*Kalkulation!$P$62/100*$AY$29*POWER((100-$P$64)/100,BD597-1),0)</f>
        <v>0</v>
      </c>
      <c r="EY597" s="1751"/>
      <c r="EZ597" s="1751"/>
      <c r="FA597" s="1751"/>
      <c r="FB597" s="1752"/>
      <c r="FD597" s="1804">
        <f t="shared" si="280"/>
        <v>0</v>
      </c>
      <c r="FE597" s="1805"/>
      <c r="FF597" s="1805"/>
      <c r="FG597" s="1805"/>
      <c r="FH597" s="1806"/>
      <c r="FI597" s="785">
        <f t="shared" si="281"/>
        <v>1</v>
      </c>
      <c r="FJ597" s="380">
        <f t="shared" si="239"/>
        <v>0</v>
      </c>
      <c r="FK597" s="385"/>
      <c r="FL597" s="380">
        <f t="shared" si="282"/>
        <v>0</v>
      </c>
      <c r="FM597" s="385"/>
      <c r="FN597" s="380">
        <f t="shared" si="298"/>
        <v>0</v>
      </c>
      <c r="FO597" s="962">
        <f t="shared" si="302"/>
        <v>389</v>
      </c>
      <c r="FP597" s="956">
        <f t="shared" si="292"/>
        <v>0.4</v>
      </c>
      <c r="FQ597" s="380">
        <f t="shared" si="243"/>
        <v>0</v>
      </c>
      <c r="FR597" s="626">
        <f t="shared" si="283"/>
        <v>1</v>
      </c>
      <c r="FT597" s="1819">
        <f t="shared" si="303"/>
        <v>0</v>
      </c>
      <c r="FU597" s="1820"/>
      <c r="FV597" s="1820"/>
      <c r="FW597" s="1820"/>
      <c r="FX597" s="1821"/>
      <c r="FY597" s="1819">
        <f t="shared" si="299"/>
        <v>0</v>
      </c>
      <c r="FZ597" s="1820"/>
      <c r="GA597" s="1820"/>
      <c r="GB597" s="1821"/>
      <c r="GC597" s="1825">
        <f t="shared" si="253"/>
        <v>0</v>
      </c>
      <c r="GD597" s="1826"/>
      <c r="GE597" s="1826"/>
      <c r="GF597" s="1827"/>
      <c r="GH597" s="1750">
        <f t="shared" si="300"/>
        <v>0</v>
      </c>
      <c r="GI597" s="1751"/>
      <c r="GJ597" s="1751"/>
      <c r="GK597" s="1752"/>
      <c r="GL597" s="1750">
        <f t="shared" si="301"/>
        <v>0</v>
      </c>
      <c r="GM597" s="1751"/>
      <c r="GN597" s="1751"/>
      <c r="GO597" s="1752"/>
      <c r="GP597" s="385"/>
      <c r="GQ597" s="1750">
        <f t="shared" si="284"/>
        <v>0</v>
      </c>
      <c r="GR597" s="1751"/>
      <c r="GS597" s="1751"/>
      <c r="GT597" s="1752"/>
      <c r="GU597" s="192">
        <f t="shared" si="242"/>
        <v>1</v>
      </c>
      <c r="GV597" s="192">
        <f>SUM($GU$337:GU597)</f>
        <v>253</v>
      </c>
      <c r="GW597" s="318"/>
      <c r="HQ597" s="380">
        <f t="shared" si="276"/>
        <v>0</v>
      </c>
      <c r="HX597" s="380"/>
    </row>
    <row r="598" spans="4:232">
      <c r="D598" s="409"/>
      <c r="E598" s="318"/>
      <c r="F598" s="1568"/>
      <c r="G598" s="1568"/>
      <c r="H598" s="1568"/>
      <c r="I598" s="1568"/>
      <c r="J598" s="1568"/>
      <c r="K598" s="1568"/>
      <c r="L598" s="1568"/>
      <c r="M598" s="1568"/>
      <c r="N598" s="1568"/>
      <c r="O598" s="1568">
        <f>V598</f>
        <v>0</v>
      </c>
      <c r="P598" s="1568"/>
      <c r="Q598" s="1568"/>
      <c r="R598" s="1568"/>
      <c r="S598" s="1568"/>
      <c r="T598" s="1568"/>
      <c r="U598" s="247"/>
      <c r="V598" s="1568">
        <f>IF(D257&gt;0,V593+(G257+J257)-(O257+Q257+S257+T257+V257)+Y257,0)</f>
        <v>0</v>
      </c>
      <c r="W598" s="1568"/>
      <c r="X598" s="1568"/>
      <c r="Y598" s="523">
        <f>IF(D257&gt;0,IF(V598&gt;0,0,1),0)</f>
        <v>1</v>
      </c>
      <c r="BD598" s="387">
        <f t="shared" si="277"/>
        <v>21</v>
      </c>
      <c r="BE598" s="382">
        <f>IF(BD598&gt;0,261,0)</f>
        <v>261</v>
      </c>
      <c r="BG598" s="383">
        <f>IF($BE598&gt;$R$66-3+($BR$335*12),261,0)</f>
        <v>261</v>
      </c>
      <c r="BH598" s="1754">
        <f t="shared" si="278"/>
        <v>0</v>
      </c>
      <c r="BI598" s="1754"/>
      <c r="BJ598" s="1754"/>
      <c r="BK598" s="1754"/>
      <c r="BL598" s="1754">
        <f t="shared" si="293"/>
        <v>0</v>
      </c>
      <c r="BM598" s="1754"/>
      <c r="BN598" s="1754"/>
      <c r="BO598" s="1754">
        <f t="shared" si="285"/>
        <v>0</v>
      </c>
      <c r="BP598" s="1754"/>
      <c r="BQ598" s="1754"/>
      <c r="BR598" s="1754">
        <f t="shared" si="279"/>
        <v>0</v>
      </c>
      <c r="BS598" s="1754"/>
      <c r="BT598" s="1754"/>
      <c r="BU598" s="1754"/>
      <c r="BW598" s="383">
        <f>IF($BE598&gt;$R$66-3+($CH$335*12),261,0)</f>
        <v>261</v>
      </c>
      <c r="BX598" s="1754">
        <f t="shared" si="273"/>
        <v>0</v>
      </c>
      <c r="BY598" s="1754"/>
      <c r="BZ598" s="1754"/>
      <c r="CA598" s="1754"/>
      <c r="CB598" s="1754">
        <f t="shared" si="294"/>
        <v>0</v>
      </c>
      <c r="CC598" s="1754"/>
      <c r="CD598" s="1754"/>
      <c r="CE598" s="1754">
        <f t="shared" si="286"/>
        <v>0</v>
      </c>
      <c r="CF598" s="1754"/>
      <c r="CG598" s="1754"/>
      <c r="CH598" s="1754">
        <f t="shared" si="287"/>
        <v>0</v>
      </c>
      <c r="CI598" s="1754"/>
      <c r="CJ598" s="1754"/>
      <c r="CK598" s="1754"/>
      <c r="CM598" s="383">
        <f>IF($BE598&gt;$R$66-3+($CX$335*12),261,0)</f>
        <v>261</v>
      </c>
      <c r="CN598" s="1754">
        <f t="shared" si="274"/>
        <v>0</v>
      </c>
      <c r="CO598" s="1754"/>
      <c r="CP598" s="1754"/>
      <c r="CQ598" s="1754"/>
      <c r="CR598" s="1754">
        <f t="shared" si="295"/>
        <v>0</v>
      </c>
      <c r="CS598" s="1754"/>
      <c r="CT598" s="1754"/>
      <c r="CU598" s="1754">
        <f t="shared" si="288"/>
        <v>0</v>
      </c>
      <c r="CV598" s="1754"/>
      <c r="CW598" s="1754"/>
      <c r="CX598" s="1754">
        <f t="shared" si="289"/>
        <v>0</v>
      </c>
      <c r="CY598" s="1754"/>
      <c r="CZ598" s="1754"/>
      <c r="DA598" s="1754"/>
      <c r="DC598" s="383">
        <f>IF($BE598&gt;$R$66-3,261,0)</f>
        <v>261</v>
      </c>
      <c r="DD598" s="1754">
        <f t="shared" si="275"/>
        <v>0</v>
      </c>
      <c r="DE598" s="1754"/>
      <c r="DF598" s="1754"/>
      <c r="DG598" s="1754"/>
      <c r="DH598" s="1754">
        <f t="shared" si="296"/>
        <v>0</v>
      </c>
      <c r="DI598" s="1754"/>
      <c r="DJ598" s="1754"/>
      <c r="DK598" s="1754">
        <f t="shared" si="254"/>
        <v>0</v>
      </c>
      <c r="DL598" s="1754"/>
      <c r="DM598" s="1754"/>
      <c r="DN598" s="1754"/>
      <c r="DP598" s="383">
        <f t="shared" si="297"/>
        <v>261</v>
      </c>
      <c r="DQ598" s="1754">
        <f t="shared" si="240"/>
        <v>0</v>
      </c>
      <c r="DR598" s="1754"/>
      <c r="DS598" s="1754"/>
      <c r="DT598" s="1754"/>
      <c r="DU598" s="1754">
        <f t="shared" si="241"/>
        <v>0</v>
      </c>
      <c r="DV598" s="1754"/>
      <c r="DW598" s="1754"/>
      <c r="DX598" s="1754">
        <f t="shared" si="248"/>
        <v>0</v>
      </c>
      <c r="DY598" s="1754"/>
      <c r="DZ598" s="1754"/>
      <c r="EA598" s="1754">
        <f t="shared" si="249"/>
        <v>0</v>
      </c>
      <c r="EB598" s="1754"/>
      <c r="EC598" s="1754"/>
      <c r="ED598" s="1754"/>
      <c r="EE598" s="384"/>
      <c r="EF598" s="1750">
        <f t="shared" si="290"/>
        <v>0</v>
      </c>
      <c r="EG598" s="1751"/>
      <c r="EH598" s="1751"/>
      <c r="EI598" s="1751"/>
      <c r="EJ598" s="1752"/>
      <c r="EL598" s="1750">
        <f t="shared" si="250"/>
        <v>0</v>
      </c>
      <c r="EM598" s="1751"/>
      <c r="EN598" s="1751"/>
      <c r="EO598" s="1751"/>
      <c r="EP598" s="1752"/>
      <c r="ER598" s="1750">
        <f t="shared" si="291"/>
        <v>0</v>
      </c>
      <c r="ES598" s="1751"/>
      <c r="ET598" s="1751"/>
      <c r="EU598" s="1751"/>
      <c r="EV598" s="1752"/>
      <c r="EX598" s="1750">
        <f>IF(BE598&gt;0,Einstrahlung!$K$26*Kalkulation!$P$62/100*$AY$29*POWER((100-$P$64)/100,BD598-1),0)</f>
        <v>0</v>
      </c>
      <c r="EY598" s="1751"/>
      <c r="EZ598" s="1751"/>
      <c r="FA598" s="1751"/>
      <c r="FB598" s="1752"/>
      <c r="FD598" s="1804">
        <f t="shared" si="280"/>
        <v>0</v>
      </c>
      <c r="FE598" s="1805"/>
      <c r="FF598" s="1805"/>
      <c r="FG598" s="1805"/>
      <c r="FH598" s="1806"/>
      <c r="FI598" s="785">
        <f t="shared" si="281"/>
        <v>1</v>
      </c>
      <c r="FJ598" s="380">
        <f t="shared" ref="FJ598:FJ649" si="304">EX598-FL598</f>
        <v>0</v>
      </c>
      <c r="FK598" s="385"/>
      <c r="FL598" s="380">
        <f t="shared" si="282"/>
        <v>0</v>
      </c>
      <c r="FM598" s="385"/>
      <c r="FN598" s="380">
        <f t="shared" si="298"/>
        <v>0</v>
      </c>
      <c r="FO598" s="962">
        <f t="shared" si="302"/>
        <v>390</v>
      </c>
      <c r="FP598" s="956">
        <f t="shared" si="292"/>
        <v>0.4</v>
      </c>
      <c r="FQ598" s="380">
        <f t="shared" si="243"/>
        <v>0</v>
      </c>
      <c r="FR598" s="626">
        <f t="shared" si="283"/>
        <v>1</v>
      </c>
      <c r="FT598" s="1819">
        <f t="shared" si="303"/>
        <v>0</v>
      </c>
      <c r="FU598" s="1820"/>
      <c r="FV598" s="1820"/>
      <c r="FW598" s="1820"/>
      <c r="FX598" s="1821"/>
      <c r="FY598" s="1819">
        <f t="shared" si="299"/>
        <v>0</v>
      </c>
      <c r="FZ598" s="1820"/>
      <c r="GA598" s="1820"/>
      <c r="GB598" s="1821"/>
      <c r="GC598" s="1825">
        <f t="shared" si="253"/>
        <v>0</v>
      </c>
      <c r="GD598" s="1826"/>
      <c r="GE598" s="1826"/>
      <c r="GF598" s="1827"/>
      <c r="GH598" s="1750">
        <f t="shared" si="300"/>
        <v>0</v>
      </c>
      <c r="GI598" s="1751"/>
      <c r="GJ598" s="1751"/>
      <c r="GK598" s="1752"/>
      <c r="GL598" s="1750">
        <f t="shared" si="301"/>
        <v>0</v>
      </c>
      <c r="GM598" s="1751"/>
      <c r="GN598" s="1751"/>
      <c r="GO598" s="1752"/>
      <c r="GP598" s="385"/>
      <c r="GQ598" s="1750">
        <f t="shared" si="284"/>
        <v>0</v>
      </c>
      <c r="GR598" s="1751"/>
      <c r="GS598" s="1751"/>
      <c r="GT598" s="1752"/>
      <c r="GU598" s="192">
        <f t="shared" si="242"/>
        <v>1</v>
      </c>
      <c r="GV598" s="192">
        <f>SUM($GU$337:GU598)</f>
        <v>254</v>
      </c>
      <c r="GW598" s="318"/>
      <c r="HQ598" s="380">
        <f t="shared" si="276"/>
        <v>0</v>
      </c>
      <c r="HX598" s="380"/>
    </row>
    <row r="599" spans="4:232">
      <c r="D599" s="409"/>
      <c r="E599" s="318"/>
      <c r="F599" s="1568"/>
      <c r="G599" s="1568"/>
      <c r="H599" s="1568"/>
      <c r="I599" s="1568"/>
      <c r="J599" s="1568"/>
      <c r="K599" s="1568"/>
      <c r="L599" s="1568"/>
      <c r="M599" s="1568"/>
      <c r="N599" s="1568"/>
      <c r="O599" s="1568"/>
      <c r="P599" s="1568"/>
      <c r="Q599" s="1568"/>
      <c r="R599" s="1568"/>
      <c r="S599" s="1568"/>
      <c r="T599" s="1568"/>
      <c r="U599" s="247"/>
      <c r="V599" s="1568"/>
      <c r="W599" s="1568"/>
      <c r="X599" s="1568"/>
      <c r="Y599" s="523"/>
      <c r="BD599" s="387">
        <f t="shared" si="277"/>
        <v>21</v>
      </c>
      <c r="BE599" s="382">
        <f>IF(BD599&gt;0,262,0)</f>
        <v>262</v>
      </c>
      <c r="BG599" s="383">
        <f>IF($BE599&gt;$R$66-3+($BR$335*12),262,0)</f>
        <v>262</v>
      </c>
      <c r="BH599" s="1754">
        <f t="shared" si="278"/>
        <v>0</v>
      </c>
      <c r="BI599" s="1754"/>
      <c r="BJ599" s="1754"/>
      <c r="BK599" s="1754"/>
      <c r="BL599" s="1754">
        <f t="shared" si="293"/>
        <v>0</v>
      </c>
      <c r="BM599" s="1754"/>
      <c r="BN599" s="1754"/>
      <c r="BO599" s="1754">
        <f t="shared" si="285"/>
        <v>0</v>
      </c>
      <c r="BP599" s="1754"/>
      <c r="BQ599" s="1754"/>
      <c r="BR599" s="1754">
        <f t="shared" si="279"/>
        <v>0</v>
      </c>
      <c r="BS599" s="1754"/>
      <c r="BT599" s="1754"/>
      <c r="BU599" s="1754"/>
      <c r="BW599" s="383">
        <f>IF($BE599&gt;$R$66-3+($CH$335*12),262,0)</f>
        <v>262</v>
      </c>
      <c r="BX599" s="1754">
        <f t="shared" si="273"/>
        <v>0</v>
      </c>
      <c r="BY599" s="1754"/>
      <c r="BZ599" s="1754"/>
      <c r="CA599" s="1754"/>
      <c r="CB599" s="1754">
        <f t="shared" si="294"/>
        <v>0</v>
      </c>
      <c r="CC599" s="1754"/>
      <c r="CD599" s="1754"/>
      <c r="CE599" s="1754">
        <f t="shared" si="286"/>
        <v>0</v>
      </c>
      <c r="CF599" s="1754"/>
      <c r="CG599" s="1754"/>
      <c r="CH599" s="1754">
        <f t="shared" si="287"/>
        <v>0</v>
      </c>
      <c r="CI599" s="1754"/>
      <c r="CJ599" s="1754"/>
      <c r="CK599" s="1754"/>
      <c r="CM599" s="383">
        <f>IF($BE599&gt;$R$66-3+($CX$335*12),262,0)</f>
        <v>262</v>
      </c>
      <c r="CN599" s="1754">
        <f t="shared" si="274"/>
        <v>0</v>
      </c>
      <c r="CO599" s="1754"/>
      <c r="CP599" s="1754"/>
      <c r="CQ599" s="1754"/>
      <c r="CR599" s="1754">
        <f t="shared" si="295"/>
        <v>0</v>
      </c>
      <c r="CS599" s="1754"/>
      <c r="CT599" s="1754"/>
      <c r="CU599" s="1754">
        <f t="shared" si="288"/>
        <v>0</v>
      </c>
      <c r="CV599" s="1754"/>
      <c r="CW599" s="1754"/>
      <c r="CX599" s="1754">
        <f t="shared" si="289"/>
        <v>0</v>
      </c>
      <c r="CY599" s="1754"/>
      <c r="CZ599" s="1754"/>
      <c r="DA599" s="1754"/>
      <c r="DC599" s="383">
        <f>IF($BE599&gt;$R$66-3,262,0)</f>
        <v>262</v>
      </c>
      <c r="DD599" s="1754">
        <f t="shared" si="275"/>
        <v>0</v>
      </c>
      <c r="DE599" s="1754"/>
      <c r="DF599" s="1754"/>
      <c r="DG599" s="1754"/>
      <c r="DH599" s="1754">
        <f t="shared" si="296"/>
        <v>0</v>
      </c>
      <c r="DI599" s="1754"/>
      <c r="DJ599" s="1754"/>
      <c r="DK599" s="1754">
        <f t="shared" si="254"/>
        <v>0</v>
      </c>
      <c r="DL599" s="1754"/>
      <c r="DM599" s="1754"/>
      <c r="DN599" s="1754"/>
      <c r="DP599" s="383">
        <f t="shared" si="297"/>
        <v>262</v>
      </c>
      <c r="DQ599" s="1754">
        <f t="shared" si="240"/>
        <v>0</v>
      </c>
      <c r="DR599" s="1754"/>
      <c r="DS599" s="1754"/>
      <c r="DT599" s="1754"/>
      <c r="DU599" s="1754">
        <f t="shared" si="241"/>
        <v>0</v>
      </c>
      <c r="DV599" s="1754"/>
      <c r="DW599" s="1754"/>
      <c r="DX599" s="1754">
        <f t="shared" si="248"/>
        <v>0</v>
      </c>
      <c r="DY599" s="1754"/>
      <c r="DZ599" s="1754"/>
      <c r="EA599" s="1754">
        <f t="shared" si="249"/>
        <v>0</v>
      </c>
      <c r="EB599" s="1754"/>
      <c r="EC599" s="1754"/>
      <c r="ED599" s="1754"/>
      <c r="EE599" s="384"/>
      <c r="EF599" s="1750">
        <f t="shared" si="290"/>
        <v>0</v>
      </c>
      <c r="EG599" s="1751"/>
      <c r="EH599" s="1751"/>
      <c r="EI599" s="1751"/>
      <c r="EJ599" s="1752"/>
      <c r="EL599" s="1750">
        <f t="shared" si="250"/>
        <v>0</v>
      </c>
      <c r="EM599" s="1751"/>
      <c r="EN599" s="1751"/>
      <c r="EO599" s="1751"/>
      <c r="EP599" s="1752"/>
      <c r="ER599" s="1750">
        <f t="shared" si="291"/>
        <v>0</v>
      </c>
      <c r="ES599" s="1751"/>
      <c r="ET599" s="1751"/>
      <c r="EU599" s="1751"/>
      <c r="EV599" s="1752"/>
      <c r="EX599" s="1750">
        <f>IF(BE599&gt;0,Einstrahlung!$K$28*Kalkulation!$P$62/100*$AY$29*POWER((100-$P$64)/100,BD599-1),0)</f>
        <v>0</v>
      </c>
      <c r="EY599" s="1751"/>
      <c r="EZ599" s="1751"/>
      <c r="FA599" s="1751"/>
      <c r="FB599" s="1752"/>
      <c r="FD599" s="1804">
        <f t="shared" si="280"/>
        <v>0</v>
      </c>
      <c r="FE599" s="1805"/>
      <c r="FF599" s="1805"/>
      <c r="FG599" s="1805"/>
      <c r="FH599" s="1806"/>
      <c r="FI599" s="785">
        <f t="shared" si="281"/>
        <v>1</v>
      </c>
      <c r="FJ599" s="380">
        <f t="shared" si="304"/>
        <v>0</v>
      </c>
      <c r="FK599" s="385"/>
      <c r="FL599" s="380">
        <f t="shared" si="282"/>
        <v>0</v>
      </c>
      <c r="FM599" s="385"/>
      <c r="FN599" s="380">
        <f t="shared" si="298"/>
        <v>0</v>
      </c>
      <c r="FO599" s="962">
        <f t="shared" si="302"/>
        <v>391</v>
      </c>
      <c r="FP599" s="956">
        <f t="shared" si="292"/>
        <v>0.4</v>
      </c>
      <c r="FQ599" s="380">
        <f t="shared" si="243"/>
        <v>0</v>
      </c>
      <c r="FR599" s="626">
        <f t="shared" si="283"/>
        <v>1</v>
      </c>
      <c r="FT599" s="1819">
        <f t="shared" si="303"/>
        <v>0</v>
      </c>
      <c r="FU599" s="1820"/>
      <c r="FV599" s="1820"/>
      <c r="FW599" s="1820"/>
      <c r="FX599" s="1821"/>
      <c r="FY599" s="1819">
        <f t="shared" si="299"/>
        <v>0</v>
      </c>
      <c r="FZ599" s="1820"/>
      <c r="GA599" s="1820"/>
      <c r="GB599" s="1821"/>
      <c r="GC599" s="1825">
        <f t="shared" si="253"/>
        <v>0</v>
      </c>
      <c r="GD599" s="1826"/>
      <c r="GE599" s="1826"/>
      <c r="GF599" s="1827"/>
      <c r="GH599" s="1750">
        <f t="shared" si="300"/>
        <v>0</v>
      </c>
      <c r="GI599" s="1751"/>
      <c r="GJ599" s="1751"/>
      <c r="GK599" s="1752"/>
      <c r="GL599" s="1750">
        <f t="shared" si="301"/>
        <v>0</v>
      </c>
      <c r="GM599" s="1751"/>
      <c r="GN599" s="1751"/>
      <c r="GO599" s="1752"/>
      <c r="GP599" s="385"/>
      <c r="GQ599" s="1750">
        <f t="shared" si="284"/>
        <v>0</v>
      </c>
      <c r="GR599" s="1751"/>
      <c r="GS599" s="1751"/>
      <c r="GT599" s="1752"/>
      <c r="GU599" s="192">
        <f t="shared" si="242"/>
        <v>1</v>
      </c>
      <c r="GV599" s="192">
        <f>SUM($GU$337:GU599)</f>
        <v>255</v>
      </c>
      <c r="GW599" s="318"/>
      <c r="HQ599" s="380">
        <f t="shared" si="276"/>
        <v>0</v>
      </c>
      <c r="HX599" s="380"/>
    </row>
    <row r="600" spans="4:232">
      <c r="D600" s="409">
        <v>7</v>
      </c>
      <c r="E600" s="318"/>
      <c r="F600" s="1568">
        <f>AH259</f>
        <v>0</v>
      </c>
      <c r="G600" s="1568"/>
      <c r="H600" s="1568"/>
      <c r="I600" s="1568"/>
      <c r="J600" s="1568"/>
      <c r="K600" s="1568"/>
      <c r="L600" s="1568"/>
      <c r="M600" s="1568"/>
      <c r="N600" s="1568"/>
      <c r="O600" s="1568"/>
      <c r="P600" s="1568"/>
      <c r="Q600" s="1568"/>
      <c r="R600" s="1568"/>
      <c r="S600" s="1568"/>
      <c r="T600" s="1568"/>
      <c r="U600" s="247"/>
      <c r="V600" s="1568"/>
      <c r="W600" s="1568"/>
      <c r="X600" s="1568"/>
      <c r="Y600" s="523"/>
      <c r="BD600" s="387">
        <f t="shared" si="277"/>
        <v>21</v>
      </c>
      <c r="BE600" s="382">
        <f>IF(BD600&gt;0,263,0)</f>
        <v>263</v>
      </c>
      <c r="BG600" s="383">
        <f>IF($BE600&gt;$R$66-3+($BR$335*12),263,0)</f>
        <v>263</v>
      </c>
      <c r="BH600" s="1754">
        <f t="shared" si="278"/>
        <v>0</v>
      </c>
      <c r="BI600" s="1754"/>
      <c r="BJ600" s="1754"/>
      <c r="BK600" s="1754"/>
      <c r="BL600" s="1754">
        <f t="shared" si="293"/>
        <v>0</v>
      </c>
      <c r="BM600" s="1754"/>
      <c r="BN600" s="1754"/>
      <c r="BO600" s="1754">
        <f t="shared" si="285"/>
        <v>0</v>
      </c>
      <c r="BP600" s="1754"/>
      <c r="BQ600" s="1754"/>
      <c r="BR600" s="1754">
        <f t="shared" si="279"/>
        <v>0</v>
      </c>
      <c r="BS600" s="1754"/>
      <c r="BT600" s="1754"/>
      <c r="BU600" s="1754"/>
      <c r="BW600" s="383">
        <f>IF($BE600&gt;$R$66-3+($CH$335*12),263,0)</f>
        <v>263</v>
      </c>
      <c r="BX600" s="1754">
        <f t="shared" si="273"/>
        <v>0</v>
      </c>
      <c r="BY600" s="1754"/>
      <c r="BZ600" s="1754"/>
      <c r="CA600" s="1754"/>
      <c r="CB600" s="1754">
        <f t="shared" si="294"/>
        <v>0</v>
      </c>
      <c r="CC600" s="1754"/>
      <c r="CD600" s="1754"/>
      <c r="CE600" s="1754">
        <f t="shared" si="286"/>
        <v>0</v>
      </c>
      <c r="CF600" s="1754"/>
      <c r="CG600" s="1754"/>
      <c r="CH600" s="1754">
        <f t="shared" si="287"/>
        <v>0</v>
      </c>
      <c r="CI600" s="1754"/>
      <c r="CJ600" s="1754"/>
      <c r="CK600" s="1754"/>
      <c r="CM600" s="383">
        <f>IF($BE600&gt;$R$66-3+($CX$335*12),263,0)</f>
        <v>263</v>
      </c>
      <c r="CN600" s="1754">
        <f t="shared" si="274"/>
        <v>0</v>
      </c>
      <c r="CO600" s="1754"/>
      <c r="CP600" s="1754"/>
      <c r="CQ600" s="1754"/>
      <c r="CR600" s="1754">
        <f t="shared" si="295"/>
        <v>0</v>
      </c>
      <c r="CS600" s="1754"/>
      <c r="CT600" s="1754"/>
      <c r="CU600" s="1754">
        <f t="shared" si="288"/>
        <v>0</v>
      </c>
      <c r="CV600" s="1754"/>
      <c r="CW600" s="1754"/>
      <c r="CX600" s="1754">
        <f t="shared" si="289"/>
        <v>0</v>
      </c>
      <c r="CY600" s="1754"/>
      <c r="CZ600" s="1754"/>
      <c r="DA600" s="1754"/>
      <c r="DC600" s="383">
        <f>IF($BE600&gt;$R$66-3,263,0)</f>
        <v>263</v>
      </c>
      <c r="DD600" s="1754">
        <f t="shared" si="275"/>
        <v>0</v>
      </c>
      <c r="DE600" s="1754"/>
      <c r="DF600" s="1754"/>
      <c r="DG600" s="1754"/>
      <c r="DH600" s="1754">
        <f t="shared" si="296"/>
        <v>0</v>
      </c>
      <c r="DI600" s="1754"/>
      <c r="DJ600" s="1754"/>
      <c r="DK600" s="1754">
        <f t="shared" si="254"/>
        <v>0</v>
      </c>
      <c r="DL600" s="1754"/>
      <c r="DM600" s="1754"/>
      <c r="DN600" s="1754"/>
      <c r="DP600" s="383">
        <f t="shared" si="297"/>
        <v>263</v>
      </c>
      <c r="DQ600" s="1754">
        <f t="shared" ref="DQ600:DQ649" si="305">IF(DD600=0,0,IF(EA599&lt;=0,0,EA599))</f>
        <v>0</v>
      </c>
      <c r="DR600" s="1754"/>
      <c r="DS600" s="1754"/>
      <c r="DT600" s="1754"/>
      <c r="DU600" s="1754">
        <f t="shared" ref="DU600:DU649" si="306">IF(DD600=0,0,IF($BE600&gt;0,($DK$332*$DM$335/100)/12-DH600,0))</f>
        <v>0</v>
      </c>
      <c r="DV600" s="1754"/>
      <c r="DW600" s="1754"/>
      <c r="DX600" s="1754">
        <f t="shared" si="248"/>
        <v>0</v>
      </c>
      <c r="DY600" s="1754"/>
      <c r="DZ600" s="1754"/>
      <c r="EA600" s="1754">
        <f t="shared" si="249"/>
        <v>0</v>
      </c>
      <c r="EB600" s="1754"/>
      <c r="EC600" s="1754"/>
      <c r="ED600" s="1754"/>
      <c r="EE600" s="384"/>
      <c r="EF600" s="1750">
        <f t="shared" si="290"/>
        <v>0</v>
      </c>
      <c r="EG600" s="1751"/>
      <c r="EH600" s="1751"/>
      <c r="EI600" s="1751"/>
      <c r="EJ600" s="1752"/>
      <c r="EL600" s="1750">
        <f t="shared" si="250"/>
        <v>0</v>
      </c>
      <c r="EM600" s="1751"/>
      <c r="EN600" s="1751"/>
      <c r="EO600" s="1751"/>
      <c r="EP600" s="1752"/>
      <c r="ER600" s="1750">
        <f t="shared" si="291"/>
        <v>0</v>
      </c>
      <c r="ES600" s="1751"/>
      <c r="ET600" s="1751"/>
      <c r="EU600" s="1751"/>
      <c r="EV600" s="1752"/>
      <c r="EX600" s="1750">
        <f>IF(BE600&gt;0,Einstrahlung!$K$30*Kalkulation!$P$62/100*$AY$29*POWER((100-$P$64)/100,BD600-1),0)</f>
        <v>0</v>
      </c>
      <c r="EY600" s="1751"/>
      <c r="EZ600" s="1751"/>
      <c r="FA600" s="1751"/>
      <c r="FB600" s="1752"/>
      <c r="FD600" s="1804">
        <f t="shared" si="280"/>
        <v>0</v>
      </c>
      <c r="FE600" s="1805"/>
      <c r="FF600" s="1805"/>
      <c r="FG600" s="1805"/>
      <c r="FH600" s="1806"/>
      <c r="FI600" s="785">
        <f t="shared" si="281"/>
        <v>1</v>
      </c>
      <c r="FJ600" s="380">
        <f t="shared" si="304"/>
        <v>0</v>
      </c>
      <c r="FK600" s="385"/>
      <c r="FL600" s="380">
        <f t="shared" si="282"/>
        <v>0</v>
      </c>
      <c r="FM600" s="385"/>
      <c r="FN600" s="380">
        <f t="shared" si="298"/>
        <v>0</v>
      </c>
      <c r="FO600" s="962">
        <f t="shared" si="302"/>
        <v>392</v>
      </c>
      <c r="FP600" s="956">
        <f t="shared" si="292"/>
        <v>0.4</v>
      </c>
      <c r="FQ600" s="380">
        <f t="shared" si="243"/>
        <v>0</v>
      </c>
      <c r="FR600" s="626">
        <f t="shared" si="283"/>
        <v>1</v>
      </c>
      <c r="FT600" s="1819">
        <f t="shared" si="303"/>
        <v>0</v>
      </c>
      <c r="FU600" s="1820"/>
      <c r="FV600" s="1820"/>
      <c r="FW600" s="1820"/>
      <c r="FX600" s="1821"/>
      <c r="FY600" s="1819">
        <f t="shared" si="299"/>
        <v>0</v>
      </c>
      <c r="FZ600" s="1820"/>
      <c r="GA600" s="1820"/>
      <c r="GB600" s="1821"/>
      <c r="GC600" s="1825">
        <f t="shared" si="253"/>
        <v>0</v>
      </c>
      <c r="GD600" s="1826"/>
      <c r="GE600" s="1826"/>
      <c r="GF600" s="1827"/>
      <c r="GH600" s="1750">
        <f t="shared" si="300"/>
        <v>0</v>
      </c>
      <c r="GI600" s="1751"/>
      <c r="GJ600" s="1751"/>
      <c r="GK600" s="1752"/>
      <c r="GL600" s="1750">
        <f t="shared" si="301"/>
        <v>0</v>
      </c>
      <c r="GM600" s="1751"/>
      <c r="GN600" s="1751"/>
      <c r="GO600" s="1752"/>
      <c r="GP600" s="385"/>
      <c r="GQ600" s="1750">
        <f t="shared" si="284"/>
        <v>0</v>
      </c>
      <c r="GR600" s="1751"/>
      <c r="GS600" s="1751"/>
      <c r="GT600" s="1752"/>
      <c r="GU600" s="192">
        <f t="shared" ref="GU600:GU649" si="307">IF(BE600&gt;0,1,0)</f>
        <v>1</v>
      </c>
      <c r="GV600" s="192">
        <f>SUM($GU$337:GU600)</f>
        <v>256</v>
      </c>
      <c r="GW600" s="318"/>
      <c r="HQ600" s="380">
        <f t="shared" si="276"/>
        <v>0</v>
      </c>
      <c r="HX600" s="380"/>
    </row>
    <row r="601" spans="4:232" ht="13.5" thickBot="1">
      <c r="D601" s="409"/>
      <c r="E601" s="318"/>
      <c r="F601" s="1568"/>
      <c r="G601" s="1568"/>
      <c r="H601" s="1568"/>
      <c r="I601" s="1568">
        <f>F600</f>
        <v>0</v>
      </c>
      <c r="J601" s="1568"/>
      <c r="K601" s="1568"/>
      <c r="L601" s="1568"/>
      <c r="M601" s="1568"/>
      <c r="N601" s="1568"/>
      <c r="O601" s="1568"/>
      <c r="P601" s="1568"/>
      <c r="Q601" s="1568"/>
      <c r="R601" s="1568"/>
      <c r="S601" s="1568"/>
      <c r="T601" s="1568"/>
      <c r="U601" s="247"/>
      <c r="V601" s="1568"/>
      <c r="W601" s="1568"/>
      <c r="X601" s="1568"/>
      <c r="Y601" s="523"/>
      <c r="BD601" s="389">
        <f t="shared" si="277"/>
        <v>21</v>
      </c>
      <c r="BE601" s="390">
        <f>IF(BD601&gt;0,264,0)</f>
        <v>264</v>
      </c>
      <c r="BG601" s="391">
        <f>IF($BE601&gt;$R$66-3+($BR$335*12),264,0)</f>
        <v>264</v>
      </c>
      <c r="BH601" s="1753">
        <f t="shared" si="278"/>
        <v>0</v>
      </c>
      <c r="BI601" s="1753"/>
      <c r="BJ601" s="1753"/>
      <c r="BK601" s="1753"/>
      <c r="BL601" s="1753">
        <f t="shared" si="293"/>
        <v>0</v>
      </c>
      <c r="BM601" s="1753"/>
      <c r="BN601" s="1753"/>
      <c r="BO601" s="1753">
        <f t="shared" si="285"/>
        <v>0</v>
      </c>
      <c r="BP601" s="1753"/>
      <c r="BQ601" s="1753"/>
      <c r="BR601" s="1753">
        <f t="shared" si="279"/>
        <v>0</v>
      </c>
      <c r="BS601" s="1753"/>
      <c r="BT601" s="1753"/>
      <c r="BU601" s="1753"/>
      <c r="BW601" s="391">
        <f>IF($BE601&gt;$R$66-3+($CH$335*12),264,0)</f>
        <v>264</v>
      </c>
      <c r="BX601" s="1753">
        <f t="shared" si="273"/>
        <v>0</v>
      </c>
      <c r="BY601" s="1753"/>
      <c r="BZ601" s="1753"/>
      <c r="CA601" s="1753"/>
      <c r="CB601" s="1753">
        <f t="shared" si="294"/>
        <v>0</v>
      </c>
      <c r="CC601" s="1753"/>
      <c r="CD601" s="1753"/>
      <c r="CE601" s="1753">
        <f t="shared" si="286"/>
        <v>0</v>
      </c>
      <c r="CF601" s="1753"/>
      <c r="CG601" s="1753"/>
      <c r="CH601" s="1753">
        <f t="shared" si="287"/>
        <v>0</v>
      </c>
      <c r="CI601" s="1753"/>
      <c r="CJ601" s="1753"/>
      <c r="CK601" s="1753"/>
      <c r="CM601" s="391">
        <f>IF($BE601&gt;$R$66-3+($CX$335*12),264,0)</f>
        <v>264</v>
      </c>
      <c r="CN601" s="1753">
        <f t="shared" si="274"/>
        <v>0</v>
      </c>
      <c r="CO601" s="1753"/>
      <c r="CP601" s="1753"/>
      <c r="CQ601" s="1753"/>
      <c r="CR601" s="1753">
        <f t="shared" si="295"/>
        <v>0</v>
      </c>
      <c r="CS601" s="1753"/>
      <c r="CT601" s="1753"/>
      <c r="CU601" s="1753">
        <f t="shared" si="288"/>
        <v>0</v>
      </c>
      <c r="CV601" s="1753"/>
      <c r="CW601" s="1753"/>
      <c r="CX601" s="1753">
        <f t="shared" si="289"/>
        <v>0</v>
      </c>
      <c r="CY601" s="1753"/>
      <c r="CZ601" s="1753"/>
      <c r="DA601" s="1753"/>
      <c r="DC601" s="391">
        <f>IF($BE601&gt;$R$66-3,264,0)</f>
        <v>264</v>
      </c>
      <c r="DD601" s="1753">
        <f t="shared" si="275"/>
        <v>0</v>
      </c>
      <c r="DE601" s="1753"/>
      <c r="DF601" s="1753"/>
      <c r="DG601" s="1753"/>
      <c r="DH601" s="1753">
        <f t="shared" si="296"/>
        <v>0</v>
      </c>
      <c r="DI601" s="1753"/>
      <c r="DJ601" s="1753"/>
      <c r="DK601" s="1753">
        <f t="shared" si="254"/>
        <v>0</v>
      </c>
      <c r="DL601" s="1753"/>
      <c r="DM601" s="1753"/>
      <c r="DN601" s="1753"/>
      <c r="DP601" s="391">
        <f t="shared" si="297"/>
        <v>264</v>
      </c>
      <c r="DQ601" s="1753">
        <f t="shared" si="305"/>
        <v>0</v>
      </c>
      <c r="DR601" s="1753"/>
      <c r="DS601" s="1753"/>
      <c r="DT601" s="1753"/>
      <c r="DU601" s="1753">
        <f t="shared" si="306"/>
        <v>0</v>
      </c>
      <c r="DV601" s="1753"/>
      <c r="DW601" s="1753"/>
      <c r="DX601" s="1753">
        <f t="shared" si="248"/>
        <v>0</v>
      </c>
      <c r="DY601" s="1753"/>
      <c r="DZ601" s="1753"/>
      <c r="EA601" s="1753">
        <f t="shared" si="249"/>
        <v>0</v>
      </c>
      <c r="EB601" s="1753"/>
      <c r="EC601" s="1753"/>
      <c r="ED601" s="1753"/>
      <c r="EE601" s="384"/>
      <c r="EF601" s="1744">
        <f t="shared" si="290"/>
        <v>0</v>
      </c>
      <c r="EG601" s="1745"/>
      <c r="EH601" s="1745"/>
      <c r="EI601" s="1745"/>
      <c r="EJ601" s="1746"/>
      <c r="EL601" s="1744">
        <f t="shared" si="250"/>
        <v>0</v>
      </c>
      <c r="EM601" s="1745"/>
      <c r="EN601" s="1745"/>
      <c r="EO601" s="1745"/>
      <c r="EP601" s="1746"/>
      <c r="ER601" s="1744">
        <f t="shared" si="291"/>
        <v>0</v>
      </c>
      <c r="ES601" s="1745"/>
      <c r="ET601" s="1745"/>
      <c r="EU601" s="1745"/>
      <c r="EV601" s="1746"/>
      <c r="EX601" s="1744">
        <f>IF(BE601&gt;0,Einstrahlung!$K$32*Kalkulation!$P$62/100*$AY$29*POWER((100-$P$64)/100,BD601-1),0)</f>
        <v>0</v>
      </c>
      <c r="EY601" s="1745"/>
      <c r="EZ601" s="1745"/>
      <c r="FA601" s="1745"/>
      <c r="FB601" s="1746"/>
      <c r="FD601" s="1807">
        <f t="shared" si="280"/>
        <v>0</v>
      </c>
      <c r="FE601" s="1808"/>
      <c r="FF601" s="1808"/>
      <c r="FG601" s="1808"/>
      <c r="FH601" s="1809"/>
      <c r="FI601" s="785">
        <f t="shared" si="281"/>
        <v>1</v>
      </c>
      <c r="FJ601" s="453">
        <f t="shared" si="304"/>
        <v>0</v>
      </c>
      <c r="FK601" s="385"/>
      <c r="FL601" s="453">
        <f t="shared" si="282"/>
        <v>0</v>
      </c>
      <c r="FM601" s="385"/>
      <c r="FN601" s="453">
        <f t="shared" si="298"/>
        <v>0</v>
      </c>
      <c r="FO601" s="962">
        <f t="shared" si="302"/>
        <v>393</v>
      </c>
      <c r="FP601" s="956">
        <f t="shared" si="292"/>
        <v>0.4</v>
      </c>
      <c r="FQ601" s="453">
        <f t="shared" si="243"/>
        <v>0</v>
      </c>
      <c r="FR601" s="957">
        <f>POWER(1+$FQ$333,FS601)</f>
        <v>1</v>
      </c>
      <c r="FS601" s="617">
        <f>FS589+1</f>
        <v>21</v>
      </c>
      <c r="FT601" s="1822">
        <f t="shared" si="303"/>
        <v>0</v>
      </c>
      <c r="FU601" s="1823"/>
      <c r="FV601" s="1823"/>
      <c r="FW601" s="1823"/>
      <c r="FX601" s="1824"/>
      <c r="FY601" s="1822">
        <f t="shared" si="299"/>
        <v>0</v>
      </c>
      <c r="FZ601" s="1823"/>
      <c r="GA601" s="1823"/>
      <c r="GB601" s="1824"/>
      <c r="GC601" s="1831">
        <f t="shared" si="253"/>
        <v>0</v>
      </c>
      <c r="GD601" s="1832"/>
      <c r="GE601" s="1832"/>
      <c r="GF601" s="1833"/>
      <c r="GH601" s="1744">
        <f t="shared" si="300"/>
        <v>0</v>
      </c>
      <c r="GI601" s="1745"/>
      <c r="GJ601" s="1745"/>
      <c r="GK601" s="1746"/>
      <c r="GL601" s="1744">
        <f t="shared" si="301"/>
        <v>0</v>
      </c>
      <c r="GM601" s="1745"/>
      <c r="GN601" s="1745"/>
      <c r="GO601" s="1746"/>
      <c r="GP601" s="385"/>
      <c r="GQ601" s="1744">
        <f t="shared" si="284"/>
        <v>0</v>
      </c>
      <c r="GR601" s="1745"/>
      <c r="GS601" s="1745"/>
      <c r="GT601" s="1746"/>
      <c r="GU601" s="192">
        <f t="shared" si="307"/>
        <v>1</v>
      </c>
      <c r="GV601" s="192">
        <f>SUM($GU$337:GU601)</f>
        <v>257</v>
      </c>
      <c r="GW601" s="318"/>
      <c r="HR601" s="380">
        <f>IF(GV601=264,SUM(GQ590:GT601),0)</f>
        <v>0</v>
      </c>
      <c r="HX601" s="380"/>
    </row>
    <row r="602" spans="4:232">
      <c r="D602" s="409"/>
      <c r="E602" s="318"/>
      <c r="F602" s="1568"/>
      <c r="G602" s="1568"/>
      <c r="H602" s="1568"/>
      <c r="I602" s="1568"/>
      <c r="J602" s="1568"/>
      <c r="K602" s="1568"/>
      <c r="L602" s="1568">
        <f>F600</f>
        <v>0</v>
      </c>
      <c r="M602" s="1568"/>
      <c r="N602" s="1568"/>
      <c r="O602" s="1568"/>
      <c r="P602" s="1568"/>
      <c r="Q602" s="1568"/>
      <c r="R602" s="1568"/>
      <c r="S602" s="1568"/>
      <c r="T602" s="1568"/>
      <c r="U602" s="247"/>
      <c r="V602" s="1568"/>
      <c r="W602" s="1568"/>
      <c r="X602" s="1568"/>
      <c r="Y602" s="523"/>
      <c r="BD602" s="381">
        <f t="shared" ref="BD602:BD613" si="308">IF(BH602&lt;0,0,IF($V$21&gt;0,22,0))</f>
        <v>22</v>
      </c>
      <c r="BE602" s="382">
        <f>IF(BD602&gt;0,265,0)</f>
        <v>265</v>
      </c>
      <c r="BG602" s="395">
        <f>IF($BE602&gt;$R$66-3+($BR$335*12),265,0)</f>
        <v>265</v>
      </c>
      <c r="BH602" s="1754">
        <f t="shared" ref="BH602:BH613" si="309">IF(BR601&lt;=0,0,BR601)</f>
        <v>0</v>
      </c>
      <c r="BI602" s="1754"/>
      <c r="BJ602" s="1754"/>
      <c r="BK602" s="1754"/>
      <c r="BL602" s="1754">
        <f t="shared" si="293"/>
        <v>0</v>
      </c>
      <c r="BM602" s="1754"/>
      <c r="BN602" s="1754"/>
      <c r="BO602" s="1754">
        <f t="shared" si="285"/>
        <v>0</v>
      </c>
      <c r="BP602" s="1754"/>
      <c r="BQ602" s="1754"/>
      <c r="BR602" s="1754">
        <f t="shared" ref="BR602:BR613" si="310">BH602-BL602</f>
        <v>0</v>
      </c>
      <c r="BS602" s="1754"/>
      <c r="BT602" s="1754"/>
      <c r="BU602" s="1754"/>
      <c r="BW602" s="395">
        <f>IF($BE602&gt;$R$66-3+($CH$335*12),265,0)</f>
        <v>265</v>
      </c>
      <c r="BX602" s="1754">
        <f t="shared" si="273"/>
        <v>0</v>
      </c>
      <c r="BY602" s="1754"/>
      <c r="BZ602" s="1754"/>
      <c r="CA602" s="1754"/>
      <c r="CB602" s="1754">
        <f t="shared" si="294"/>
        <v>0</v>
      </c>
      <c r="CC602" s="1754"/>
      <c r="CD602" s="1754"/>
      <c r="CE602" s="1754">
        <f t="shared" si="286"/>
        <v>0</v>
      </c>
      <c r="CF602" s="1754"/>
      <c r="CG602" s="1754"/>
      <c r="CH602" s="1754">
        <f t="shared" si="287"/>
        <v>0</v>
      </c>
      <c r="CI602" s="1754"/>
      <c r="CJ602" s="1754"/>
      <c r="CK602" s="1754"/>
      <c r="CM602" s="395">
        <f>IF($BE602&gt;$R$66-3+($CX$335*12),265,0)</f>
        <v>265</v>
      </c>
      <c r="CN602" s="1754">
        <f t="shared" si="274"/>
        <v>0</v>
      </c>
      <c r="CO602" s="1754"/>
      <c r="CP602" s="1754"/>
      <c r="CQ602" s="1754"/>
      <c r="CR602" s="1754">
        <f t="shared" si="295"/>
        <v>0</v>
      </c>
      <c r="CS602" s="1754"/>
      <c r="CT602" s="1754"/>
      <c r="CU602" s="1754">
        <f t="shared" si="288"/>
        <v>0</v>
      </c>
      <c r="CV602" s="1754"/>
      <c r="CW602" s="1754"/>
      <c r="CX602" s="1754">
        <f t="shared" si="289"/>
        <v>0</v>
      </c>
      <c r="CY602" s="1754"/>
      <c r="CZ602" s="1754"/>
      <c r="DA602" s="1754"/>
      <c r="DC602" s="395">
        <f>IF($BE602&gt;$R$66-3,265,0)</f>
        <v>265</v>
      </c>
      <c r="DD602" s="1754">
        <f t="shared" si="275"/>
        <v>0</v>
      </c>
      <c r="DE602" s="1754"/>
      <c r="DF602" s="1754"/>
      <c r="DG602" s="1754"/>
      <c r="DH602" s="1754">
        <f t="shared" si="296"/>
        <v>0</v>
      </c>
      <c r="DI602" s="1754"/>
      <c r="DJ602" s="1754"/>
      <c r="DK602" s="1754">
        <f t="shared" si="254"/>
        <v>0</v>
      </c>
      <c r="DL602" s="1754"/>
      <c r="DM602" s="1754"/>
      <c r="DN602" s="1754"/>
      <c r="DP602" s="395">
        <f t="shared" si="297"/>
        <v>265</v>
      </c>
      <c r="DQ602" s="1754">
        <f t="shared" si="305"/>
        <v>0</v>
      </c>
      <c r="DR602" s="1754"/>
      <c r="DS602" s="1754"/>
      <c r="DT602" s="1754"/>
      <c r="DU602" s="1754">
        <f t="shared" si="306"/>
        <v>0</v>
      </c>
      <c r="DV602" s="1754"/>
      <c r="DW602" s="1754"/>
      <c r="DX602" s="1754">
        <f t="shared" si="248"/>
        <v>0</v>
      </c>
      <c r="DY602" s="1754"/>
      <c r="DZ602" s="1754"/>
      <c r="EA602" s="1754">
        <f t="shared" si="249"/>
        <v>0</v>
      </c>
      <c r="EB602" s="1754"/>
      <c r="EC602" s="1754"/>
      <c r="ED602" s="1754"/>
      <c r="EE602" s="384"/>
      <c r="EF602" s="1750">
        <f t="shared" si="290"/>
        <v>0</v>
      </c>
      <c r="EG602" s="1751"/>
      <c r="EH602" s="1751"/>
      <c r="EI602" s="1751"/>
      <c r="EJ602" s="1752"/>
      <c r="EL602" s="1750">
        <f t="shared" si="250"/>
        <v>0</v>
      </c>
      <c r="EM602" s="1751"/>
      <c r="EN602" s="1751"/>
      <c r="EO602" s="1751"/>
      <c r="EP602" s="1752"/>
      <c r="ER602" s="1750">
        <f t="shared" si="291"/>
        <v>0</v>
      </c>
      <c r="ES602" s="1751"/>
      <c r="ET602" s="1751"/>
      <c r="EU602" s="1751"/>
      <c r="EV602" s="1752"/>
      <c r="EX602" s="1750">
        <f>IF(BE602&gt;0,Einstrahlung!$K$10*Kalkulation!$P$62/100*$AY$29*POWER((100-$P$64)/100,BD602-1),0)</f>
        <v>0</v>
      </c>
      <c r="EY602" s="1751"/>
      <c r="EZ602" s="1751"/>
      <c r="FA602" s="1751"/>
      <c r="FB602" s="1752"/>
      <c r="FC602" s="783">
        <v>22</v>
      </c>
      <c r="FD602" s="1804">
        <f t="shared" si="280"/>
        <v>0</v>
      </c>
      <c r="FE602" s="1805"/>
      <c r="FF602" s="1805"/>
      <c r="FG602" s="1805"/>
      <c r="FH602" s="1806"/>
      <c r="FI602" s="784">
        <f>POWER(1+$FH$333,1)</f>
        <v>1</v>
      </c>
      <c r="FJ602" s="380">
        <f t="shared" si="304"/>
        <v>0</v>
      </c>
      <c r="FK602" s="385"/>
      <c r="FL602" s="380">
        <f>IF(BE602&gt;0,IF($FL$336&gt;SUM($EX$602:$FB$613),SUM($EX$602:$FB$613)/12,$FL$336/12),0)</f>
        <v>0</v>
      </c>
      <c r="FM602" s="385"/>
      <c r="FN602" s="380">
        <f t="shared" si="298"/>
        <v>0</v>
      </c>
      <c r="FO602" s="962">
        <f t="shared" si="302"/>
        <v>394</v>
      </c>
      <c r="FP602" s="956">
        <f t="shared" si="292"/>
        <v>0.4</v>
      </c>
      <c r="FQ602" s="380">
        <f t="shared" ref="FQ602:FQ648" si="311">FN602*FR602-(FL602*($FQ$337/100)*FP602)</f>
        <v>0</v>
      </c>
      <c r="FR602" s="626">
        <f t="shared" ref="FR602:FR612" si="312">IF(AND(GV602&gt;252,GV602&lt;=264),$FR$601,IF(AND(GV602&gt;264,GV602&lt;=276),$FR$613,0))</f>
        <v>1</v>
      </c>
      <c r="FT602" s="1819">
        <f t="shared" si="303"/>
        <v>0</v>
      </c>
      <c r="FU602" s="1820"/>
      <c r="FV602" s="1820"/>
      <c r="FW602" s="1820"/>
      <c r="FX602" s="1821"/>
      <c r="FY602" s="1819">
        <f t="shared" si="299"/>
        <v>0</v>
      </c>
      <c r="FZ602" s="1820"/>
      <c r="GA602" s="1820"/>
      <c r="GB602" s="1821"/>
      <c r="GC602" s="1825">
        <f t="shared" si="253"/>
        <v>0</v>
      </c>
      <c r="GD602" s="1826"/>
      <c r="GE602" s="1826"/>
      <c r="GF602" s="1827"/>
      <c r="GH602" s="1750">
        <f t="shared" si="300"/>
        <v>0</v>
      </c>
      <c r="GI602" s="1751"/>
      <c r="GJ602" s="1751"/>
      <c r="GK602" s="1751"/>
      <c r="GL602" s="1750">
        <f t="shared" si="301"/>
        <v>0</v>
      </c>
      <c r="GM602" s="1751"/>
      <c r="GN602" s="1751"/>
      <c r="GO602" s="1752"/>
      <c r="GP602" s="385"/>
      <c r="GQ602" s="1865">
        <f>IF($V$21&lt;=21,0,FD602+FQ602+EF602+EL602+ER602+IF(FY602&gt;0,0,FY602))</f>
        <v>0</v>
      </c>
      <c r="GR602" s="1866"/>
      <c r="GS602" s="1866"/>
      <c r="GT602" s="1867"/>
      <c r="GU602" s="192">
        <f t="shared" si="307"/>
        <v>1</v>
      </c>
      <c r="GV602" s="192">
        <f>SUM($GU$337:GU602)</f>
        <v>258</v>
      </c>
      <c r="GW602" s="318"/>
      <c r="HR602" s="380">
        <f t="shared" ref="HR602:HR612" si="313">IF(GV602=264,SUM(GQ591:GT602),0)</f>
        <v>0</v>
      </c>
      <c r="HX602" s="380"/>
    </row>
    <row r="603" spans="4:232">
      <c r="D603" s="409"/>
      <c r="E603" s="318"/>
      <c r="F603" s="1568"/>
      <c r="G603" s="1568"/>
      <c r="H603" s="1568"/>
      <c r="I603" s="1568"/>
      <c r="J603" s="1568"/>
      <c r="K603" s="1568"/>
      <c r="L603" s="1568"/>
      <c r="M603" s="1568"/>
      <c r="N603" s="1568"/>
      <c r="O603" s="1568">
        <f>V603</f>
        <v>0</v>
      </c>
      <c r="P603" s="1568"/>
      <c r="Q603" s="1568"/>
      <c r="R603" s="1568"/>
      <c r="S603" s="1568"/>
      <c r="T603" s="1568"/>
      <c r="U603" s="247"/>
      <c r="V603" s="1568">
        <f>IF(D259&gt;0,V598+(G259+J259)-(O259+Q259+S259+T259+V259)+Y259,0)</f>
        <v>0</v>
      </c>
      <c r="W603" s="1568"/>
      <c r="X603" s="1568"/>
      <c r="Y603" s="523">
        <f>IF(D259&gt;0,IF(V603&gt;0,0,1),0)</f>
        <v>1</v>
      </c>
      <c r="BD603" s="387">
        <f t="shared" si="308"/>
        <v>22</v>
      </c>
      <c r="BE603" s="382">
        <f>IF(BD603&gt;0,266,0)</f>
        <v>266</v>
      </c>
      <c r="BG603" s="383">
        <f>IF($BE603&gt;$R$66-3+($BR$335*12),266,0)</f>
        <v>266</v>
      </c>
      <c r="BH603" s="1754">
        <f t="shared" si="309"/>
        <v>0</v>
      </c>
      <c r="BI603" s="1754"/>
      <c r="BJ603" s="1754"/>
      <c r="BK603" s="1754"/>
      <c r="BL603" s="1754">
        <f t="shared" si="293"/>
        <v>0</v>
      </c>
      <c r="BM603" s="1754"/>
      <c r="BN603" s="1754"/>
      <c r="BO603" s="1754">
        <f t="shared" si="285"/>
        <v>0</v>
      </c>
      <c r="BP603" s="1754"/>
      <c r="BQ603" s="1754"/>
      <c r="BR603" s="1754">
        <f t="shared" si="310"/>
        <v>0</v>
      </c>
      <c r="BS603" s="1754"/>
      <c r="BT603" s="1754"/>
      <c r="BU603" s="1754"/>
      <c r="BW603" s="383">
        <f>IF($BE603&gt;$R$66-3+($CH$335*12),266,0)</f>
        <v>266</v>
      </c>
      <c r="BX603" s="1754">
        <f t="shared" si="273"/>
        <v>0</v>
      </c>
      <c r="BY603" s="1754"/>
      <c r="BZ603" s="1754"/>
      <c r="CA603" s="1754"/>
      <c r="CB603" s="1754">
        <f t="shared" si="294"/>
        <v>0</v>
      </c>
      <c r="CC603" s="1754"/>
      <c r="CD603" s="1754"/>
      <c r="CE603" s="1754">
        <f t="shared" si="286"/>
        <v>0</v>
      </c>
      <c r="CF603" s="1754"/>
      <c r="CG603" s="1754"/>
      <c r="CH603" s="1754">
        <f t="shared" si="287"/>
        <v>0</v>
      </c>
      <c r="CI603" s="1754"/>
      <c r="CJ603" s="1754"/>
      <c r="CK603" s="1754"/>
      <c r="CM603" s="383">
        <f>IF($BE603&gt;$R$66-3+($CX$335*12),266,0)</f>
        <v>266</v>
      </c>
      <c r="CN603" s="1754">
        <f t="shared" si="274"/>
        <v>0</v>
      </c>
      <c r="CO603" s="1754"/>
      <c r="CP603" s="1754"/>
      <c r="CQ603" s="1754"/>
      <c r="CR603" s="1754">
        <f t="shared" si="295"/>
        <v>0</v>
      </c>
      <c r="CS603" s="1754"/>
      <c r="CT603" s="1754"/>
      <c r="CU603" s="1754">
        <f t="shared" si="288"/>
        <v>0</v>
      </c>
      <c r="CV603" s="1754"/>
      <c r="CW603" s="1754"/>
      <c r="CX603" s="1754">
        <f t="shared" si="289"/>
        <v>0</v>
      </c>
      <c r="CY603" s="1754"/>
      <c r="CZ603" s="1754"/>
      <c r="DA603" s="1754"/>
      <c r="DC603" s="383">
        <f>IF($BE603&gt;$R$66-3,266,0)</f>
        <v>266</v>
      </c>
      <c r="DD603" s="1754">
        <f t="shared" si="275"/>
        <v>0</v>
      </c>
      <c r="DE603" s="1754"/>
      <c r="DF603" s="1754"/>
      <c r="DG603" s="1754"/>
      <c r="DH603" s="1754">
        <f t="shared" si="296"/>
        <v>0</v>
      </c>
      <c r="DI603" s="1754"/>
      <c r="DJ603" s="1754"/>
      <c r="DK603" s="1754">
        <f t="shared" si="254"/>
        <v>0</v>
      </c>
      <c r="DL603" s="1754"/>
      <c r="DM603" s="1754"/>
      <c r="DN603" s="1754"/>
      <c r="DP603" s="383">
        <f t="shared" si="297"/>
        <v>266</v>
      </c>
      <c r="DQ603" s="1754">
        <f t="shared" si="305"/>
        <v>0</v>
      </c>
      <c r="DR603" s="1754"/>
      <c r="DS603" s="1754"/>
      <c r="DT603" s="1754"/>
      <c r="DU603" s="1754">
        <f t="shared" si="306"/>
        <v>0</v>
      </c>
      <c r="DV603" s="1754"/>
      <c r="DW603" s="1754"/>
      <c r="DX603" s="1754">
        <f t="shared" si="248"/>
        <v>0</v>
      </c>
      <c r="DY603" s="1754"/>
      <c r="DZ603" s="1754"/>
      <c r="EA603" s="1754">
        <f t="shared" si="249"/>
        <v>0</v>
      </c>
      <c r="EB603" s="1754"/>
      <c r="EC603" s="1754"/>
      <c r="ED603" s="1754"/>
      <c r="EE603" s="384"/>
      <c r="EF603" s="1750">
        <f t="shared" si="290"/>
        <v>0</v>
      </c>
      <c r="EG603" s="1751"/>
      <c r="EH603" s="1751"/>
      <c r="EI603" s="1751"/>
      <c r="EJ603" s="1752"/>
      <c r="EL603" s="1750">
        <f t="shared" si="250"/>
        <v>0</v>
      </c>
      <c r="EM603" s="1751"/>
      <c r="EN603" s="1751"/>
      <c r="EO603" s="1751"/>
      <c r="EP603" s="1752"/>
      <c r="ER603" s="1750">
        <f t="shared" si="291"/>
        <v>0</v>
      </c>
      <c r="ES603" s="1751"/>
      <c r="ET603" s="1751"/>
      <c r="EU603" s="1751"/>
      <c r="EV603" s="1752"/>
      <c r="EX603" s="1750">
        <f>IF(BE603&gt;0,Einstrahlung!$K$12*Kalkulation!$P$62/100*$AY$29*POWER((100-$P$64)/100,BD603-1),0)</f>
        <v>0</v>
      </c>
      <c r="EY603" s="1751"/>
      <c r="EZ603" s="1751"/>
      <c r="FA603" s="1751"/>
      <c r="FB603" s="1752"/>
      <c r="FD603" s="1804">
        <f t="shared" si="280"/>
        <v>0</v>
      </c>
      <c r="FE603" s="1805"/>
      <c r="FF603" s="1805"/>
      <c r="FG603" s="1805"/>
      <c r="FH603" s="1806"/>
      <c r="FI603" s="785">
        <f t="shared" ref="FI603:FI613" si="314">POWER(1+$FH$333,1)</f>
        <v>1</v>
      </c>
      <c r="FJ603" s="380">
        <f t="shared" si="304"/>
        <v>0</v>
      </c>
      <c r="FK603" s="385"/>
      <c r="FL603" s="380">
        <f t="shared" ref="FL603:FL613" si="315">IF(BE603&gt;0,IF($FL$336&gt;SUM($EX$602:$FB$613),SUM($EX$602:$FB$613)/12,$FL$336/12),0)</f>
        <v>0</v>
      </c>
      <c r="FM603" s="385"/>
      <c r="FN603" s="380">
        <f t="shared" si="298"/>
        <v>0</v>
      </c>
      <c r="FO603" s="962">
        <f t="shared" si="302"/>
        <v>395</v>
      </c>
      <c r="FP603" s="956">
        <f t="shared" si="292"/>
        <v>0.4</v>
      </c>
      <c r="FQ603" s="380">
        <f t="shared" si="311"/>
        <v>0</v>
      </c>
      <c r="FR603" s="626">
        <f t="shared" si="312"/>
        <v>1</v>
      </c>
      <c r="FT603" s="1819">
        <f t="shared" si="303"/>
        <v>0</v>
      </c>
      <c r="FU603" s="1820"/>
      <c r="FV603" s="1820"/>
      <c r="FW603" s="1820"/>
      <c r="FX603" s="1821"/>
      <c r="FY603" s="1819">
        <f t="shared" si="299"/>
        <v>0</v>
      </c>
      <c r="FZ603" s="1820"/>
      <c r="GA603" s="1820"/>
      <c r="GB603" s="1821"/>
      <c r="GC603" s="1825">
        <f t="shared" si="253"/>
        <v>0</v>
      </c>
      <c r="GD603" s="1826"/>
      <c r="GE603" s="1826"/>
      <c r="GF603" s="1827"/>
      <c r="GH603" s="1750">
        <f t="shared" si="300"/>
        <v>0</v>
      </c>
      <c r="GI603" s="1751"/>
      <c r="GJ603" s="1751"/>
      <c r="GK603" s="1752"/>
      <c r="GL603" s="1750">
        <f t="shared" si="301"/>
        <v>0</v>
      </c>
      <c r="GM603" s="1751"/>
      <c r="GN603" s="1751"/>
      <c r="GO603" s="1752"/>
      <c r="GP603" s="385"/>
      <c r="GQ603" s="1750">
        <f t="shared" ref="GQ603:GQ613" si="316">IF($V$21&lt;=21,0,FD603+FQ603+EF603+EL603+ER603+IF(FY603&gt;0,0,FY603))</f>
        <v>0</v>
      </c>
      <c r="GR603" s="1751"/>
      <c r="GS603" s="1751"/>
      <c r="GT603" s="1752"/>
      <c r="GU603" s="192">
        <f t="shared" si="307"/>
        <v>1</v>
      </c>
      <c r="GV603" s="192">
        <f>SUM($GU$337:GU603)</f>
        <v>259</v>
      </c>
      <c r="GW603" s="318"/>
      <c r="HR603" s="380">
        <f t="shared" si="313"/>
        <v>0</v>
      </c>
      <c r="HX603" s="380"/>
    </row>
    <row r="604" spans="4:232">
      <c r="D604" s="409"/>
      <c r="E604" s="318"/>
      <c r="F604" s="1568"/>
      <c r="G604" s="1568"/>
      <c r="H604" s="1568"/>
      <c r="I604" s="1568"/>
      <c r="J604" s="1568"/>
      <c r="K604" s="1568"/>
      <c r="L604" s="1568"/>
      <c r="M604" s="1568"/>
      <c r="N604" s="1568"/>
      <c r="O604" s="1568"/>
      <c r="P604" s="1568"/>
      <c r="Q604" s="1568"/>
      <c r="R604" s="1568"/>
      <c r="S604" s="1568"/>
      <c r="T604" s="1568"/>
      <c r="U604" s="247"/>
      <c r="V604" s="1568"/>
      <c r="W604" s="1568"/>
      <c r="X604" s="1568"/>
      <c r="Y604" s="523"/>
      <c r="BD604" s="387">
        <f t="shared" si="308"/>
        <v>22</v>
      </c>
      <c r="BE604" s="382">
        <f>IF(BD604&gt;0,267,0)</f>
        <v>267</v>
      </c>
      <c r="BG604" s="383">
        <f>IF($BE604&gt;$R$66-3+($BR$335*12),267,0)</f>
        <v>267</v>
      </c>
      <c r="BH604" s="1754">
        <f t="shared" si="309"/>
        <v>0</v>
      </c>
      <c r="BI604" s="1754"/>
      <c r="BJ604" s="1754"/>
      <c r="BK604" s="1754"/>
      <c r="BL604" s="1754">
        <f t="shared" si="293"/>
        <v>0</v>
      </c>
      <c r="BM604" s="1754"/>
      <c r="BN604" s="1754"/>
      <c r="BO604" s="1754">
        <f t="shared" si="285"/>
        <v>0</v>
      </c>
      <c r="BP604" s="1754"/>
      <c r="BQ604" s="1754"/>
      <c r="BR604" s="1754">
        <f t="shared" si="310"/>
        <v>0</v>
      </c>
      <c r="BS604" s="1754"/>
      <c r="BT604" s="1754"/>
      <c r="BU604" s="1754"/>
      <c r="BW604" s="383">
        <f>IF($BE604&gt;$R$66-3+($CH$335*12),267,0)</f>
        <v>267</v>
      </c>
      <c r="BX604" s="1754">
        <f t="shared" si="273"/>
        <v>0</v>
      </c>
      <c r="BY604" s="1754"/>
      <c r="BZ604" s="1754"/>
      <c r="CA604" s="1754"/>
      <c r="CB604" s="1754">
        <f t="shared" si="294"/>
        <v>0</v>
      </c>
      <c r="CC604" s="1754"/>
      <c r="CD604" s="1754"/>
      <c r="CE604" s="1754">
        <f t="shared" si="286"/>
        <v>0</v>
      </c>
      <c r="CF604" s="1754"/>
      <c r="CG604" s="1754"/>
      <c r="CH604" s="1754">
        <f t="shared" si="287"/>
        <v>0</v>
      </c>
      <c r="CI604" s="1754"/>
      <c r="CJ604" s="1754"/>
      <c r="CK604" s="1754"/>
      <c r="CM604" s="383">
        <f>IF($BE604&gt;$R$66-3+($CX$335*12),267,0)</f>
        <v>267</v>
      </c>
      <c r="CN604" s="1754">
        <f t="shared" si="274"/>
        <v>0</v>
      </c>
      <c r="CO604" s="1754"/>
      <c r="CP604" s="1754"/>
      <c r="CQ604" s="1754"/>
      <c r="CR604" s="1754">
        <f t="shared" si="295"/>
        <v>0</v>
      </c>
      <c r="CS604" s="1754"/>
      <c r="CT604" s="1754"/>
      <c r="CU604" s="1754">
        <f t="shared" si="288"/>
        <v>0</v>
      </c>
      <c r="CV604" s="1754"/>
      <c r="CW604" s="1754"/>
      <c r="CX604" s="1754">
        <f t="shared" si="289"/>
        <v>0</v>
      </c>
      <c r="CY604" s="1754"/>
      <c r="CZ604" s="1754"/>
      <c r="DA604" s="1754"/>
      <c r="DC604" s="383">
        <f>IF($BE604&gt;$R$66-3,267,0)</f>
        <v>267</v>
      </c>
      <c r="DD604" s="1754">
        <f t="shared" si="275"/>
        <v>0</v>
      </c>
      <c r="DE604" s="1754"/>
      <c r="DF604" s="1754"/>
      <c r="DG604" s="1754"/>
      <c r="DH604" s="1754">
        <f t="shared" si="296"/>
        <v>0</v>
      </c>
      <c r="DI604" s="1754"/>
      <c r="DJ604" s="1754"/>
      <c r="DK604" s="1754">
        <f t="shared" si="254"/>
        <v>0</v>
      </c>
      <c r="DL604" s="1754"/>
      <c r="DM604" s="1754"/>
      <c r="DN604" s="1754"/>
      <c r="DP604" s="383">
        <f t="shared" si="297"/>
        <v>267</v>
      </c>
      <c r="DQ604" s="1754">
        <f t="shared" si="305"/>
        <v>0</v>
      </c>
      <c r="DR604" s="1754"/>
      <c r="DS604" s="1754"/>
      <c r="DT604" s="1754"/>
      <c r="DU604" s="1754">
        <f t="shared" si="306"/>
        <v>0</v>
      </c>
      <c r="DV604" s="1754"/>
      <c r="DW604" s="1754"/>
      <c r="DX604" s="1754">
        <f t="shared" si="248"/>
        <v>0</v>
      </c>
      <c r="DY604" s="1754"/>
      <c r="DZ604" s="1754"/>
      <c r="EA604" s="1754">
        <f t="shared" si="249"/>
        <v>0</v>
      </c>
      <c r="EB604" s="1754"/>
      <c r="EC604" s="1754"/>
      <c r="ED604" s="1754"/>
      <c r="EE604" s="384"/>
      <c r="EF604" s="1750">
        <f t="shared" si="290"/>
        <v>0</v>
      </c>
      <c r="EG604" s="1751"/>
      <c r="EH604" s="1751"/>
      <c r="EI604" s="1751"/>
      <c r="EJ604" s="1752"/>
      <c r="EL604" s="1750">
        <f t="shared" si="250"/>
        <v>0</v>
      </c>
      <c r="EM604" s="1751"/>
      <c r="EN604" s="1751"/>
      <c r="EO604" s="1751"/>
      <c r="EP604" s="1752"/>
      <c r="ER604" s="1750">
        <f t="shared" si="291"/>
        <v>0</v>
      </c>
      <c r="ES604" s="1751"/>
      <c r="ET604" s="1751"/>
      <c r="EU604" s="1751"/>
      <c r="EV604" s="1752"/>
      <c r="EX604" s="1750">
        <f>IF(BE604&gt;0,Einstrahlung!$K$14*Kalkulation!$P$62/100*$AY$29*POWER((100-$P$64)/100,BD604-1),0)</f>
        <v>0</v>
      </c>
      <c r="EY604" s="1751"/>
      <c r="EZ604" s="1751"/>
      <c r="FA604" s="1751"/>
      <c r="FB604" s="1752"/>
      <c r="FD604" s="1804">
        <f t="shared" si="280"/>
        <v>0</v>
      </c>
      <c r="FE604" s="1805"/>
      <c r="FF604" s="1805"/>
      <c r="FG604" s="1805"/>
      <c r="FH604" s="1806"/>
      <c r="FI604" s="785">
        <f t="shared" si="314"/>
        <v>1</v>
      </c>
      <c r="FJ604" s="380">
        <f t="shared" si="304"/>
        <v>0</v>
      </c>
      <c r="FK604" s="385"/>
      <c r="FL604" s="380">
        <f t="shared" si="315"/>
        <v>0</v>
      </c>
      <c r="FM604" s="385"/>
      <c r="FN604" s="380">
        <f t="shared" si="298"/>
        <v>0</v>
      </c>
      <c r="FO604" s="962">
        <f t="shared" si="302"/>
        <v>396</v>
      </c>
      <c r="FP604" s="956">
        <f t="shared" si="292"/>
        <v>0.4</v>
      </c>
      <c r="FQ604" s="380">
        <f t="shared" si="311"/>
        <v>0</v>
      </c>
      <c r="FR604" s="626">
        <f t="shared" si="312"/>
        <v>1</v>
      </c>
      <c r="FT604" s="1819">
        <f t="shared" si="303"/>
        <v>0</v>
      </c>
      <c r="FU604" s="1820"/>
      <c r="FV604" s="1820"/>
      <c r="FW604" s="1820"/>
      <c r="FX604" s="1821"/>
      <c r="FY604" s="1819">
        <f t="shared" si="299"/>
        <v>0</v>
      </c>
      <c r="FZ604" s="1820"/>
      <c r="GA604" s="1820"/>
      <c r="GB604" s="1821"/>
      <c r="GC604" s="1825">
        <f t="shared" si="253"/>
        <v>0</v>
      </c>
      <c r="GD604" s="1826"/>
      <c r="GE604" s="1826"/>
      <c r="GF604" s="1827"/>
      <c r="GH604" s="1750">
        <f t="shared" si="300"/>
        <v>0</v>
      </c>
      <c r="GI604" s="1751"/>
      <c r="GJ604" s="1751"/>
      <c r="GK604" s="1752"/>
      <c r="GL604" s="1750">
        <f t="shared" si="301"/>
        <v>0</v>
      </c>
      <c r="GM604" s="1751"/>
      <c r="GN604" s="1751"/>
      <c r="GO604" s="1752"/>
      <c r="GP604" s="385"/>
      <c r="GQ604" s="1750">
        <f t="shared" si="316"/>
        <v>0</v>
      </c>
      <c r="GR604" s="1751"/>
      <c r="GS604" s="1751"/>
      <c r="GT604" s="1752"/>
      <c r="GU604" s="192">
        <f t="shared" si="307"/>
        <v>1</v>
      </c>
      <c r="GV604" s="192">
        <f>SUM($GU$337:GU604)</f>
        <v>260</v>
      </c>
      <c r="GW604" s="318"/>
      <c r="HR604" s="380">
        <f t="shared" si="313"/>
        <v>0</v>
      </c>
      <c r="HX604" s="380"/>
    </row>
    <row r="605" spans="4:232">
      <c r="D605" s="409">
        <v>8</v>
      </c>
      <c r="E605" s="318"/>
      <c r="F605" s="1568">
        <f>AH261</f>
        <v>0</v>
      </c>
      <c r="G605" s="1568"/>
      <c r="H605" s="1568"/>
      <c r="I605" s="1568"/>
      <c r="J605" s="1568"/>
      <c r="K605" s="1568"/>
      <c r="L605" s="1568"/>
      <c r="M605" s="1568"/>
      <c r="N605" s="1568"/>
      <c r="O605" s="1568"/>
      <c r="P605" s="1568"/>
      <c r="Q605" s="1568"/>
      <c r="R605" s="1568"/>
      <c r="S605" s="1568"/>
      <c r="T605" s="1568"/>
      <c r="U605" s="247"/>
      <c r="V605" s="1568"/>
      <c r="W605" s="1568"/>
      <c r="X605" s="1568"/>
      <c r="Y605" s="523"/>
      <c r="BD605" s="387">
        <f t="shared" si="308"/>
        <v>22</v>
      </c>
      <c r="BE605" s="382">
        <f>IF(BD605&gt;0,268,0)</f>
        <v>268</v>
      </c>
      <c r="BG605" s="383">
        <f>IF($BE605&gt;$R$66-3+($BR$335*12),268,0)</f>
        <v>268</v>
      </c>
      <c r="BH605" s="1754">
        <f t="shared" si="309"/>
        <v>0</v>
      </c>
      <c r="BI605" s="1754"/>
      <c r="BJ605" s="1754"/>
      <c r="BK605" s="1754"/>
      <c r="BL605" s="1754">
        <f t="shared" si="293"/>
        <v>0</v>
      </c>
      <c r="BM605" s="1754"/>
      <c r="BN605" s="1754"/>
      <c r="BO605" s="1754">
        <f t="shared" si="285"/>
        <v>0</v>
      </c>
      <c r="BP605" s="1754"/>
      <c r="BQ605" s="1754"/>
      <c r="BR605" s="1754">
        <f t="shared" si="310"/>
        <v>0</v>
      </c>
      <c r="BS605" s="1754"/>
      <c r="BT605" s="1754"/>
      <c r="BU605" s="1754"/>
      <c r="BW605" s="383">
        <f>IF($BE605&gt;$R$66-3+($CH$335*12),268,0)</f>
        <v>268</v>
      </c>
      <c r="BX605" s="1754">
        <f t="shared" si="273"/>
        <v>0</v>
      </c>
      <c r="BY605" s="1754"/>
      <c r="BZ605" s="1754"/>
      <c r="CA605" s="1754"/>
      <c r="CB605" s="1754">
        <f t="shared" si="294"/>
        <v>0</v>
      </c>
      <c r="CC605" s="1754"/>
      <c r="CD605" s="1754"/>
      <c r="CE605" s="1754">
        <f t="shared" si="286"/>
        <v>0</v>
      </c>
      <c r="CF605" s="1754"/>
      <c r="CG605" s="1754"/>
      <c r="CH605" s="1754">
        <f t="shared" si="287"/>
        <v>0</v>
      </c>
      <c r="CI605" s="1754"/>
      <c r="CJ605" s="1754"/>
      <c r="CK605" s="1754"/>
      <c r="CM605" s="383">
        <f>IF($BE605&gt;$R$66-3+($CX$335*12),268,0)</f>
        <v>268</v>
      </c>
      <c r="CN605" s="1754">
        <f t="shared" si="274"/>
        <v>0</v>
      </c>
      <c r="CO605" s="1754"/>
      <c r="CP605" s="1754"/>
      <c r="CQ605" s="1754"/>
      <c r="CR605" s="1754">
        <f t="shared" si="295"/>
        <v>0</v>
      </c>
      <c r="CS605" s="1754"/>
      <c r="CT605" s="1754"/>
      <c r="CU605" s="1754">
        <f t="shared" si="288"/>
        <v>0</v>
      </c>
      <c r="CV605" s="1754"/>
      <c r="CW605" s="1754"/>
      <c r="CX605" s="1754">
        <f t="shared" si="289"/>
        <v>0</v>
      </c>
      <c r="CY605" s="1754"/>
      <c r="CZ605" s="1754"/>
      <c r="DA605" s="1754"/>
      <c r="DC605" s="383">
        <f>IF($BE605&gt;$R$66-3,268,0)</f>
        <v>268</v>
      </c>
      <c r="DD605" s="1754">
        <f t="shared" si="275"/>
        <v>0</v>
      </c>
      <c r="DE605" s="1754"/>
      <c r="DF605" s="1754"/>
      <c r="DG605" s="1754"/>
      <c r="DH605" s="1754">
        <f t="shared" si="296"/>
        <v>0</v>
      </c>
      <c r="DI605" s="1754"/>
      <c r="DJ605" s="1754"/>
      <c r="DK605" s="1754">
        <f t="shared" si="254"/>
        <v>0</v>
      </c>
      <c r="DL605" s="1754"/>
      <c r="DM605" s="1754"/>
      <c r="DN605" s="1754"/>
      <c r="DP605" s="383">
        <f t="shared" si="297"/>
        <v>268</v>
      </c>
      <c r="DQ605" s="1754">
        <f t="shared" si="305"/>
        <v>0</v>
      </c>
      <c r="DR605" s="1754"/>
      <c r="DS605" s="1754"/>
      <c r="DT605" s="1754"/>
      <c r="DU605" s="1754">
        <f t="shared" si="306"/>
        <v>0</v>
      </c>
      <c r="DV605" s="1754"/>
      <c r="DW605" s="1754"/>
      <c r="DX605" s="1754">
        <f t="shared" si="248"/>
        <v>0</v>
      </c>
      <c r="DY605" s="1754"/>
      <c r="DZ605" s="1754"/>
      <c r="EA605" s="1754">
        <f t="shared" si="249"/>
        <v>0</v>
      </c>
      <c r="EB605" s="1754"/>
      <c r="EC605" s="1754"/>
      <c r="ED605" s="1754"/>
      <c r="EE605" s="384"/>
      <c r="EF605" s="1750">
        <f t="shared" si="290"/>
        <v>0</v>
      </c>
      <c r="EG605" s="1751"/>
      <c r="EH605" s="1751"/>
      <c r="EI605" s="1751"/>
      <c r="EJ605" s="1752"/>
      <c r="EL605" s="1750">
        <f t="shared" si="250"/>
        <v>0</v>
      </c>
      <c r="EM605" s="1751"/>
      <c r="EN605" s="1751"/>
      <c r="EO605" s="1751"/>
      <c r="EP605" s="1752"/>
      <c r="ER605" s="1750">
        <f t="shared" si="291"/>
        <v>0</v>
      </c>
      <c r="ES605" s="1751"/>
      <c r="ET605" s="1751"/>
      <c r="EU605" s="1751"/>
      <c r="EV605" s="1752"/>
      <c r="EX605" s="1750">
        <f>IF(BE605&gt;0,Einstrahlung!$K$16*Kalkulation!$P$62/100*$AY$29*POWER((100-$P$64)/100,BD605-1),0)</f>
        <v>0</v>
      </c>
      <c r="EY605" s="1751"/>
      <c r="EZ605" s="1751"/>
      <c r="FA605" s="1751"/>
      <c r="FB605" s="1752"/>
      <c r="FD605" s="1804">
        <f t="shared" si="280"/>
        <v>0</v>
      </c>
      <c r="FE605" s="1805"/>
      <c r="FF605" s="1805"/>
      <c r="FG605" s="1805"/>
      <c r="FH605" s="1806"/>
      <c r="FI605" s="785">
        <f t="shared" si="314"/>
        <v>1</v>
      </c>
      <c r="FJ605" s="380">
        <f t="shared" si="304"/>
        <v>0</v>
      </c>
      <c r="FK605" s="385"/>
      <c r="FL605" s="380">
        <f t="shared" si="315"/>
        <v>0</v>
      </c>
      <c r="FM605" s="385"/>
      <c r="FN605" s="380">
        <f t="shared" si="298"/>
        <v>0</v>
      </c>
      <c r="FO605" s="962">
        <f t="shared" si="302"/>
        <v>397</v>
      </c>
      <c r="FP605" s="956">
        <f t="shared" si="292"/>
        <v>0.4</v>
      </c>
      <c r="FQ605" s="380">
        <f t="shared" si="311"/>
        <v>0</v>
      </c>
      <c r="FR605" s="626">
        <f t="shared" si="312"/>
        <v>1</v>
      </c>
      <c r="FT605" s="1819">
        <f t="shared" si="303"/>
        <v>0</v>
      </c>
      <c r="FU605" s="1820"/>
      <c r="FV605" s="1820"/>
      <c r="FW605" s="1820"/>
      <c r="FX605" s="1821"/>
      <c r="FY605" s="1819">
        <f t="shared" si="299"/>
        <v>0</v>
      </c>
      <c r="FZ605" s="1820"/>
      <c r="GA605" s="1820"/>
      <c r="GB605" s="1821"/>
      <c r="GC605" s="1825">
        <f t="shared" si="253"/>
        <v>0</v>
      </c>
      <c r="GD605" s="1826"/>
      <c r="GE605" s="1826"/>
      <c r="GF605" s="1827"/>
      <c r="GH605" s="1750">
        <f t="shared" si="300"/>
        <v>0</v>
      </c>
      <c r="GI605" s="1751"/>
      <c r="GJ605" s="1751"/>
      <c r="GK605" s="1752"/>
      <c r="GL605" s="1750">
        <f t="shared" si="301"/>
        <v>0</v>
      </c>
      <c r="GM605" s="1751"/>
      <c r="GN605" s="1751"/>
      <c r="GO605" s="1752"/>
      <c r="GP605" s="385"/>
      <c r="GQ605" s="1750">
        <f t="shared" si="316"/>
        <v>0</v>
      </c>
      <c r="GR605" s="1751"/>
      <c r="GS605" s="1751"/>
      <c r="GT605" s="1752"/>
      <c r="GU605" s="192">
        <f t="shared" si="307"/>
        <v>1</v>
      </c>
      <c r="GV605" s="192">
        <f>SUM($GU$337:GU605)</f>
        <v>261</v>
      </c>
      <c r="GW605" s="318"/>
      <c r="HR605" s="380">
        <f t="shared" si="313"/>
        <v>0</v>
      </c>
      <c r="HX605" s="380"/>
    </row>
    <row r="606" spans="4:232">
      <c r="D606" s="409"/>
      <c r="E606" s="318"/>
      <c r="F606" s="1568"/>
      <c r="G606" s="1568"/>
      <c r="H606" s="1568"/>
      <c r="I606" s="1568">
        <f>F605</f>
        <v>0</v>
      </c>
      <c r="J606" s="1568"/>
      <c r="K606" s="1568"/>
      <c r="L606" s="1568"/>
      <c r="M606" s="1568"/>
      <c r="N606" s="1568"/>
      <c r="O606" s="1568"/>
      <c r="P606" s="1568"/>
      <c r="Q606" s="1568"/>
      <c r="R606" s="1568"/>
      <c r="S606" s="1568"/>
      <c r="T606" s="1568"/>
      <c r="U606" s="247"/>
      <c r="V606" s="1568"/>
      <c r="W606" s="1568"/>
      <c r="X606" s="1568"/>
      <c r="Y606" s="523"/>
      <c r="BD606" s="387">
        <f t="shared" si="308"/>
        <v>22</v>
      </c>
      <c r="BE606" s="382">
        <f>IF(BD606&gt;0,269,0)</f>
        <v>269</v>
      </c>
      <c r="BG606" s="383">
        <f>IF($BE606&gt;$R$66-3+($BR$335*12),269,0)</f>
        <v>269</v>
      </c>
      <c r="BH606" s="1754">
        <f t="shared" si="309"/>
        <v>0</v>
      </c>
      <c r="BI606" s="1754"/>
      <c r="BJ606" s="1754"/>
      <c r="BK606" s="1754"/>
      <c r="BL606" s="1754">
        <f t="shared" si="293"/>
        <v>0</v>
      </c>
      <c r="BM606" s="1754"/>
      <c r="BN606" s="1754"/>
      <c r="BO606" s="1754">
        <f t="shared" si="285"/>
        <v>0</v>
      </c>
      <c r="BP606" s="1754"/>
      <c r="BQ606" s="1754"/>
      <c r="BR606" s="1754">
        <f t="shared" si="310"/>
        <v>0</v>
      </c>
      <c r="BS606" s="1754"/>
      <c r="BT606" s="1754"/>
      <c r="BU606" s="1754"/>
      <c r="BW606" s="383">
        <f>IF($BE606&gt;$R$66-3+($CH$335*12),269,0)</f>
        <v>269</v>
      </c>
      <c r="BX606" s="1754">
        <f t="shared" si="273"/>
        <v>0</v>
      </c>
      <c r="BY606" s="1754"/>
      <c r="BZ606" s="1754"/>
      <c r="CA606" s="1754"/>
      <c r="CB606" s="1754">
        <f t="shared" si="294"/>
        <v>0</v>
      </c>
      <c r="CC606" s="1754"/>
      <c r="CD606" s="1754"/>
      <c r="CE606" s="1754">
        <f t="shared" si="286"/>
        <v>0</v>
      </c>
      <c r="CF606" s="1754"/>
      <c r="CG606" s="1754"/>
      <c r="CH606" s="1754">
        <f t="shared" si="287"/>
        <v>0</v>
      </c>
      <c r="CI606" s="1754"/>
      <c r="CJ606" s="1754"/>
      <c r="CK606" s="1754"/>
      <c r="CM606" s="383">
        <f>IF($BE606&gt;$R$66-3+($CX$335*12),269,0)</f>
        <v>269</v>
      </c>
      <c r="CN606" s="1754">
        <f t="shared" si="274"/>
        <v>0</v>
      </c>
      <c r="CO606" s="1754"/>
      <c r="CP606" s="1754"/>
      <c r="CQ606" s="1754"/>
      <c r="CR606" s="1754">
        <f t="shared" si="295"/>
        <v>0</v>
      </c>
      <c r="CS606" s="1754"/>
      <c r="CT606" s="1754"/>
      <c r="CU606" s="1754">
        <f t="shared" si="288"/>
        <v>0</v>
      </c>
      <c r="CV606" s="1754"/>
      <c r="CW606" s="1754"/>
      <c r="CX606" s="1754">
        <f t="shared" si="289"/>
        <v>0</v>
      </c>
      <c r="CY606" s="1754"/>
      <c r="CZ606" s="1754"/>
      <c r="DA606" s="1754"/>
      <c r="DC606" s="383">
        <f>IF($BE606&gt;$R$66-3,269,0)</f>
        <v>269</v>
      </c>
      <c r="DD606" s="1754">
        <f t="shared" si="275"/>
        <v>0</v>
      </c>
      <c r="DE606" s="1754"/>
      <c r="DF606" s="1754"/>
      <c r="DG606" s="1754"/>
      <c r="DH606" s="1754">
        <f t="shared" si="296"/>
        <v>0</v>
      </c>
      <c r="DI606" s="1754"/>
      <c r="DJ606" s="1754"/>
      <c r="DK606" s="1754">
        <f t="shared" si="254"/>
        <v>0</v>
      </c>
      <c r="DL606" s="1754"/>
      <c r="DM606" s="1754"/>
      <c r="DN606" s="1754"/>
      <c r="DP606" s="383">
        <f t="shared" si="297"/>
        <v>269</v>
      </c>
      <c r="DQ606" s="1754">
        <f t="shared" si="305"/>
        <v>0</v>
      </c>
      <c r="DR606" s="1754"/>
      <c r="DS606" s="1754"/>
      <c r="DT606" s="1754"/>
      <c r="DU606" s="1754">
        <f t="shared" si="306"/>
        <v>0</v>
      </c>
      <c r="DV606" s="1754"/>
      <c r="DW606" s="1754"/>
      <c r="DX606" s="1754">
        <f t="shared" ref="DX606:DX649" si="317">(DQ606+DU606)*($DR$335/100)/12</f>
        <v>0</v>
      </c>
      <c r="DY606" s="1754"/>
      <c r="DZ606" s="1754"/>
      <c r="EA606" s="1754">
        <f t="shared" ref="EA606:EA649" si="318">DQ606+DU606+DX606</f>
        <v>0</v>
      </c>
      <c r="EB606" s="1754"/>
      <c r="EC606" s="1754"/>
      <c r="ED606" s="1754"/>
      <c r="EE606" s="384"/>
      <c r="EF606" s="1750">
        <f t="shared" si="290"/>
        <v>0</v>
      </c>
      <c r="EG606" s="1751"/>
      <c r="EH606" s="1751"/>
      <c r="EI606" s="1751"/>
      <c r="EJ606" s="1752"/>
      <c r="EL606" s="1750">
        <f t="shared" si="250"/>
        <v>0</v>
      </c>
      <c r="EM606" s="1751"/>
      <c r="EN606" s="1751"/>
      <c r="EO606" s="1751"/>
      <c r="EP606" s="1752"/>
      <c r="ER606" s="1750">
        <f t="shared" si="291"/>
        <v>0</v>
      </c>
      <c r="ES606" s="1751"/>
      <c r="ET606" s="1751"/>
      <c r="EU606" s="1751"/>
      <c r="EV606" s="1752"/>
      <c r="EX606" s="1750">
        <f>IF(BE606&gt;0,Einstrahlung!$K$18*Kalkulation!$P$62/100*$AY$29*POWER((100-$P$64)/100,BD606-1),0)</f>
        <v>0</v>
      </c>
      <c r="EY606" s="1751"/>
      <c r="EZ606" s="1751"/>
      <c r="FA606" s="1751"/>
      <c r="FB606" s="1752"/>
      <c r="FD606" s="1804">
        <f t="shared" si="280"/>
        <v>0</v>
      </c>
      <c r="FE606" s="1805"/>
      <c r="FF606" s="1805"/>
      <c r="FG606" s="1805"/>
      <c r="FH606" s="1806"/>
      <c r="FI606" s="785">
        <f t="shared" si="314"/>
        <v>1</v>
      </c>
      <c r="FJ606" s="380">
        <f t="shared" si="304"/>
        <v>0</v>
      </c>
      <c r="FK606" s="385"/>
      <c r="FL606" s="380">
        <f t="shared" si="315"/>
        <v>0</v>
      </c>
      <c r="FM606" s="385"/>
      <c r="FN606" s="380">
        <f t="shared" si="298"/>
        <v>0</v>
      </c>
      <c r="FO606" s="962">
        <f t="shared" si="302"/>
        <v>398</v>
      </c>
      <c r="FP606" s="956">
        <f t="shared" si="292"/>
        <v>0.4</v>
      </c>
      <c r="FQ606" s="380">
        <f t="shared" si="311"/>
        <v>0</v>
      </c>
      <c r="FR606" s="626">
        <f t="shared" si="312"/>
        <v>1</v>
      </c>
      <c r="FT606" s="1819">
        <f t="shared" si="303"/>
        <v>0</v>
      </c>
      <c r="FU606" s="1820"/>
      <c r="FV606" s="1820"/>
      <c r="FW606" s="1820"/>
      <c r="FX606" s="1821"/>
      <c r="FY606" s="1819">
        <f t="shared" si="299"/>
        <v>0</v>
      </c>
      <c r="FZ606" s="1820"/>
      <c r="GA606" s="1820"/>
      <c r="GB606" s="1821"/>
      <c r="GC606" s="1825">
        <f t="shared" si="253"/>
        <v>0</v>
      </c>
      <c r="GD606" s="1826"/>
      <c r="GE606" s="1826"/>
      <c r="GF606" s="1827"/>
      <c r="GH606" s="1750">
        <f t="shared" si="300"/>
        <v>0</v>
      </c>
      <c r="GI606" s="1751"/>
      <c r="GJ606" s="1751"/>
      <c r="GK606" s="1752"/>
      <c r="GL606" s="1750">
        <f t="shared" si="301"/>
        <v>0</v>
      </c>
      <c r="GM606" s="1751"/>
      <c r="GN606" s="1751"/>
      <c r="GO606" s="1752"/>
      <c r="GP606" s="385"/>
      <c r="GQ606" s="1750">
        <f t="shared" si="316"/>
        <v>0</v>
      </c>
      <c r="GR606" s="1751"/>
      <c r="GS606" s="1751"/>
      <c r="GT606" s="1752"/>
      <c r="GU606" s="192">
        <f t="shared" si="307"/>
        <v>1</v>
      </c>
      <c r="GV606" s="192">
        <f>SUM($GU$337:GU606)</f>
        <v>262</v>
      </c>
      <c r="GW606" s="318"/>
      <c r="HR606" s="380">
        <f t="shared" si="313"/>
        <v>0</v>
      </c>
      <c r="HX606" s="380"/>
    </row>
    <row r="607" spans="4:232">
      <c r="D607" s="409"/>
      <c r="E607" s="318"/>
      <c r="F607" s="1568"/>
      <c r="G607" s="1568"/>
      <c r="H607" s="1568"/>
      <c r="I607" s="1568"/>
      <c r="J607" s="1568"/>
      <c r="K607" s="1568"/>
      <c r="L607" s="1568">
        <f>F605</f>
        <v>0</v>
      </c>
      <c r="M607" s="1568"/>
      <c r="N607" s="1568"/>
      <c r="O607" s="1568"/>
      <c r="P607" s="1568"/>
      <c r="Q607" s="1568"/>
      <c r="R607" s="1568"/>
      <c r="S607" s="1568"/>
      <c r="T607" s="1568"/>
      <c r="U607" s="247"/>
      <c r="V607" s="1568"/>
      <c r="W607" s="1568"/>
      <c r="X607" s="1568"/>
      <c r="Y607" s="523"/>
      <c r="BD607" s="387">
        <f t="shared" si="308"/>
        <v>22</v>
      </c>
      <c r="BE607" s="382">
        <f>IF(BD607&gt;0,270,0)</f>
        <v>270</v>
      </c>
      <c r="BG607" s="383">
        <f>IF($BE607&gt;$R$66-3+($BR$335*12),270,0)</f>
        <v>270</v>
      </c>
      <c r="BH607" s="1754">
        <f t="shared" si="309"/>
        <v>0</v>
      </c>
      <c r="BI607" s="1754"/>
      <c r="BJ607" s="1754"/>
      <c r="BK607" s="1754"/>
      <c r="BL607" s="1754">
        <f t="shared" si="293"/>
        <v>0</v>
      </c>
      <c r="BM607" s="1754"/>
      <c r="BN607" s="1754"/>
      <c r="BO607" s="1754">
        <f t="shared" si="285"/>
        <v>0</v>
      </c>
      <c r="BP607" s="1754"/>
      <c r="BQ607" s="1754"/>
      <c r="BR607" s="1754">
        <f t="shared" si="310"/>
        <v>0</v>
      </c>
      <c r="BS607" s="1754"/>
      <c r="BT607" s="1754"/>
      <c r="BU607" s="1754"/>
      <c r="BW607" s="383">
        <f>IF($BE607&gt;$R$66-3+($CH$335*12),270,0)</f>
        <v>270</v>
      </c>
      <c r="BX607" s="1754">
        <f t="shared" si="273"/>
        <v>0</v>
      </c>
      <c r="BY607" s="1754"/>
      <c r="BZ607" s="1754"/>
      <c r="CA607" s="1754"/>
      <c r="CB607" s="1754">
        <f t="shared" si="294"/>
        <v>0</v>
      </c>
      <c r="CC607" s="1754"/>
      <c r="CD607" s="1754"/>
      <c r="CE607" s="1754">
        <f t="shared" si="286"/>
        <v>0</v>
      </c>
      <c r="CF607" s="1754"/>
      <c r="CG607" s="1754"/>
      <c r="CH607" s="1754">
        <f t="shared" si="287"/>
        <v>0</v>
      </c>
      <c r="CI607" s="1754"/>
      <c r="CJ607" s="1754"/>
      <c r="CK607" s="1754"/>
      <c r="CM607" s="383">
        <f>IF($BE607&gt;$R$66-3+($CX$335*12),270,0)</f>
        <v>270</v>
      </c>
      <c r="CN607" s="1754">
        <f t="shared" si="274"/>
        <v>0</v>
      </c>
      <c r="CO607" s="1754"/>
      <c r="CP607" s="1754"/>
      <c r="CQ607" s="1754"/>
      <c r="CR607" s="1754">
        <f t="shared" si="295"/>
        <v>0</v>
      </c>
      <c r="CS607" s="1754"/>
      <c r="CT607" s="1754"/>
      <c r="CU607" s="1754">
        <f t="shared" si="288"/>
        <v>0</v>
      </c>
      <c r="CV607" s="1754"/>
      <c r="CW607" s="1754"/>
      <c r="CX607" s="1754">
        <f t="shared" si="289"/>
        <v>0</v>
      </c>
      <c r="CY607" s="1754"/>
      <c r="CZ607" s="1754"/>
      <c r="DA607" s="1754"/>
      <c r="DC607" s="383">
        <f>IF($BE607&gt;$R$66-3,270,0)</f>
        <v>270</v>
      </c>
      <c r="DD607" s="1754">
        <f t="shared" si="275"/>
        <v>0</v>
      </c>
      <c r="DE607" s="1754"/>
      <c r="DF607" s="1754"/>
      <c r="DG607" s="1754"/>
      <c r="DH607" s="1754">
        <f t="shared" si="296"/>
        <v>0</v>
      </c>
      <c r="DI607" s="1754"/>
      <c r="DJ607" s="1754"/>
      <c r="DK607" s="1754">
        <f t="shared" si="254"/>
        <v>0</v>
      </c>
      <c r="DL607" s="1754"/>
      <c r="DM607" s="1754"/>
      <c r="DN607" s="1754"/>
      <c r="DP607" s="383">
        <f t="shared" si="297"/>
        <v>270</v>
      </c>
      <c r="DQ607" s="1754">
        <f t="shared" si="305"/>
        <v>0</v>
      </c>
      <c r="DR607" s="1754"/>
      <c r="DS607" s="1754"/>
      <c r="DT607" s="1754"/>
      <c r="DU607" s="1754">
        <f t="shared" si="306"/>
        <v>0</v>
      </c>
      <c r="DV607" s="1754"/>
      <c r="DW607" s="1754"/>
      <c r="DX607" s="1754">
        <f t="shared" si="317"/>
        <v>0</v>
      </c>
      <c r="DY607" s="1754"/>
      <c r="DZ607" s="1754"/>
      <c r="EA607" s="1754">
        <f t="shared" si="318"/>
        <v>0</v>
      </c>
      <c r="EB607" s="1754"/>
      <c r="EC607" s="1754"/>
      <c r="ED607" s="1754"/>
      <c r="EE607" s="384"/>
      <c r="EF607" s="1750">
        <f t="shared" si="290"/>
        <v>0</v>
      </c>
      <c r="EG607" s="1751"/>
      <c r="EH607" s="1751"/>
      <c r="EI607" s="1751"/>
      <c r="EJ607" s="1752"/>
      <c r="EL607" s="1750">
        <f t="shared" ref="EL607:EL638" si="319">EL595</f>
        <v>0</v>
      </c>
      <c r="EM607" s="1751"/>
      <c r="EN607" s="1751"/>
      <c r="EO607" s="1751"/>
      <c r="EP607" s="1752"/>
      <c r="ER607" s="1750">
        <f t="shared" si="291"/>
        <v>0</v>
      </c>
      <c r="ES607" s="1751"/>
      <c r="ET607" s="1751"/>
      <c r="EU607" s="1751"/>
      <c r="EV607" s="1752"/>
      <c r="EX607" s="1750">
        <f>IF(BE607&gt;0,Einstrahlung!$K$20*Kalkulation!$P$62/100*$AY$29*POWER((100-$P$64)/100,BD607-1),0)</f>
        <v>0</v>
      </c>
      <c r="EY607" s="1751"/>
      <c r="EZ607" s="1751"/>
      <c r="FA607" s="1751"/>
      <c r="FB607" s="1752"/>
      <c r="FD607" s="1804">
        <f t="shared" si="280"/>
        <v>0</v>
      </c>
      <c r="FE607" s="1805"/>
      <c r="FF607" s="1805"/>
      <c r="FG607" s="1805"/>
      <c r="FH607" s="1806"/>
      <c r="FI607" s="785">
        <f t="shared" si="314"/>
        <v>1</v>
      </c>
      <c r="FJ607" s="380">
        <f t="shared" si="304"/>
        <v>0</v>
      </c>
      <c r="FK607" s="385"/>
      <c r="FL607" s="380">
        <f t="shared" si="315"/>
        <v>0</v>
      </c>
      <c r="FM607" s="385"/>
      <c r="FN607" s="380">
        <f t="shared" si="298"/>
        <v>0</v>
      </c>
      <c r="FO607" s="962">
        <f t="shared" si="302"/>
        <v>399</v>
      </c>
      <c r="FP607" s="956">
        <f t="shared" si="292"/>
        <v>0.4</v>
      </c>
      <c r="FQ607" s="380">
        <f t="shared" si="311"/>
        <v>0</v>
      </c>
      <c r="FR607" s="626">
        <f t="shared" si="312"/>
        <v>1</v>
      </c>
      <c r="FT607" s="1819">
        <f t="shared" si="303"/>
        <v>0</v>
      </c>
      <c r="FU607" s="1820"/>
      <c r="FV607" s="1820"/>
      <c r="FW607" s="1820"/>
      <c r="FX607" s="1821"/>
      <c r="FY607" s="1819">
        <f t="shared" si="299"/>
        <v>0</v>
      </c>
      <c r="FZ607" s="1820"/>
      <c r="GA607" s="1820"/>
      <c r="GB607" s="1821"/>
      <c r="GC607" s="1825">
        <f t="shared" ref="GC607:GC649" si="320">FT607+FY607</f>
        <v>0</v>
      </c>
      <c r="GD607" s="1826"/>
      <c r="GE607" s="1826"/>
      <c r="GF607" s="1827"/>
      <c r="GH607" s="1750">
        <f t="shared" si="300"/>
        <v>0</v>
      </c>
      <c r="GI607" s="1751"/>
      <c r="GJ607" s="1751"/>
      <c r="GK607" s="1752"/>
      <c r="GL607" s="1750">
        <f t="shared" si="301"/>
        <v>0</v>
      </c>
      <c r="GM607" s="1751"/>
      <c r="GN607" s="1751"/>
      <c r="GO607" s="1752"/>
      <c r="GP607" s="385"/>
      <c r="GQ607" s="1750">
        <f t="shared" si="316"/>
        <v>0</v>
      </c>
      <c r="GR607" s="1751"/>
      <c r="GS607" s="1751"/>
      <c r="GT607" s="1752"/>
      <c r="GU607" s="192">
        <f t="shared" si="307"/>
        <v>1</v>
      </c>
      <c r="GV607" s="192">
        <f>SUM($GU$337:GU607)</f>
        <v>263</v>
      </c>
      <c r="GW607" s="318"/>
      <c r="HR607" s="380">
        <f t="shared" si="313"/>
        <v>0</v>
      </c>
      <c r="HX607" s="380"/>
    </row>
    <row r="608" spans="4:232">
      <c r="D608" s="409"/>
      <c r="E608" s="318"/>
      <c r="F608" s="1568"/>
      <c r="G608" s="1568"/>
      <c r="H608" s="1568"/>
      <c r="I608" s="1568"/>
      <c r="J608" s="1568"/>
      <c r="K608" s="1568"/>
      <c r="L608" s="1568"/>
      <c r="M608" s="1568"/>
      <c r="N608" s="1568"/>
      <c r="O608" s="1568">
        <f>V608</f>
        <v>0</v>
      </c>
      <c r="P608" s="1568"/>
      <c r="Q608" s="1568"/>
      <c r="R608" s="1568"/>
      <c r="S608" s="1568"/>
      <c r="T608" s="1568"/>
      <c r="U608" s="247"/>
      <c r="V608" s="1568">
        <f>IF(D261&gt;0,V603+(G261+J261)-(O261+Q261+S261+T261+V261)+Y261,0)</f>
        <v>0</v>
      </c>
      <c r="W608" s="1568"/>
      <c r="X608" s="1568"/>
      <c r="Y608" s="523">
        <f>IF(D261&gt;0,IF(V608&gt;0,0,1),0)</f>
        <v>1</v>
      </c>
      <c r="BD608" s="387">
        <f t="shared" si="308"/>
        <v>22</v>
      </c>
      <c r="BE608" s="382">
        <f>IF(BD608&gt;0,271,0)</f>
        <v>271</v>
      </c>
      <c r="BG608" s="383">
        <f>IF($BE608&gt;$R$66-3+($BR$335*12),271,0)</f>
        <v>271</v>
      </c>
      <c r="BH608" s="1754">
        <f t="shared" si="309"/>
        <v>0</v>
      </c>
      <c r="BI608" s="1754"/>
      <c r="BJ608" s="1754"/>
      <c r="BK608" s="1754"/>
      <c r="BL608" s="1754">
        <f t="shared" si="293"/>
        <v>0</v>
      </c>
      <c r="BM608" s="1754"/>
      <c r="BN608" s="1754"/>
      <c r="BO608" s="1754">
        <f t="shared" si="285"/>
        <v>0</v>
      </c>
      <c r="BP608" s="1754"/>
      <c r="BQ608" s="1754"/>
      <c r="BR608" s="1754">
        <f t="shared" si="310"/>
        <v>0</v>
      </c>
      <c r="BS608" s="1754"/>
      <c r="BT608" s="1754"/>
      <c r="BU608" s="1754"/>
      <c r="BW608" s="383">
        <f>IF($BE608&gt;$R$66-3+($CH$335*12),271,0)</f>
        <v>271</v>
      </c>
      <c r="BX608" s="1754">
        <f t="shared" si="273"/>
        <v>0</v>
      </c>
      <c r="BY608" s="1754"/>
      <c r="BZ608" s="1754"/>
      <c r="CA608" s="1754"/>
      <c r="CB608" s="1754">
        <f t="shared" si="294"/>
        <v>0</v>
      </c>
      <c r="CC608" s="1754"/>
      <c r="CD608" s="1754"/>
      <c r="CE608" s="1754">
        <f t="shared" si="286"/>
        <v>0</v>
      </c>
      <c r="CF608" s="1754"/>
      <c r="CG608" s="1754"/>
      <c r="CH608" s="1754">
        <f t="shared" si="287"/>
        <v>0</v>
      </c>
      <c r="CI608" s="1754"/>
      <c r="CJ608" s="1754"/>
      <c r="CK608" s="1754"/>
      <c r="CM608" s="383">
        <f>IF($BE608&gt;$R$66-3+($CX$335*12),271,0)</f>
        <v>271</v>
      </c>
      <c r="CN608" s="1754">
        <f t="shared" si="274"/>
        <v>0</v>
      </c>
      <c r="CO608" s="1754"/>
      <c r="CP608" s="1754"/>
      <c r="CQ608" s="1754"/>
      <c r="CR608" s="1754">
        <f t="shared" si="295"/>
        <v>0</v>
      </c>
      <c r="CS608" s="1754"/>
      <c r="CT608" s="1754"/>
      <c r="CU608" s="1754">
        <f t="shared" si="288"/>
        <v>0</v>
      </c>
      <c r="CV608" s="1754"/>
      <c r="CW608" s="1754"/>
      <c r="CX608" s="1754">
        <f t="shared" si="289"/>
        <v>0</v>
      </c>
      <c r="CY608" s="1754"/>
      <c r="CZ608" s="1754"/>
      <c r="DA608" s="1754"/>
      <c r="DC608" s="383">
        <f>IF($BE608&gt;$R$66-3,271,0)</f>
        <v>271</v>
      </c>
      <c r="DD608" s="1754">
        <f t="shared" si="275"/>
        <v>0</v>
      </c>
      <c r="DE608" s="1754"/>
      <c r="DF608" s="1754"/>
      <c r="DG608" s="1754"/>
      <c r="DH608" s="1754">
        <f t="shared" si="296"/>
        <v>0</v>
      </c>
      <c r="DI608" s="1754"/>
      <c r="DJ608" s="1754"/>
      <c r="DK608" s="1754">
        <f t="shared" si="254"/>
        <v>0</v>
      </c>
      <c r="DL608" s="1754"/>
      <c r="DM608" s="1754"/>
      <c r="DN608" s="1754"/>
      <c r="DP608" s="383">
        <f t="shared" si="297"/>
        <v>271</v>
      </c>
      <c r="DQ608" s="1754">
        <f t="shared" si="305"/>
        <v>0</v>
      </c>
      <c r="DR608" s="1754"/>
      <c r="DS608" s="1754"/>
      <c r="DT608" s="1754"/>
      <c r="DU608" s="1754">
        <f t="shared" si="306"/>
        <v>0</v>
      </c>
      <c r="DV608" s="1754"/>
      <c r="DW608" s="1754"/>
      <c r="DX608" s="1754">
        <f t="shared" si="317"/>
        <v>0</v>
      </c>
      <c r="DY608" s="1754"/>
      <c r="DZ608" s="1754"/>
      <c r="EA608" s="1754">
        <f t="shared" si="318"/>
        <v>0</v>
      </c>
      <c r="EB608" s="1754"/>
      <c r="EC608" s="1754"/>
      <c r="ED608" s="1754"/>
      <c r="EE608" s="384"/>
      <c r="EF608" s="1750">
        <f t="shared" si="290"/>
        <v>0</v>
      </c>
      <c r="EG608" s="1751"/>
      <c r="EH608" s="1751"/>
      <c r="EI608" s="1751"/>
      <c r="EJ608" s="1752"/>
      <c r="EL608" s="1750">
        <f t="shared" si="319"/>
        <v>0</v>
      </c>
      <c r="EM608" s="1751"/>
      <c r="EN608" s="1751"/>
      <c r="EO608" s="1751"/>
      <c r="EP608" s="1752"/>
      <c r="ER608" s="1750">
        <f t="shared" si="291"/>
        <v>0</v>
      </c>
      <c r="ES608" s="1751"/>
      <c r="ET608" s="1751"/>
      <c r="EU608" s="1751"/>
      <c r="EV608" s="1752"/>
      <c r="EX608" s="1750">
        <f>IF(BE608&gt;0,Einstrahlung!$K$22*Kalkulation!$P$62/100*$AY$29*POWER((100-$P$64)/100,BD608-1),0)</f>
        <v>0</v>
      </c>
      <c r="EY608" s="1751"/>
      <c r="EZ608" s="1751"/>
      <c r="FA608" s="1751"/>
      <c r="FB608" s="1752"/>
      <c r="FD608" s="1804">
        <f t="shared" si="280"/>
        <v>0</v>
      </c>
      <c r="FE608" s="1805"/>
      <c r="FF608" s="1805"/>
      <c r="FG608" s="1805"/>
      <c r="FH608" s="1806"/>
      <c r="FI608" s="785">
        <f t="shared" si="314"/>
        <v>1</v>
      </c>
      <c r="FJ608" s="380">
        <f t="shared" si="304"/>
        <v>0</v>
      </c>
      <c r="FK608" s="385"/>
      <c r="FL608" s="380">
        <f t="shared" si="315"/>
        <v>0</v>
      </c>
      <c r="FM608" s="385"/>
      <c r="FN608" s="380">
        <f t="shared" si="298"/>
        <v>0</v>
      </c>
      <c r="FO608" s="962">
        <f t="shared" si="302"/>
        <v>400</v>
      </c>
      <c r="FP608" s="956">
        <f t="shared" si="292"/>
        <v>0.4</v>
      </c>
      <c r="FQ608" s="380">
        <f t="shared" si="311"/>
        <v>0</v>
      </c>
      <c r="FR608" s="626">
        <f t="shared" si="312"/>
        <v>1</v>
      </c>
      <c r="FT608" s="1819">
        <f t="shared" si="303"/>
        <v>0</v>
      </c>
      <c r="FU608" s="1820"/>
      <c r="FV608" s="1820"/>
      <c r="FW608" s="1820"/>
      <c r="FX608" s="1821"/>
      <c r="FY608" s="1819">
        <f t="shared" si="299"/>
        <v>0</v>
      </c>
      <c r="FZ608" s="1820"/>
      <c r="GA608" s="1820"/>
      <c r="GB608" s="1821"/>
      <c r="GC608" s="1825">
        <f t="shared" si="320"/>
        <v>0</v>
      </c>
      <c r="GD608" s="1826"/>
      <c r="GE608" s="1826"/>
      <c r="GF608" s="1827"/>
      <c r="GH608" s="1750">
        <f t="shared" si="300"/>
        <v>0</v>
      </c>
      <c r="GI608" s="1751"/>
      <c r="GJ608" s="1751"/>
      <c r="GK608" s="1752"/>
      <c r="GL608" s="1750">
        <f t="shared" si="301"/>
        <v>0</v>
      </c>
      <c r="GM608" s="1751"/>
      <c r="GN608" s="1751"/>
      <c r="GO608" s="1752"/>
      <c r="GP608" s="385"/>
      <c r="GQ608" s="1750">
        <f t="shared" si="316"/>
        <v>0</v>
      </c>
      <c r="GR608" s="1751"/>
      <c r="GS608" s="1751"/>
      <c r="GT608" s="1752"/>
      <c r="GU608" s="192">
        <f t="shared" si="307"/>
        <v>1</v>
      </c>
      <c r="GV608" s="192">
        <f>SUM($GU$337:GU608)</f>
        <v>264</v>
      </c>
      <c r="GW608" s="318"/>
      <c r="HR608" s="380">
        <f t="shared" si="313"/>
        <v>0</v>
      </c>
      <c r="HX608" s="380"/>
    </row>
    <row r="609" spans="4:232">
      <c r="D609" s="409"/>
      <c r="E609" s="318"/>
      <c r="F609" s="1568"/>
      <c r="G609" s="1568"/>
      <c r="H609" s="1568"/>
      <c r="I609" s="1568"/>
      <c r="J609" s="1568"/>
      <c r="K609" s="1568"/>
      <c r="L609" s="1568"/>
      <c r="M609" s="1568"/>
      <c r="N609" s="1568"/>
      <c r="O609" s="1568"/>
      <c r="P609" s="1568"/>
      <c r="Q609" s="1568"/>
      <c r="R609" s="1568"/>
      <c r="S609" s="1568"/>
      <c r="T609" s="1568"/>
      <c r="U609" s="247"/>
      <c r="V609" s="1568"/>
      <c r="W609" s="1568"/>
      <c r="X609" s="1568"/>
      <c r="Y609" s="523"/>
      <c r="BD609" s="387">
        <f t="shared" si="308"/>
        <v>22</v>
      </c>
      <c r="BE609" s="382">
        <f>IF(BD609&gt;0,272,0)</f>
        <v>272</v>
      </c>
      <c r="BG609" s="383">
        <f>IF($BE609&gt;$R$66-3+($BR$335*12),272,0)</f>
        <v>272</v>
      </c>
      <c r="BH609" s="1754">
        <f t="shared" si="309"/>
        <v>0</v>
      </c>
      <c r="BI609" s="1754"/>
      <c r="BJ609" s="1754"/>
      <c r="BK609" s="1754"/>
      <c r="BL609" s="1754">
        <f t="shared" si="293"/>
        <v>0</v>
      </c>
      <c r="BM609" s="1754"/>
      <c r="BN609" s="1754"/>
      <c r="BO609" s="1754">
        <f t="shared" si="285"/>
        <v>0</v>
      </c>
      <c r="BP609" s="1754"/>
      <c r="BQ609" s="1754"/>
      <c r="BR609" s="1754">
        <f t="shared" si="310"/>
        <v>0</v>
      </c>
      <c r="BS609" s="1754"/>
      <c r="BT609" s="1754"/>
      <c r="BU609" s="1754"/>
      <c r="BW609" s="383">
        <f>IF($BE609&gt;$R$66-3+($CH$335*12),272,0)</f>
        <v>272</v>
      </c>
      <c r="BX609" s="1754">
        <f t="shared" si="273"/>
        <v>0</v>
      </c>
      <c r="BY609" s="1754"/>
      <c r="BZ609" s="1754"/>
      <c r="CA609" s="1754"/>
      <c r="CB609" s="1754">
        <f t="shared" si="294"/>
        <v>0</v>
      </c>
      <c r="CC609" s="1754"/>
      <c r="CD609" s="1754"/>
      <c r="CE609" s="1754">
        <f t="shared" si="286"/>
        <v>0</v>
      </c>
      <c r="CF609" s="1754"/>
      <c r="CG609" s="1754"/>
      <c r="CH609" s="1754">
        <f t="shared" si="287"/>
        <v>0</v>
      </c>
      <c r="CI609" s="1754"/>
      <c r="CJ609" s="1754"/>
      <c r="CK609" s="1754"/>
      <c r="CM609" s="383">
        <f>IF($BE609&gt;$R$66-3+($CX$335*12),272,0)</f>
        <v>272</v>
      </c>
      <c r="CN609" s="1754">
        <f t="shared" si="274"/>
        <v>0</v>
      </c>
      <c r="CO609" s="1754"/>
      <c r="CP609" s="1754"/>
      <c r="CQ609" s="1754"/>
      <c r="CR609" s="1754">
        <f t="shared" si="295"/>
        <v>0</v>
      </c>
      <c r="CS609" s="1754"/>
      <c r="CT609" s="1754"/>
      <c r="CU609" s="1754">
        <f t="shared" si="288"/>
        <v>0</v>
      </c>
      <c r="CV609" s="1754"/>
      <c r="CW609" s="1754"/>
      <c r="CX609" s="1754">
        <f t="shared" si="289"/>
        <v>0</v>
      </c>
      <c r="CY609" s="1754"/>
      <c r="CZ609" s="1754"/>
      <c r="DA609" s="1754"/>
      <c r="DC609" s="383">
        <f>IF($BE609&gt;$R$66-3,272,0)</f>
        <v>272</v>
      </c>
      <c r="DD609" s="1754">
        <f t="shared" si="275"/>
        <v>0</v>
      </c>
      <c r="DE609" s="1754"/>
      <c r="DF609" s="1754"/>
      <c r="DG609" s="1754"/>
      <c r="DH609" s="1754">
        <f t="shared" si="296"/>
        <v>0</v>
      </c>
      <c r="DI609" s="1754"/>
      <c r="DJ609" s="1754"/>
      <c r="DK609" s="1754">
        <f t="shared" si="254"/>
        <v>0</v>
      </c>
      <c r="DL609" s="1754"/>
      <c r="DM609" s="1754"/>
      <c r="DN609" s="1754"/>
      <c r="DP609" s="383">
        <f t="shared" si="297"/>
        <v>272</v>
      </c>
      <c r="DQ609" s="1754">
        <f t="shared" si="305"/>
        <v>0</v>
      </c>
      <c r="DR609" s="1754"/>
      <c r="DS609" s="1754"/>
      <c r="DT609" s="1754"/>
      <c r="DU609" s="1754">
        <f t="shared" si="306"/>
        <v>0</v>
      </c>
      <c r="DV609" s="1754"/>
      <c r="DW609" s="1754"/>
      <c r="DX609" s="1754">
        <f t="shared" si="317"/>
        <v>0</v>
      </c>
      <c r="DY609" s="1754"/>
      <c r="DZ609" s="1754"/>
      <c r="EA609" s="1754">
        <f t="shared" si="318"/>
        <v>0</v>
      </c>
      <c r="EB609" s="1754"/>
      <c r="EC609" s="1754"/>
      <c r="ED609" s="1754"/>
      <c r="EE609" s="384"/>
      <c r="EF609" s="1750">
        <f t="shared" si="290"/>
        <v>0</v>
      </c>
      <c r="EG609" s="1751"/>
      <c r="EH609" s="1751"/>
      <c r="EI609" s="1751"/>
      <c r="EJ609" s="1752"/>
      <c r="EL609" s="1750">
        <f t="shared" si="319"/>
        <v>0</v>
      </c>
      <c r="EM609" s="1751"/>
      <c r="EN609" s="1751"/>
      <c r="EO609" s="1751"/>
      <c r="EP609" s="1752"/>
      <c r="ER609" s="1750">
        <f t="shared" si="291"/>
        <v>0</v>
      </c>
      <c r="ES609" s="1751"/>
      <c r="ET609" s="1751"/>
      <c r="EU609" s="1751"/>
      <c r="EV609" s="1752"/>
      <c r="EX609" s="1750">
        <f>IF(BE609&gt;0,Einstrahlung!$K$24*Kalkulation!$P$62/100*$AY$29*POWER((100-$P$64)/100,BD609-1),0)</f>
        <v>0</v>
      </c>
      <c r="EY609" s="1751"/>
      <c r="EZ609" s="1751"/>
      <c r="FA609" s="1751"/>
      <c r="FB609" s="1752"/>
      <c r="FD609" s="1804">
        <f t="shared" si="280"/>
        <v>0</v>
      </c>
      <c r="FE609" s="1805"/>
      <c r="FF609" s="1805"/>
      <c r="FG609" s="1805"/>
      <c r="FH609" s="1806"/>
      <c r="FI609" s="785">
        <f t="shared" si="314"/>
        <v>1</v>
      </c>
      <c r="FJ609" s="380">
        <f t="shared" si="304"/>
        <v>0</v>
      </c>
      <c r="FK609" s="385"/>
      <c r="FL609" s="380">
        <f t="shared" si="315"/>
        <v>0</v>
      </c>
      <c r="FM609" s="385"/>
      <c r="FN609" s="380">
        <f t="shared" si="298"/>
        <v>0</v>
      </c>
      <c r="FO609" s="962">
        <f t="shared" si="302"/>
        <v>401</v>
      </c>
      <c r="FP609" s="956">
        <f t="shared" si="292"/>
        <v>0.4</v>
      </c>
      <c r="FQ609" s="380">
        <f t="shared" si="311"/>
        <v>0</v>
      </c>
      <c r="FR609" s="626">
        <f t="shared" si="312"/>
        <v>1</v>
      </c>
      <c r="FT609" s="1819">
        <f t="shared" si="303"/>
        <v>0</v>
      </c>
      <c r="FU609" s="1820"/>
      <c r="FV609" s="1820"/>
      <c r="FW609" s="1820"/>
      <c r="FX609" s="1821"/>
      <c r="FY609" s="1819">
        <f t="shared" si="299"/>
        <v>0</v>
      </c>
      <c r="FZ609" s="1820"/>
      <c r="GA609" s="1820"/>
      <c r="GB609" s="1821"/>
      <c r="GC609" s="1825">
        <f t="shared" si="320"/>
        <v>0</v>
      </c>
      <c r="GD609" s="1826"/>
      <c r="GE609" s="1826"/>
      <c r="GF609" s="1827"/>
      <c r="GH609" s="1750">
        <f t="shared" si="300"/>
        <v>0</v>
      </c>
      <c r="GI609" s="1751"/>
      <c r="GJ609" s="1751"/>
      <c r="GK609" s="1752"/>
      <c r="GL609" s="1750">
        <f t="shared" si="301"/>
        <v>0</v>
      </c>
      <c r="GM609" s="1751"/>
      <c r="GN609" s="1751"/>
      <c r="GO609" s="1752"/>
      <c r="GP609" s="385"/>
      <c r="GQ609" s="1750">
        <f t="shared" si="316"/>
        <v>0</v>
      </c>
      <c r="GR609" s="1751"/>
      <c r="GS609" s="1751"/>
      <c r="GT609" s="1752"/>
      <c r="GU609" s="192">
        <f t="shared" si="307"/>
        <v>1</v>
      </c>
      <c r="GV609" s="192">
        <f>SUM($GU$337:GU609)</f>
        <v>265</v>
      </c>
      <c r="GW609" s="318"/>
      <c r="HR609" s="380">
        <f t="shared" si="313"/>
        <v>0</v>
      </c>
      <c r="HX609" s="380"/>
    </row>
    <row r="610" spans="4:232">
      <c r="D610" s="409">
        <v>9</v>
      </c>
      <c r="E610" s="318"/>
      <c r="F610" s="1568">
        <f>AH263</f>
        <v>0</v>
      </c>
      <c r="G610" s="1568"/>
      <c r="H610" s="1568"/>
      <c r="I610" s="1568"/>
      <c r="J610" s="1568"/>
      <c r="K610" s="1568"/>
      <c r="L610" s="1568"/>
      <c r="M610" s="1568"/>
      <c r="N610" s="1568"/>
      <c r="O610" s="1568"/>
      <c r="P610" s="1568"/>
      <c r="Q610" s="1568"/>
      <c r="R610" s="1568"/>
      <c r="S610" s="1568"/>
      <c r="T610" s="1568"/>
      <c r="U610" s="247"/>
      <c r="V610" s="1568"/>
      <c r="W610" s="1568"/>
      <c r="X610" s="1568"/>
      <c r="Y610" s="523"/>
      <c r="BD610" s="387">
        <f t="shared" si="308"/>
        <v>22</v>
      </c>
      <c r="BE610" s="382">
        <f>IF(BD610&gt;0,273,0)</f>
        <v>273</v>
      </c>
      <c r="BG610" s="383">
        <f>IF($BE610&gt;$R$66-3+($BR$335*12),273,0)</f>
        <v>273</v>
      </c>
      <c r="BH610" s="1754">
        <f t="shared" si="309"/>
        <v>0</v>
      </c>
      <c r="BI610" s="1754"/>
      <c r="BJ610" s="1754"/>
      <c r="BK610" s="1754"/>
      <c r="BL610" s="1754">
        <f t="shared" si="293"/>
        <v>0</v>
      </c>
      <c r="BM610" s="1754"/>
      <c r="BN610" s="1754"/>
      <c r="BO610" s="1754">
        <f t="shared" si="285"/>
        <v>0</v>
      </c>
      <c r="BP610" s="1754"/>
      <c r="BQ610" s="1754"/>
      <c r="BR610" s="1754">
        <f t="shared" si="310"/>
        <v>0</v>
      </c>
      <c r="BS610" s="1754"/>
      <c r="BT610" s="1754"/>
      <c r="BU610" s="1754"/>
      <c r="BW610" s="383">
        <f>IF($BE610&gt;$R$66-3+($CH$335*12),273,0)</f>
        <v>273</v>
      </c>
      <c r="BX610" s="1754">
        <f t="shared" si="273"/>
        <v>0</v>
      </c>
      <c r="BY610" s="1754"/>
      <c r="BZ610" s="1754"/>
      <c r="CA610" s="1754"/>
      <c r="CB610" s="1754">
        <f t="shared" si="294"/>
        <v>0</v>
      </c>
      <c r="CC610" s="1754"/>
      <c r="CD610" s="1754"/>
      <c r="CE610" s="1754">
        <f t="shared" si="286"/>
        <v>0</v>
      </c>
      <c r="CF610" s="1754"/>
      <c r="CG610" s="1754"/>
      <c r="CH610" s="1754">
        <f t="shared" si="287"/>
        <v>0</v>
      </c>
      <c r="CI610" s="1754"/>
      <c r="CJ610" s="1754"/>
      <c r="CK610" s="1754"/>
      <c r="CM610" s="383">
        <f>IF($BE610&gt;$R$66-3+($CX$335*12),273,0)</f>
        <v>273</v>
      </c>
      <c r="CN610" s="1754">
        <f t="shared" si="274"/>
        <v>0</v>
      </c>
      <c r="CO610" s="1754"/>
      <c r="CP610" s="1754"/>
      <c r="CQ610" s="1754"/>
      <c r="CR610" s="1754">
        <f t="shared" si="295"/>
        <v>0</v>
      </c>
      <c r="CS610" s="1754"/>
      <c r="CT610" s="1754"/>
      <c r="CU610" s="1754">
        <f t="shared" si="288"/>
        <v>0</v>
      </c>
      <c r="CV610" s="1754"/>
      <c r="CW610" s="1754"/>
      <c r="CX610" s="1754">
        <f t="shared" si="289"/>
        <v>0</v>
      </c>
      <c r="CY610" s="1754"/>
      <c r="CZ610" s="1754"/>
      <c r="DA610" s="1754"/>
      <c r="DC610" s="383">
        <f>IF($BE610&gt;$R$66-3,273,0)</f>
        <v>273</v>
      </c>
      <c r="DD610" s="1754">
        <f t="shared" si="275"/>
        <v>0</v>
      </c>
      <c r="DE610" s="1754"/>
      <c r="DF610" s="1754"/>
      <c r="DG610" s="1754"/>
      <c r="DH610" s="1754">
        <f t="shared" si="296"/>
        <v>0</v>
      </c>
      <c r="DI610" s="1754"/>
      <c r="DJ610" s="1754"/>
      <c r="DK610" s="1754">
        <f t="shared" si="254"/>
        <v>0</v>
      </c>
      <c r="DL610" s="1754"/>
      <c r="DM610" s="1754"/>
      <c r="DN610" s="1754"/>
      <c r="DP610" s="383">
        <f t="shared" si="297"/>
        <v>273</v>
      </c>
      <c r="DQ610" s="1754">
        <f t="shared" si="305"/>
        <v>0</v>
      </c>
      <c r="DR610" s="1754"/>
      <c r="DS610" s="1754"/>
      <c r="DT610" s="1754"/>
      <c r="DU610" s="1754">
        <f t="shared" si="306"/>
        <v>0</v>
      </c>
      <c r="DV610" s="1754"/>
      <c r="DW610" s="1754"/>
      <c r="DX610" s="1754">
        <f t="shared" si="317"/>
        <v>0</v>
      </c>
      <c r="DY610" s="1754"/>
      <c r="DZ610" s="1754"/>
      <c r="EA610" s="1754">
        <f t="shared" si="318"/>
        <v>0</v>
      </c>
      <c r="EB610" s="1754"/>
      <c r="EC610" s="1754"/>
      <c r="ED610" s="1754"/>
      <c r="EE610" s="384"/>
      <c r="EF610" s="1750">
        <f t="shared" si="290"/>
        <v>0</v>
      </c>
      <c r="EG610" s="1751"/>
      <c r="EH610" s="1751"/>
      <c r="EI610" s="1751"/>
      <c r="EJ610" s="1752"/>
      <c r="EL610" s="1750">
        <f t="shared" si="319"/>
        <v>0</v>
      </c>
      <c r="EM610" s="1751"/>
      <c r="EN610" s="1751"/>
      <c r="EO610" s="1751"/>
      <c r="EP610" s="1752"/>
      <c r="ER610" s="1750">
        <f t="shared" si="291"/>
        <v>0</v>
      </c>
      <c r="ES610" s="1751"/>
      <c r="ET610" s="1751"/>
      <c r="EU610" s="1751"/>
      <c r="EV610" s="1752"/>
      <c r="EX610" s="1750">
        <f>IF(BE610&gt;0,Einstrahlung!$K$26*Kalkulation!$P$62/100*$AY$29*POWER((100-$P$64)/100,BD610-1),0)</f>
        <v>0</v>
      </c>
      <c r="EY610" s="1751"/>
      <c r="EZ610" s="1751"/>
      <c r="FA610" s="1751"/>
      <c r="FB610" s="1752"/>
      <c r="FD610" s="1804">
        <f t="shared" si="280"/>
        <v>0</v>
      </c>
      <c r="FE610" s="1805"/>
      <c r="FF610" s="1805"/>
      <c r="FG610" s="1805"/>
      <c r="FH610" s="1806"/>
      <c r="FI610" s="785">
        <f t="shared" si="314"/>
        <v>1</v>
      </c>
      <c r="FJ610" s="380">
        <f t="shared" si="304"/>
        <v>0</v>
      </c>
      <c r="FK610" s="385"/>
      <c r="FL610" s="380">
        <f t="shared" si="315"/>
        <v>0</v>
      </c>
      <c r="FM610" s="385"/>
      <c r="FN610" s="380">
        <f t="shared" si="298"/>
        <v>0</v>
      </c>
      <c r="FO610" s="962">
        <f t="shared" si="302"/>
        <v>402</v>
      </c>
      <c r="FP610" s="956">
        <f t="shared" si="292"/>
        <v>0.4</v>
      </c>
      <c r="FQ610" s="380">
        <f t="shared" si="311"/>
        <v>0</v>
      </c>
      <c r="FR610" s="626">
        <f t="shared" si="312"/>
        <v>1</v>
      </c>
      <c r="FT610" s="1819">
        <f t="shared" si="303"/>
        <v>0</v>
      </c>
      <c r="FU610" s="1820"/>
      <c r="FV610" s="1820"/>
      <c r="FW610" s="1820"/>
      <c r="FX610" s="1821"/>
      <c r="FY610" s="1819">
        <f t="shared" si="299"/>
        <v>0</v>
      </c>
      <c r="FZ610" s="1820"/>
      <c r="GA610" s="1820"/>
      <c r="GB610" s="1821"/>
      <c r="GC610" s="1825">
        <f t="shared" si="320"/>
        <v>0</v>
      </c>
      <c r="GD610" s="1826"/>
      <c r="GE610" s="1826"/>
      <c r="GF610" s="1827"/>
      <c r="GH610" s="1750">
        <f t="shared" si="300"/>
        <v>0</v>
      </c>
      <c r="GI610" s="1751"/>
      <c r="GJ610" s="1751"/>
      <c r="GK610" s="1752"/>
      <c r="GL610" s="1750">
        <f t="shared" si="301"/>
        <v>0</v>
      </c>
      <c r="GM610" s="1751"/>
      <c r="GN610" s="1751"/>
      <c r="GO610" s="1752"/>
      <c r="GP610" s="385"/>
      <c r="GQ610" s="1750">
        <f t="shared" si="316"/>
        <v>0</v>
      </c>
      <c r="GR610" s="1751"/>
      <c r="GS610" s="1751"/>
      <c r="GT610" s="1752"/>
      <c r="GU610" s="192">
        <f t="shared" si="307"/>
        <v>1</v>
      </c>
      <c r="GV610" s="192">
        <f>SUM($GU$337:GU610)</f>
        <v>266</v>
      </c>
      <c r="GW610" s="318"/>
      <c r="HR610" s="380">
        <f t="shared" si="313"/>
        <v>0</v>
      </c>
      <c r="HX610" s="380"/>
    </row>
    <row r="611" spans="4:232">
      <c r="D611" s="409"/>
      <c r="E611" s="318"/>
      <c r="F611" s="1568"/>
      <c r="G611" s="1568"/>
      <c r="H611" s="1568"/>
      <c r="I611" s="1568">
        <f>F610</f>
        <v>0</v>
      </c>
      <c r="J611" s="1568"/>
      <c r="K611" s="1568"/>
      <c r="L611" s="1568"/>
      <c r="M611" s="1568"/>
      <c r="N611" s="1568"/>
      <c r="O611" s="1568"/>
      <c r="P611" s="1568"/>
      <c r="Q611" s="1568"/>
      <c r="R611" s="1568"/>
      <c r="S611" s="1568"/>
      <c r="T611" s="1568"/>
      <c r="U611" s="247"/>
      <c r="V611" s="1568"/>
      <c r="W611" s="1568"/>
      <c r="X611" s="1568"/>
      <c r="Y611" s="523"/>
      <c r="BD611" s="387">
        <f t="shared" si="308"/>
        <v>22</v>
      </c>
      <c r="BE611" s="382">
        <f>IF(BD611&gt;0,274,0)</f>
        <v>274</v>
      </c>
      <c r="BG611" s="383">
        <f>IF($BE611&gt;$R$66-3+($BR$335*12),274,0)</f>
        <v>274</v>
      </c>
      <c r="BH611" s="1754">
        <f t="shared" si="309"/>
        <v>0</v>
      </c>
      <c r="BI611" s="1754"/>
      <c r="BJ611" s="1754"/>
      <c r="BK611" s="1754"/>
      <c r="BL611" s="1754">
        <f t="shared" si="293"/>
        <v>0</v>
      </c>
      <c r="BM611" s="1754"/>
      <c r="BN611" s="1754"/>
      <c r="BO611" s="1754">
        <f t="shared" si="285"/>
        <v>0</v>
      </c>
      <c r="BP611" s="1754"/>
      <c r="BQ611" s="1754"/>
      <c r="BR611" s="1754">
        <f t="shared" si="310"/>
        <v>0</v>
      </c>
      <c r="BS611" s="1754"/>
      <c r="BT611" s="1754"/>
      <c r="BU611" s="1754"/>
      <c r="BW611" s="383">
        <f>IF($BE611&gt;$R$66-3+($CH$335*12),274,0)</f>
        <v>274</v>
      </c>
      <c r="BX611" s="1754">
        <f t="shared" si="273"/>
        <v>0</v>
      </c>
      <c r="BY611" s="1754"/>
      <c r="BZ611" s="1754"/>
      <c r="CA611" s="1754"/>
      <c r="CB611" s="1754">
        <f t="shared" si="294"/>
        <v>0</v>
      </c>
      <c r="CC611" s="1754"/>
      <c r="CD611" s="1754"/>
      <c r="CE611" s="1754">
        <f t="shared" si="286"/>
        <v>0</v>
      </c>
      <c r="CF611" s="1754"/>
      <c r="CG611" s="1754"/>
      <c r="CH611" s="1754">
        <f t="shared" si="287"/>
        <v>0</v>
      </c>
      <c r="CI611" s="1754"/>
      <c r="CJ611" s="1754"/>
      <c r="CK611" s="1754"/>
      <c r="CM611" s="383">
        <f>IF($BE611&gt;$R$66-3+($CX$335*12),274,0)</f>
        <v>274</v>
      </c>
      <c r="CN611" s="1754">
        <f t="shared" si="274"/>
        <v>0</v>
      </c>
      <c r="CO611" s="1754"/>
      <c r="CP611" s="1754"/>
      <c r="CQ611" s="1754"/>
      <c r="CR611" s="1754">
        <f t="shared" si="295"/>
        <v>0</v>
      </c>
      <c r="CS611" s="1754"/>
      <c r="CT611" s="1754"/>
      <c r="CU611" s="1754">
        <f t="shared" si="288"/>
        <v>0</v>
      </c>
      <c r="CV611" s="1754"/>
      <c r="CW611" s="1754"/>
      <c r="CX611" s="1754">
        <f t="shared" si="289"/>
        <v>0</v>
      </c>
      <c r="CY611" s="1754"/>
      <c r="CZ611" s="1754"/>
      <c r="DA611" s="1754"/>
      <c r="DC611" s="383">
        <f>IF($BE611&gt;$R$66-3,274,0)</f>
        <v>274</v>
      </c>
      <c r="DD611" s="1754">
        <f t="shared" si="275"/>
        <v>0</v>
      </c>
      <c r="DE611" s="1754"/>
      <c r="DF611" s="1754"/>
      <c r="DG611" s="1754"/>
      <c r="DH611" s="1754">
        <f t="shared" si="296"/>
        <v>0</v>
      </c>
      <c r="DI611" s="1754"/>
      <c r="DJ611" s="1754"/>
      <c r="DK611" s="1754">
        <f t="shared" si="254"/>
        <v>0</v>
      </c>
      <c r="DL611" s="1754"/>
      <c r="DM611" s="1754"/>
      <c r="DN611" s="1754"/>
      <c r="DP611" s="383">
        <f t="shared" si="297"/>
        <v>274</v>
      </c>
      <c r="DQ611" s="1754">
        <f t="shared" si="305"/>
        <v>0</v>
      </c>
      <c r="DR611" s="1754"/>
      <c r="DS611" s="1754"/>
      <c r="DT611" s="1754"/>
      <c r="DU611" s="1754">
        <f t="shared" si="306"/>
        <v>0</v>
      </c>
      <c r="DV611" s="1754"/>
      <c r="DW611" s="1754"/>
      <c r="DX611" s="1754">
        <f t="shared" si="317"/>
        <v>0</v>
      </c>
      <c r="DY611" s="1754"/>
      <c r="DZ611" s="1754"/>
      <c r="EA611" s="1754">
        <f t="shared" si="318"/>
        <v>0</v>
      </c>
      <c r="EB611" s="1754"/>
      <c r="EC611" s="1754"/>
      <c r="ED611" s="1754"/>
      <c r="EE611" s="384"/>
      <c r="EF611" s="1750">
        <f t="shared" si="290"/>
        <v>0</v>
      </c>
      <c r="EG611" s="1751"/>
      <c r="EH611" s="1751"/>
      <c r="EI611" s="1751"/>
      <c r="EJ611" s="1752"/>
      <c r="EL611" s="1750">
        <f t="shared" si="319"/>
        <v>0</v>
      </c>
      <c r="EM611" s="1751"/>
      <c r="EN611" s="1751"/>
      <c r="EO611" s="1751"/>
      <c r="EP611" s="1752"/>
      <c r="ER611" s="1750">
        <f t="shared" si="291"/>
        <v>0</v>
      </c>
      <c r="ES611" s="1751"/>
      <c r="ET611" s="1751"/>
      <c r="EU611" s="1751"/>
      <c r="EV611" s="1752"/>
      <c r="EX611" s="1750">
        <f>IF(BE611&gt;0,Einstrahlung!$K$28*Kalkulation!$P$62/100*$AY$29*POWER((100-$P$64)/100,BD611-1),0)</f>
        <v>0</v>
      </c>
      <c r="EY611" s="1751"/>
      <c r="EZ611" s="1751"/>
      <c r="FA611" s="1751"/>
      <c r="FB611" s="1752"/>
      <c r="FD611" s="1804">
        <f t="shared" si="280"/>
        <v>0</v>
      </c>
      <c r="FE611" s="1805"/>
      <c r="FF611" s="1805"/>
      <c r="FG611" s="1805"/>
      <c r="FH611" s="1806"/>
      <c r="FI611" s="785">
        <f t="shared" si="314"/>
        <v>1</v>
      </c>
      <c r="FJ611" s="380">
        <f t="shared" si="304"/>
        <v>0</v>
      </c>
      <c r="FK611" s="385"/>
      <c r="FL611" s="380">
        <f t="shared" si="315"/>
        <v>0</v>
      </c>
      <c r="FM611" s="385"/>
      <c r="FN611" s="380">
        <f t="shared" si="298"/>
        <v>0</v>
      </c>
      <c r="FO611" s="962">
        <f t="shared" si="302"/>
        <v>403</v>
      </c>
      <c r="FP611" s="956">
        <f t="shared" si="292"/>
        <v>0.4</v>
      </c>
      <c r="FQ611" s="380">
        <f t="shared" si="311"/>
        <v>0</v>
      </c>
      <c r="FR611" s="626">
        <f t="shared" si="312"/>
        <v>1</v>
      </c>
      <c r="FT611" s="1819">
        <f t="shared" si="303"/>
        <v>0</v>
      </c>
      <c r="FU611" s="1820"/>
      <c r="FV611" s="1820"/>
      <c r="FW611" s="1820"/>
      <c r="FX611" s="1821"/>
      <c r="FY611" s="1819">
        <f t="shared" si="299"/>
        <v>0</v>
      </c>
      <c r="FZ611" s="1820"/>
      <c r="GA611" s="1820"/>
      <c r="GB611" s="1821"/>
      <c r="GC611" s="1825">
        <f t="shared" si="320"/>
        <v>0</v>
      </c>
      <c r="GD611" s="1826"/>
      <c r="GE611" s="1826"/>
      <c r="GF611" s="1827"/>
      <c r="GH611" s="1750">
        <f t="shared" si="300"/>
        <v>0</v>
      </c>
      <c r="GI611" s="1751"/>
      <c r="GJ611" s="1751"/>
      <c r="GK611" s="1752"/>
      <c r="GL611" s="1750">
        <f t="shared" si="301"/>
        <v>0</v>
      </c>
      <c r="GM611" s="1751"/>
      <c r="GN611" s="1751"/>
      <c r="GO611" s="1752"/>
      <c r="GP611" s="385"/>
      <c r="GQ611" s="1750">
        <f t="shared" si="316"/>
        <v>0</v>
      </c>
      <c r="GR611" s="1751"/>
      <c r="GS611" s="1751"/>
      <c r="GT611" s="1752"/>
      <c r="GU611" s="192">
        <f t="shared" si="307"/>
        <v>1</v>
      </c>
      <c r="GV611" s="192">
        <f>SUM($GU$337:GU611)</f>
        <v>267</v>
      </c>
      <c r="GW611" s="318"/>
      <c r="HR611" s="380">
        <f t="shared" si="313"/>
        <v>0</v>
      </c>
      <c r="HX611" s="380"/>
    </row>
    <row r="612" spans="4:232">
      <c r="D612" s="409"/>
      <c r="E612" s="318"/>
      <c r="F612" s="1568"/>
      <c r="G612" s="1568"/>
      <c r="H612" s="1568"/>
      <c r="I612" s="1568"/>
      <c r="J612" s="1568"/>
      <c r="K612" s="1568"/>
      <c r="L612" s="1568">
        <f>F610</f>
        <v>0</v>
      </c>
      <c r="M612" s="1568"/>
      <c r="N612" s="1568"/>
      <c r="O612" s="1568"/>
      <c r="P612" s="1568"/>
      <c r="Q612" s="1568"/>
      <c r="R612" s="1568"/>
      <c r="S612" s="1568"/>
      <c r="T612" s="1568"/>
      <c r="U612" s="247"/>
      <c r="V612" s="1568"/>
      <c r="W612" s="1568"/>
      <c r="X612" s="1568"/>
      <c r="Y612" s="523"/>
      <c r="BD612" s="387">
        <f t="shared" si="308"/>
        <v>22</v>
      </c>
      <c r="BE612" s="382">
        <f>IF(BD612&gt;0,275,0)</f>
        <v>275</v>
      </c>
      <c r="BG612" s="383">
        <f>IF($BE612&gt;$R$66-3+($BR$335*12),275,0)</f>
        <v>275</v>
      </c>
      <c r="BH612" s="1754">
        <f t="shared" si="309"/>
        <v>0</v>
      </c>
      <c r="BI612" s="1754"/>
      <c r="BJ612" s="1754"/>
      <c r="BK612" s="1754"/>
      <c r="BL612" s="1754">
        <f t="shared" si="293"/>
        <v>0</v>
      </c>
      <c r="BM612" s="1754"/>
      <c r="BN612" s="1754"/>
      <c r="BO612" s="1754">
        <f t="shared" si="285"/>
        <v>0</v>
      </c>
      <c r="BP612" s="1754"/>
      <c r="BQ612" s="1754"/>
      <c r="BR612" s="1754">
        <f t="shared" si="310"/>
        <v>0</v>
      </c>
      <c r="BS612" s="1754"/>
      <c r="BT612" s="1754"/>
      <c r="BU612" s="1754"/>
      <c r="BW612" s="383">
        <f>IF($BE612&gt;$R$66-3+($CH$335*12),275,0)</f>
        <v>275</v>
      </c>
      <c r="BX612" s="1754">
        <f t="shared" si="273"/>
        <v>0</v>
      </c>
      <c r="BY612" s="1754"/>
      <c r="BZ612" s="1754"/>
      <c r="CA612" s="1754"/>
      <c r="CB612" s="1754">
        <f t="shared" si="294"/>
        <v>0</v>
      </c>
      <c r="CC612" s="1754"/>
      <c r="CD612" s="1754"/>
      <c r="CE612" s="1754">
        <f t="shared" si="286"/>
        <v>0</v>
      </c>
      <c r="CF612" s="1754"/>
      <c r="CG612" s="1754"/>
      <c r="CH612" s="1754">
        <f t="shared" si="287"/>
        <v>0</v>
      </c>
      <c r="CI612" s="1754"/>
      <c r="CJ612" s="1754"/>
      <c r="CK612" s="1754"/>
      <c r="CM612" s="383">
        <f>IF($BE612&gt;$R$66-3+($CX$335*12),275,0)</f>
        <v>275</v>
      </c>
      <c r="CN612" s="1754">
        <f t="shared" si="274"/>
        <v>0</v>
      </c>
      <c r="CO612" s="1754"/>
      <c r="CP612" s="1754"/>
      <c r="CQ612" s="1754"/>
      <c r="CR612" s="1754">
        <f t="shared" si="295"/>
        <v>0</v>
      </c>
      <c r="CS612" s="1754"/>
      <c r="CT612" s="1754"/>
      <c r="CU612" s="1754">
        <f t="shared" si="288"/>
        <v>0</v>
      </c>
      <c r="CV612" s="1754"/>
      <c r="CW612" s="1754"/>
      <c r="CX612" s="1754">
        <f t="shared" si="289"/>
        <v>0</v>
      </c>
      <c r="CY612" s="1754"/>
      <c r="CZ612" s="1754"/>
      <c r="DA612" s="1754"/>
      <c r="DC612" s="383">
        <f>IF($BE612&gt;$R$66-3,275,0)</f>
        <v>275</v>
      </c>
      <c r="DD612" s="1754">
        <f t="shared" si="275"/>
        <v>0</v>
      </c>
      <c r="DE612" s="1754"/>
      <c r="DF612" s="1754"/>
      <c r="DG612" s="1754"/>
      <c r="DH612" s="1754">
        <f t="shared" si="296"/>
        <v>0</v>
      </c>
      <c r="DI612" s="1754"/>
      <c r="DJ612" s="1754"/>
      <c r="DK612" s="1754">
        <f t="shared" si="254"/>
        <v>0</v>
      </c>
      <c r="DL612" s="1754"/>
      <c r="DM612" s="1754"/>
      <c r="DN612" s="1754"/>
      <c r="DP612" s="383">
        <f t="shared" si="297"/>
        <v>275</v>
      </c>
      <c r="DQ612" s="1754">
        <f t="shared" si="305"/>
        <v>0</v>
      </c>
      <c r="DR612" s="1754"/>
      <c r="DS612" s="1754"/>
      <c r="DT612" s="1754"/>
      <c r="DU612" s="1754">
        <f t="shared" si="306"/>
        <v>0</v>
      </c>
      <c r="DV612" s="1754"/>
      <c r="DW612" s="1754"/>
      <c r="DX612" s="1754">
        <f t="shared" si="317"/>
        <v>0</v>
      </c>
      <c r="DY612" s="1754"/>
      <c r="DZ612" s="1754"/>
      <c r="EA612" s="1754">
        <f t="shared" si="318"/>
        <v>0</v>
      </c>
      <c r="EB612" s="1754"/>
      <c r="EC612" s="1754"/>
      <c r="ED612" s="1754"/>
      <c r="EE612" s="384"/>
      <c r="EF612" s="1750">
        <f t="shared" si="290"/>
        <v>0</v>
      </c>
      <c r="EG612" s="1751"/>
      <c r="EH612" s="1751"/>
      <c r="EI612" s="1751"/>
      <c r="EJ612" s="1752"/>
      <c r="EL612" s="1750">
        <f t="shared" si="319"/>
        <v>0</v>
      </c>
      <c r="EM612" s="1751"/>
      <c r="EN612" s="1751"/>
      <c r="EO612" s="1751"/>
      <c r="EP612" s="1752"/>
      <c r="ER612" s="1750">
        <f t="shared" si="291"/>
        <v>0</v>
      </c>
      <c r="ES612" s="1751"/>
      <c r="ET612" s="1751"/>
      <c r="EU612" s="1751"/>
      <c r="EV612" s="1752"/>
      <c r="EX612" s="1750">
        <f>IF(BE612&gt;0,Einstrahlung!$K$30*Kalkulation!$P$62/100*$AY$29*POWER((100-$P$64)/100,BD612-1),0)</f>
        <v>0</v>
      </c>
      <c r="EY612" s="1751"/>
      <c r="EZ612" s="1751"/>
      <c r="FA612" s="1751"/>
      <c r="FB612" s="1752"/>
      <c r="FD612" s="1804">
        <f t="shared" si="280"/>
        <v>0</v>
      </c>
      <c r="FE612" s="1805"/>
      <c r="FF612" s="1805"/>
      <c r="FG612" s="1805"/>
      <c r="FH612" s="1806"/>
      <c r="FI612" s="785">
        <f t="shared" si="314"/>
        <v>1</v>
      </c>
      <c r="FJ612" s="380">
        <f t="shared" si="304"/>
        <v>0</v>
      </c>
      <c r="FK612" s="385"/>
      <c r="FL612" s="380">
        <f t="shared" si="315"/>
        <v>0</v>
      </c>
      <c r="FM612" s="385"/>
      <c r="FN612" s="380">
        <f t="shared" si="298"/>
        <v>0</v>
      </c>
      <c r="FO612" s="962">
        <f t="shared" si="302"/>
        <v>404</v>
      </c>
      <c r="FP612" s="956">
        <f t="shared" si="292"/>
        <v>0.4</v>
      </c>
      <c r="FQ612" s="380">
        <f t="shared" si="311"/>
        <v>0</v>
      </c>
      <c r="FR612" s="626">
        <f t="shared" si="312"/>
        <v>1</v>
      </c>
      <c r="FT612" s="1819">
        <f t="shared" si="303"/>
        <v>0</v>
      </c>
      <c r="FU612" s="1820"/>
      <c r="FV612" s="1820"/>
      <c r="FW612" s="1820"/>
      <c r="FX612" s="1821"/>
      <c r="FY612" s="1819">
        <f t="shared" si="299"/>
        <v>0</v>
      </c>
      <c r="FZ612" s="1820"/>
      <c r="GA612" s="1820"/>
      <c r="GB612" s="1821"/>
      <c r="GC612" s="1825">
        <f t="shared" si="320"/>
        <v>0</v>
      </c>
      <c r="GD612" s="1826"/>
      <c r="GE612" s="1826"/>
      <c r="GF612" s="1827"/>
      <c r="GH612" s="1750">
        <f t="shared" si="300"/>
        <v>0</v>
      </c>
      <c r="GI612" s="1751"/>
      <c r="GJ612" s="1751"/>
      <c r="GK612" s="1752"/>
      <c r="GL612" s="1750">
        <f t="shared" si="301"/>
        <v>0</v>
      </c>
      <c r="GM612" s="1751"/>
      <c r="GN612" s="1751"/>
      <c r="GO612" s="1752"/>
      <c r="GP612" s="385"/>
      <c r="GQ612" s="1750">
        <f t="shared" si="316"/>
        <v>0</v>
      </c>
      <c r="GR612" s="1751"/>
      <c r="GS612" s="1751"/>
      <c r="GT612" s="1752"/>
      <c r="GU612" s="192">
        <f t="shared" si="307"/>
        <v>1</v>
      </c>
      <c r="GV612" s="192">
        <f>SUM($GU$337:GU612)</f>
        <v>268</v>
      </c>
      <c r="GW612" s="318"/>
      <c r="HR612" s="380">
        <f t="shared" si="313"/>
        <v>0</v>
      </c>
      <c r="HX612" s="380"/>
    </row>
    <row r="613" spans="4:232" ht="13.5" thickBot="1">
      <c r="D613" s="409"/>
      <c r="E613" s="318"/>
      <c r="F613" s="1568"/>
      <c r="G613" s="1568"/>
      <c r="H613" s="1568"/>
      <c r="I613" s="1568"/>
      <c r="J613" s="1568"/>
      <c r="K613" s="1568"/>
      <c r="L613" s="1568"/>
      <c r="M613" s="1568"/>
      <c r="N613" s="1568"/>
      <c r="O613" s="1568">
        <f>V613</f>
        <v>0</v>
      </c>
      <c r="P613" s="1568"/>
      <c r="Q613" s="1568"/>
      <c r="R613" s="1568"/>
      <c r="S613" s="1568"/>
      <c r="T613" s="1568"/>
      <c r="U613" s="247"/>
      <c r="V613" s="1568">
        <f>IF(D263&gt;0,V608+(G263+J263)-(O263+Q263+S263+T263+V263)+Y263,0)</f>
        <v>0</v>
      </c>
      <c r="W613" s="1568"/>
      <c r="X613" s="1568"/>
      <c r="Y613" s="523">
        <f>IF(D263&gt;0,IF(V613&gt;0,0,1),0)</f>
        <v>1</v>
      </c>
      <c r="BD613" s="389">
        <f t="shared" si="308"/>
        <v>22</v>
      </c>
      <c r="BE613" s="390">
        <f>IF(BD613&gt;0,276,0)</f>
        <v>276</v>
      </c>
      <c r="BG613" s="391">
        <f>IF($BE613&gt;$R$66-3+($BR$335*12),276,0)</f>
        <v>276</v>
      </c>
      <c r="BH613" s="1753">
        <f t="shared" si="309"/>
        <v>0</v>
      </c>
      <c r="BI613" s="1753"/>
      <c r="BJ613" s="1753"/>
      <c r="BK613" s="1753"/>
      <c r="BL613" s="1753">
        <f t="shared" si="293"/>
        <v>0</v>
      </c>
      <c r="BM613" s="1753"/>
      <c r="BN613" s="1753"/>
      <c r="BO613" s="1753">
        <f t="shared" si="285"/>
        <v>0</v>
      </c>
      <c r="BP613" s="1753"/>
      <c r="BQ613" s="1753"/>
      <c r="BR613" s="1753">
        <f t="shared" si="310"/>
        <v>0</v>
      </c>
      <c r="BS613" s="1753"/>
      <c r="BT613" s="1753"/>
      <c r="BU613" s="1753"/>
      <c r="BW613" s="391">
        <f>IF($BE613&gt;$R$66-3+($CH$335*12),276,0)</f>
        <v>276</v>
      </c>
      <c r="BX613" s="1753">
        <f t="shared" si="273"/>
        <v>0</v>
      </c>
      <c r="BY613" s="1753"/>
      <c r="BZ613" s="1753"/>
      <c r="CA613" s="1753"/>
      <c r="CB613" s="1753">
        <f t="shared" si="294"/>
        <v>0</v>
      </c>
      <c r="CC613" s="1753"/>
      <c r="CD613" s="1753"/>
      <c r="CE613" s="1753">
        <f t="shared" si="286"/>
        <v>0</v>
      </c>
      <c r="CF613" s="1753"/>
      <c r="CG613" s="1753"/>
      <c r="CH613" s="1753">
        <f t="shared" si="287"/>
        <v>0</v>
      </c>
      <c r="CI613" s="1753"/>
      <c r="CJ613" s="1753"/>
      <c r="CK613" s="1753"/>
      <c r="CM613" s="391">
        <f>IF($BE613&gt;$R$66-3+($CX$335*12),276,0)</f>
        <v>276</v>
      </c>
      <c r="CN613" s="1753">
        <f t="shared" si="274"/>
        <v>0</v>
      </c>
      <c r="CO613" s="1753"/>
      <c r="CP613" s="1753"/>
      <c r="CQ613" s="1753"/>
      <c r="CR613" s="1753">
        <f t="shared" si="295"/>
        <v>0</v>
      </c>
      <c r="CS613" s="1753"/>
      <c r="CT613" s="1753"/>
      <c r="CU613" s="1753">
        <f t="shared" si="288"/>
        <v>0</v>
      </c>
      <c r="CV613" s="1753"/>
      <c r="CW613" s="1753"/>
      <c r="CX613" s="1753">
        <f t="shared" si="289"/>
        <v>0</v>
      </c>
      <c r="CY613" s="1753"/>
      <c r="CZ613" s="1753"/>
      <c r="DA613" s="1753"/>
      <c r="DC613" s="391">
        <f>IF($BE613&gt;$R$66-3,276,0)</f>
        <v>276</v>
      </c>
      <c r="DD613" s="1753">
        <f t="shared" si="275"/>
        <v>0</v>
      </c>
      <c r="DE613" s="1753"/>
      <c r="DF613" s="1753"/>
      <c r="DG613" s="1753"/>
      <c r="DH613" s="1753">
        <f t="shared" si="296"/>
        <v>0</v>
      </c>
      <c r="DI613" s="1753"/>
      <c r="DJ613" s="1753"/>
      <c r="DK613" s="1753">
        <f t="shared" si="254"/>
        <v>0</v>
      </c>
      <c r="DL613" s="1753"/>
      <c r="DM613" s="1753"/>
      <c r="DN613" s="1753"/>
      <c r="DP613" s="391">
        <f t="shared" si="297"/>
        <v>276</v>
      </c>
      <c r="DQ613" s="1753">
        <f t="shared" si="305"/>
        <v>0</v>
      </c>
      <c r="DR613" s="1753"/>
      <c r="DS613" s="1753"/>
      <c r="DT613" s="1753"/>
      <c r="DU613" s="1753">
        <f t="shared" si="306"/>
        <v>0</v>
      </c>
      <c r="DV613" s="1753"/>
      <c r="DW613" s="1753"/>
      <c r="DX613" s="1753">
        <f t="shared" si="317"/>
        <v>0</v>
      </c>
      <c r="DY613" s="1753"/>
      <c r="DZ613" s="1753"/>
      <c r="EA613" s="1753">
        <f t="shared" si="318"/>
        <v>0</v>
      </c>
      <c r="EB613" s="1753"/>
      <c r="EC613" s="1753"/>
      <c r="ED613" s="1753"/>
      <c r="EE613" s="384"/>
      <c r="EF613" s="1744">
        <f t="shared" si="290"/>
        <v>0</v>
      </c>
      <c r="EG613" s="1745"/>
      <c r="EH613" s="1745"/>
      <c r="EI613" s="1745"/>
      <c r="EJ613" s="1746"/>
      <c r="EL613" s="1744">
        <f t="shared" si="319"/>
        <v>0</v>
      </c>
      <c r="EM613" s="1745"/>
      <c r="EN613" s="1745"/>
      <c r="EO613" s="1745"/>
      <c r="EP613" s="1746"/>
      <c r="ER613" s="1744">
        <f t="shared" si="291"/>
        <v>0</v>
      </c>
      <c r="ES613" s="1745"/>
      <c r="ET613" s="1745"/>
      <c r="EU613" s="1745"/>
      <c r="EV613" s="1746"/>
      <c r="EX613" s="1744">
        <f>IF(BE613&gt;0,Einstrahlung!$K$32*Kalkulation!$P$62/100*$AY$29*POWER((100-$P$64)/100,BD613-1),0)</f>
        <v>0</v>
      </c>
      <c r="EY613" s="1745"/>
      <c r="EZ613" s="1745"/>
      <c r="FA613" s="1745"/>
      <c r="FB613" s="1746"/>
      <c r="FD613" s="1807">
        <f t="shared" si="280"/>
        <v>0</v>
      </c>
      <c r="FE613" s="1808"/>
      <c r="FF613" s="1808"/>
      <c r="FG613" s="1808"/>
      <c r="FH613" s="1809"/>
      <c r="FI613" s="785">
        <f t="shared" si="314"/>
        <v>1</v>
      </c>
      <c r="FJ613" s="453">
        <f t="shared" si="304"/>
        <v>0</v>
      </c>
      <c r="FK613" s="385"/>
      <c r="FL613" s="453">
        <f t="shared" si="315"/>
        <v>0</v>
      </c>
      <c r="FM613" s="385"/>
      <c r="FN613" s="453">
        <f t="shared" si="298"/>
        <v>0</v>
      </c>
      <c r="FO613" s="962">
        <f t="shared" si="302"/>
        <v>405</v>
      </c>
      <c r="FP613" s="956">
        <f t="shared" si="292"/>
        <v>0.4</v>
      </c>
      <c r="FQ613" s="453">
        <f t="shared" si="311"/>
        <v>0</v>
      </c>
      <c r="FR613" s="957">
        <f>POWER(1+$FQ$333,FS613)</f>
        <v>1</v>
      </c>
      <c r="FS613" s="617">
        <f>FS601+1</f>
        <v>22</v>
      </c>
      <c r="FT613" s="1822">
        <f t="shared" si="303"/>
        <v>0</v>
      </c>
      <c r="FU613" s="1823"/>
      <c r="FV613" s="1823"/>
      <c r="FW613" s="1823"/>
      <c r="FX613" s="1824"/>
      <c r="FY613" s="1822">
        <f t="shared" si="299"/>
        <v>0</v>
      </c>
      <c r="FZ613" s="1823"/>
      <c r="GA613" s="1823"/>
      <c r="GB613" s="1824"/>
      <c r="GC613" s="1831">
        <f t="shared" si="320"/>
        <v>0</v>
      </c>
      <c r="GD613" s="1832"/>
      <c r="GE613" s="1832"/>
      <c r="GF613" s="1833"/>
      <c r="GH613" s="1744">
        <f t="shared" si="300"/>
        <v>0</v>
      </c>
      <c r="GI613" s="1745"/>
      <c r="GJ613" s="1745"/>
      <c r="GK613" s="1746"/>
      <c r="GL613" s="1744">
        <f t="shared" si="301"/>
        <v>0</v>
      </c>
      <c r="GM613" s="1745"/>
      <c r="GN613" s="1745"/>
      <c r="GO613" s="1746"/>
      <c r="GP613" s="385"/>
      <c r="GQ613" s="1744">
        <f t="shared" si="316"/>
        <v>0</v>
      </c>
      <c r="GR613" s="1745"/>
      <c r="GS613" s="1745"/>
      <c r="GT613" s="1746"/>
      <c r="GU613" s="192">
        <f t="shared" si="307"/>
        <v>1</v>
      </c>
      <c r="GV613" s="192">
        <f>SUM($GU$337:GU613)</f>
        <v>269</v>
      </c>
      <c r="GW613" s="318"/>
      <c r="HS613" s="380">
        <f>IF(GV613=276,SUM(GQ602:GT613),0)</f>
        <v>0</v>
      </c>
      <c r="HX613" s="380"/>
    </row>
    <row r="614" spans="4:232">
      <c r="D614" s="409"/>
      <c r="E614" s="318"/>
      <c r="F614" s="1568"/>
      <c r="G614" s="1568"/>
      <c r="H614" s="1568"/>
      <c r="I614" s="1568"/>
      <c r="J614" s="1568"/>
      <c r="K614" s="1568"/>
      <c r="L614" s="1568"/>
      <c r="M614" s="1568"/>
      <c r="N614" s="1568"/>
      <c r="O614" s="1568"/>
      <c r="P614" s="1568"/>
      <c r="Q614" s="1568"/>
      <c r="R614" s="1568"/>
      <c r="S614" s="1568"/>
      <c r="T614" s="1568"/>
      <c r="U614" s="247"/>
      <c r="V614" s="1568"/>
      <c r="W614" s="1568"/>
      <c r="X614" s="1568"/>
      <c r="Y614" s="523"/>
      <c r="BD614" s="381">
        <f t="shared" ref="BD614:BD625" si="321">IF(BH614&lt;0,0,IF($V$21&gt;0,23,0))</f>
        <v>23</v>
      </c>
      <c r="BE614" s="382">
        <f>IF(BD614&gt;0,277,0)</f>
        <v>277</v>
      </c>
      <c r="BG614" s="395">
        <f>IF($BE614&gt;$R$66-3+($BR$335*12),277,0)</f>
        <v>277</v>
      </c>
      <c r="BH614" s="1754">
        <f t="shared" ref="BH614:BH625" si="322">IF(BR613&lt;=0,0,BR613)</f>
        <v>0</v>
      </c>
      <c r="BI614" s="1754"/>
      <c r="BJ614" s="1754"/>
      <c r="BK614" s="1754"/>
      <c r="BL614" s="1754">
        <f t="shared" si="293"/>
        <v>0</v>
      </c>
      <c r="BM614" s="1754"/>
      <c r="BN614" s="1754"/>
      <c r="BO614" s="1754">
        <f t="shared" si="285"/>
        <v>0</v>
      </c>
      <c r="BP614" s="1754"/>
      <c r="BQ614" s="1754"/>
      <c r="BR614" s="1754">
        <f t="shared" ref="BR614:BR625" si="323">BH614-BL614</f>
        <v>0</v>
      </c>
      <c r="BS614" s="1754"/>
      <c r="BT614" s="1754"/>
      <c r="BU614" s="1754"/>
      <c r="BW614" s="395">
        <f>IF($BE614&gt;$R$66-3+($CH$335*12),277,0)</f>
        <v>277</v>
      </c>
      <c r="BX614" s="1754">
        <f t="shared" si="273"/>
        <v>0</v>
      </c>
      <c r="BY614" s="1754"/>
      <c r="BZ614" s="1754"/>
      <c r="CA614" s="1754"/>
      <c r="CB614" s="1754">
        <f t="shared" si="294"/>
        <v>0</v>
      </c>
      <c r="CC614" s="1754"/>
      <c r="CD614" s="1754"/>
      <c r="CE614" s="1754">
        <f t="shared" si="286"/>
        <v>0</v>
      </c>
      <c r="CF614" s="1754"/>
      <c r="CG614" s="1754"/>
      <c r="CH614" s="1754">
        <f t="shared" si="287"/>
        <v>0</v>
      </c>
      <c r="CI614" s="1754"/>
      <c r="CJ614" s="1754"/>
      <c r="CK614" s="1754"/>
      <c r="CM614" s="395">
        <f>IF($BE614&gt;$R$66-3+($CX$335*12),277,0)</f>
        <v>277</v>
      </c>
      <c r="CN614" s="1754">
        <f t="shared" si="274"/>
        <v>0</v>
      </c>
      <c r="CO614" s="1754"/>
      <c r="CP614" s="1754"/>
      <c r="CQ614" s="1754"/>
      <c r="CR614" s="1754">
        <f t="shared" si="295"/>
        <v>0</v>
      </c>
      <c r="CS614" s="1754"/>
      <c r="CT614" s="1754"/>
      <c r="CU614" s="1754">
        <f t="shared" si="288"/>
        <v>0</v>
      </c>
      <c r="CV614" s="1754"/>
      <c r="CW614" s="1754"/>
      <c r="CX614" s="1754">
        <f t="shared" si="289"/>
        <v>0</v>
      </c>
      <c r="CY614" s="1754"/>
      <c r="CZ614" s="1754"/>
      <c r="DA614" s="1754"/>
      <c r="DC614" s="395">
        <f>IF($BE614&gt;$R$66-3,277,0)</f>
        <v>277</v>
      </c>
      <c r="DD614" s="1754">
        <f t="shared" si="275"/>
        <v>0</v>
      </c>
      <c r="DE614" s="1754"/>
      <c r="DF614" s="1754"/>
      <c r="DG614" s="1754"/>
      <c r="DH614" s="1754">
        <f t="shared" si="296"/>
        <v>0</v>
      </c>
      <c r="DI614" s="1754"/>
      <c r="DJ614" s="1754"/>
      <c r="DK614" s="1754">
        <f t="shared" si="254"/>
        <v>0</v>
      </c>
      <c r="DL614" s="1754"/>
      <c r="DM614" s="1754"/>
      <c r="DN614" s="1754"/>
      <c r="DP614" s="395">
        <f t="shared" si="297"/>
        <v>277</v>
      </c>
      <c r="DQ614" s="1754">
        <f t="shared" si="305"/>
        <v>0</v>
      </c>
      <c r="DR614" s="1754"/>
      <c r="DS614" s="1754"/>
      <c r="DT614" s="1754"/>
      <c r="DU614" s="1754">
        <f t="shared" si="306"/>
        <v>0</v>
      </c>
      <c r="DV614" s="1754"/>
      <c r="DW614" s="1754"/>
      <c r="DX614" s="1754">
        <f t="shared" si="317"/>
        <v>0</v>
      </c>
      <c r="DY614" s="1754"/>
      <c r="DZ614" s="1754"/>
      <c r="EA614" s="1754">
        <f t="shared" si="318"/>
        <v>0</v>
      </c>
      <c r="EB614" s="1754"/>
      <c r="EC614" s="1754"/>
      <c r="ED614" s="1754"/>
      <c r="EE614" s="384"/>
      <c r="EF614" s="1750">
        <f t="shared" si="290"/>
        <v>0</v>
      </c>
      <c r="EG614" s="1751"/>
      <c r="EH614" s="1751"/>
      <c r="EI614" s="1751"/>
      <c r="EJ614" s="1752"/>
      <c r="EL614" s="1750">
        <f t="shared" si="319"/>
        <v>0</v>
      </c>
      <c r="EM614" s="1751"/>
      <c r="EN614" s="1751"/>
      <c r="EO614" s="1751"/>
      <c r="EP614" s="1752"/>
      <c r="ER614" s="1750">
        <f t="shared" si="291"/>
        <v>0</v>
      </c>
      <c r="ES614" s="1751"/>
      <c r="ET614" s="1751"/>
      <c r="EU614" s="1751"/>
      <c r="EV614" s="1752"/>
      <c r="EX614" s="1750">
        <f>IF(BE614&gt;0,Einstrahlung!$K$10*Kalkulation!$P$62/100*$AY$29*POWER((100-$P$64)/100,BD614-1),0)</f>
        <v>0</v>
      </c>
      <c r="EY614" s="1751"/>
      <c r="EZ614" s="1751"/>
      <c r="FA614" s="1751"/>
      <c r="FB614" s="1752"/>
      <c r="FC614" s="783">
        <v>23</v>
      </c>
      <c r="FD614" s="1804">
        <f t="shared" si="280"/>
        <v>0</v>
      </c>
      <c r="FE614" s="1805"/>
      <c r="FF614" s="1805"/>
      <c r="FG614" s="1805"/>
      <c r="FH614" s="1806"/>
      <c r="FI614" s="784">
        <f>POWER(1+$FH$333,2)</f>
        <v>1</v>
      </c>
      <c r="FJ614" s="380">
        <f t="shared" si="304"/>
        <v>0</v>
      </c>
      <c r="FK614" s="385"/>
      <c r="FL614" s="380">
        <f>IF(BE614&gt;0,IF($FL$336&gt;SUM($EX$614:$FB$625),SUM($EX$614:$FB$625)/12,$FL$336/12),0)</f>
        <v>0</v>
      </c>
      <c r="FM614" s="385"/>
      <c r="FN614" s="380">
        <f t="shared" si="298"/>
        <v>0</v>
      </c>
      <c r="FO614" s="962">
        <f t="shared" si="302"/>
        <v>406</v>
      </c>
      <c r="FP614" s="956">
        <f t="shared" si="292"/>
        <v>0.4</v>
      </c>
      <c r="FQ614" s="380">
        <f t="shared" si="311"/>
        <v>0</v>
      </c>
      <c r="FR614" s="626">
        <f>IF(AND(GV614&gt;264,GV614&lt;=276),$FR$613,IF(AND(GV614&gt;276,GV614&lt;=288),$FR$625,0))</f>
        <v>1</v>
      </c>
      <c r="FT614" s="1819">
        <f t="shared" si="303"/>
        <v>0</v>
      </c>
      <c r="FU614" s="1820"/>
      <c r="FV614" s="1820"/>
      <c r="FW614" s="1820"/>
      <c r="FX614" s="1821"/>
      <c r="FY614" s="1819">
        <f t="shared" si="299"/>
        <v>0</v>
      </c>
      <c r="FZ614" s="1820"/>
      <c r="GA614" s="1820"/>
      <c r="GB614" s="1821"/>
      <c r="GC614" s="1825">
        <f t="shared" si="320"/>
        <v>0</v>
      </c>
      <c r="GD614" s="1826"/>
      <c r="GE614" s="1826"/>
      <c r="GF614" s="1827"/>
      <c r="GH614" s="1750">
        <f t="shared" si="300"/>
        <v>0</v>
      </c>
      <c r="GI614" s="1751"/>
      <c r="GJ614" s="1751"/>
      <c r="GK614" s="1751"/>
      <c r="GL614" s="1750">
        <f t="shared" si="301"/>
        <v>0</v>
      </c>
      <c r="GM614" s="1751"/>
      <c r="GN614" s="1751"/>
      <c r="GO614" s="1752"/>
      <c r="GP614" s="385"/>
      <c r="GQ614" s="1865">
        <f>IF($V$21&lt;=22,0,FD614+FQ614+EF614+EL614+ER614+IF(FY614&gt;0,0,FY614))</f>
        <v>0</v>
      </c>
      <c r="GR614" s="1866"/>
      <c r="GS614" s="1866"/>
      <c r="GT614" s="1867"/>
      <c r="GU614" s="192">
        <f t="shared" si="307"/>
        <v>1</v>
      </c>
      <c r="GV614" s="192">
        <f>SUM($GU$337:GU614)</f>
        <v>270</v>
      </c>
      <c r="GW614" s="318"/>
      <c r="HS614" s="380">
        <f t="shared" ref="HS614:HS624" si="324">IF(GV614=276,SUM(GQ603:GT614),0)</f>
        <v>0</v>
      </c>
      <c r="HX614" s="380"/>
    </row>
    <row r="615" spans="4:232">
      <c r="D615" s="409">
        <v>10</v>
      </c>
      <c r="E615" s="318"/>
      <c r="F615" s="1568">
        <f>AH265</f>
        <v>0</v>
      </c>
      <c r="G615" s="1568"/>
      <c r="H615" s="1568"/>
      <c r="I615" s="1568"/>
      <c r="J615" s="1568"/>
      <c r="K615" s="1568"/>
      <c r="L615" s="1568"/>
      <c r="M615" s="1568"/>
      <c r="N615" s="1568"/>
      <c r="O615" s="1568"/>
      <c r="P615" s="1568"/>
      <c r="Q615" s="1568"/>
      <c r="R615" s="1568"/>
      <c r="S615" s="1568"/>
      <c r="T615" s="1568"/>
      <c r="U615" s="247"/>
      <c r="V615" s="1568"/>
      <c r="W615" s="1568"/>
      <c r="X615" s="1568"/>
      <c r="Y615" s="523"/>
      <c r="BD615" s="387">
        <f t="shared" si="321"/>
        <v>23</v>
      </c>
      <c r="BE615" s="382">
        <f>IF(BD615&gt;0,278,0)</f>
        <v>278</v>
      </c>
      <c r="BG615" s="383">
        <f>IF($BE615&gt;$R$66-3+($BR$335*12),278,0)</f>
        <v>278</v>
      </c>
      <c r="BH615" s="1754">
        <f t="shared" si="322"/>
        <v>0</v>
      </c>
      <c r="BI615" s="1754"/>
      <c r="BJ615" s="1754"/>
      <c r="BK615" s="1754"/>
      <c r="BL615" s="1754">
        <f t="shared" si="293"/>
        <v>0</v>
      </c>
      <c r="BM615" s="1754"/>
      <c r="BN615" s="1754"/>
      <c r="BO615" s="1754">
        <f t="shared" si="285"/>
        <v>0</v>
      </c>
      <c r="BP615" s="1754"/>
      <c r="BQ615" s="1754"/>
      <c r="BR615" s="1754">
        <f t="shared" si="323"/>
        <v>0</v>
      </c>
      <c r="BS615" s="1754"/>
      <c r="BT615" s="1754"/>
      <c r="BU615" s="1754"/>
      <c r="BW615" s="383">
        <f>IF($BE615&gt;$R$66-3+($CH$335*12),278,0)</f>
        <v>278</v>
      </c>
      <c r="BX615" s="1754">
        <f t="shared" si="273"/>
        <v>0</v>
      </c>
      <c r="BY615" s="1754"/>
      <c r="BZ615" s="1754"/>
      <c r="CA615" s="1754"/>
      <c r="CB615" s="1754">
        <f t="shared" si="294"/>
        <v>0</v>
      </c>
      <c r="CC615" s="1754"/>
      <c r="CD615" s="1754"/>
      <c r="CE615" s="1754">
        <f t="shared" si="286"/>
        <v>0</v>
      </c>
      <c r="CF615" s="1754"/>
      <c r="CG615" s="1754"/>
      <c r="CH615" s="1754">
        <f t="shared" si="287"/>
        <v>0</v>
      </c>
      <c r="CI615" s="1754"/>
      <c r="CJ615" s="1754"/>
      <c r="CK615" s="1754"/>
      <c r="CM615" s="383">
        <f>IF($BE615&gt;$R$66-3+($CX$335*12),278,0)</f>
        <v>278</v>
      </c>
      <c r="CN615" s="1754">
        <f t="shared" si="274"/>
        <v>0</v>
      </c>
      <c r="CO615" s="1754"/>
      <c r="CP615" s="1754"/>
      <c r="CQ615" s="1754"/>
      <c r="CR615" s="1754">
        <f t="shared" si="295"/>
        <v>0</v>
      </c>
      <c r="CS615" s="1754"/>
      <c r="CT615" s="1754"/>
      <c r="CU615" s="1754">
        <f t="shared" si="288"/>
        <v>0</v>
      </c>
      <c r="CV615" s="1754"/>
      <c r="CW615" s="1754"/>
      <c r="CX615" s="1754">
        <f t="shared" si="289"/>
        <v>0</v>
      </c>
      <c r="CY615" s="1754"/>
      <c r="CZ615" s="1754"/>
      <c r="DA615" s="1754"/>
      <c r="DC615" s="383">
        <f>IF($BE615&gt;$R$66-3,278,0)</f>
        <v>278</v>
      </c>
      <c r="DD615" s="1754">
        <f t="shared" si="275"/>
        <v>0</v>
      </c>
      <c r="DE615" s="1754"/>
      <c r="DF615" s="1754"/>
      <c r="DG615" s="1754"/>
      <c r="DH615" s="1754">
        <f t="shared" si="296"/>
        <v>0</v>
      </c>
      <c r="DI615" s="1754"/>
      <c r="DJ615" s="1754"/>
      <c r="DK615" s="1754">
        <f t="shared" ref="DK615:DK649" si="325">IF(EA615&gt;(DD615),0,DD615)</f>
        <v>0</v>
      </c>
      <c r="DL615" s="1754"/>
      <c r="DM615" s="1754"/>
      <c r="DN615" s="1754"/>
      <c r="DP615" s="383">
        <f t="shared" si="297"/>
        <v>278</v>
      </c>
      <c r="DQ615" s="1754">
        <f t="shared" si="305"/>
        <v>0</v>
      </c>
      <c r="DR615" s="1754"/>
      <c r="DS615" s="1754"/>
      <c r="DT615" s="1754"/>
      <c r="DU615" s="1754">
        <f t="shared" si="306"/>
        <v>0</v>
      </c>
      <c r="DV615" s="1754"/>
      <c r="DW615" s="1754"/>
      <c r="DX615" s="1754">
        <f t="shared" si="317"/>
        <v>0</v>
      </c>
      <c r="DY615" s="1754"/>
      <c r="DZ615" s="1754"/>
      <c r="EA615" s="1754">
        <f t="shared" si="318"/>
        <v>0</v>
      </c>
      <c r="EB615" s="1754"/>
      <c r="EC615" s="1754"/>
      <c r="ED615" s="1754"/>
      <c r="EE615" s="384"/>
      <c r="EF615" s="1750">
        <f t="shared" si="290"/>
        <v>0</v>
      </c>
      <c r="EG615" s="1751"/>
      <c r="EH615" s="1751"/>
      <c r="EI615" s="1751"/>
      <c r="EJ615" s="1752"/>
      <c r="EL615" s="1750">
        <f t="shared" si="319"/>
        <v>0</v>
      </c>
      <c r="EM615" s="1751"/>
      <c r="EN615" s="1751"/>
      <c r="EO615" s="1751"/>
      <c r="EP615" s="1752"/>
      <c r="ER615" s="1750">
        <f t="shared" si="291"/>
        <v>0</v>
      </c>
      <c r="ES615" s="1751"/>
      <c r="ET615" s="1751"/>
      <c r="EU615" s="1751"/>
      <c r="EV615" s="1752"/>
      <c r="EX615" s="1750">
        <f>IF(BE615&gt;0,Einstrahlung!$K$12*Kalkulation!$P$62/100*$AY$29*POWER((100-$P$64)/100,BD615-1),0)</f>
        <v>0</v>
      </c>
      <c r="EY615" s="1751"/>
      <c r="EZ615" s="1751"/>
      <c r="FA615" s="1751"/>
      <c r="FB615" s="1752"/>
      <c r="FD615" s="1804">
        <f t="shared" si="280"/>
        <v>0</v>
      </c>
      <c r="FE615" s="1805"/>
      <c r="FF615" s="1805"/>
      <c r="FG615" s="1805"/>
      <c r="FH615" s="1806"/>
      <c r="FI615" s="785">
        <f t="shared" ref="FI615:FI625" si="326">POWER(1+$FH$333,2)</f>
        <v>1</v>
      </c>
      <c r="FJ615" s="380">
        <f t="shared" si="304"/>
        <v>0</v>
      </c>
      <c r="FK615" s="385"/>
      <c r="FL615" s="380">
        <f t="shared" ref="FL615:FL625" si="327">IF(BE615&gt;0,IF($FL$336&gt;SUM($EX$614:$FB$625),SUM($EX$614:$FB$625)/12,$FL$336/12),0)</f>
        <v>0</v>
      </c>
      <c r="FM615" s="385"/>
      <c r="FN615" s="380">
        <f t="shared" si="298"/>
        <v>0</v>
      </c>
      <c r="FO615" s="962">
        <f t="shared" si="302"/>
        <v>407</v>
      </c>
      <c r="FP615" s="956">
        <f t="shared" si="292"/>
        <v>0.4</v>
      </c>
      <c r="FQ615" s="380">
        <f t="shared" si="311"/>
        <v>0</v>
      </c>
      <c r="FR615" s="626">
        <f t="shared" ref="FR615:FR624" si="328">IF(AND(GV615&gt;264,GV615&lt;=276),$FR$613,IF(AND(GV615&gt;276,GV615&lt;=288),$FR$625,0))</f>
        <v>1</v>
      </c>
      <c r="FT615" s="1819">
        <f t="shared" si="303"/>
        <v>0</v>
      </c>
      <c r="FU615" s="1820"/>
      <c r="FV615" s="1820"/>
      <c r="FW615" s="1820"/>
      <c r="FX615" s="1821"/>
      <c r="FY615" s="1819">
        <f t="shared" si="299"/>
        <v>0</v>
      </c>
      <c r="FZ615" s="1820"/>
      <c r="GA615" s="1820"/>
      <c r="GB615" s="1821"/>
      <c r="GC615" s="1825">
        <f t="shared" si="320"/>
        <v>0</v>
      </c>
      <c r="GD615" s="1826"/>
      <c r="GE615" s="1826"/>
      <c r="GF615" s="1827"/>
      <c r="GH615" s="1750">
        <f t="shared" si="300"/>
        <v>0</v>
      </c>
      <c r="GI615" s="1751"/>
      <c r="GJ615" s="1751"/>
      <c r="GK615" s="1752"/>
      <c r="GL615" s="1750">
        <f t="shared" si="301"/>
        <v>0</v>
      </c>
      <c r="GM615" s="1751"/>
      <c r="GN615" s="1751"/>
      <c r="GO615" s="1752"/>
      <c r="GP615" s="385"/>
      <c r="GQ615" s="1750">
        <f t="shared" ref="GQ615:GQ625" si="329">IF($V$21&lt;=22,0,FD615+FQ615+EF615+EL615+ER615+IF(FY615&gt;0,0,FY615))</f>
        <v>0</v>
      </c>
      <c r="GR615" s="1751"/>
      <c r="GS615" s="1751"/>
      <c r="GT615" s="1752"/>
      <c r="GU615" s="192">
        <f t="shared" si="307"/>
        <v>1</v>
      </c>
      <c r="GV615" s="192">
        <f>SUM($GU$337:GU615)</f>
        <v>271</v>
      </c>
      <c r="GW615" s="318"/>
      <c r="HS615" s="380">
        <f t="shared" si="324"/>
        <v>0</v>
      </c>
      <c r="HX615" s="380"/>
    </row>
    <row r="616" spans="4:232">
      <c r="D616" s="409"/>
      <c r="E616" s="318"/>
      <c r="F616" s="1568"/>
      <c r="G616" s="1568"/>
      <c r="H616" s="1568"/>
      <c r="I616" s="1568">
        <f>F615</f>
        <v>0</v>
      </c>
      <c r="J616" s="1568"/>
      <c r="K616" s="1568"/>
      <c r="L616" s="1568"/>
      <c r="M616" s="1568"/>
      <c r="N616" s="1568"/>
      <c r="O616" s="1568"/>
      <c r="P616" s="1568"/>
      <c r="Q616" s="1568"/>
      <c r="R616" s="1568"/>
      <c r="S616" s="1568"/>
      <c r="T616" s="1568"/>
      <c r="U616" s="247"/>
      <c r="V616" s="1568"/>
      <c r="W616" s="1568"/>
      <c r="X616" s="1568"/>
      <c r="Y616" s="523"/>
      <c r="BD616" s="387">
        <f t="shared" si="321"/>
        <v>23</v>
      </c>
      <c r="BE616" s="382">
        <f>IF(BD616&gt;0,279,0)</f>
        <v>279</v>
      </c>
      <c r="BG616" s="383">
        <f>IF($BE616&gt;$R$66-3+($BR$335*12),279,0)</f>
        <v>279</v>
      </c>
      <c r="BH616" s="1754">
        <f t="shared" si="322"/>
        <v>0</v>
      </c>
      <c r="BI616" s="1754"/>
      <c r="BJ616" s="1754"/>
      <c r="BK616" s="1754"/>
      <c r="BL616" s="1754">
        <f t="shared" si="293"/>
        <v>0</v>
      </c>
      <c r="BM616" s="1754"/>
      <c r="BN616" s="1754"/>
      <c r="BO616" s="1754">
        <f t="shared" si="285"/>
        <v>0</v>
      </c>
      <c r="BP616" s="1754"/>
      <c r="BQ616" s="1754"/>
      <c r="BR616" s="1754">
        <f t="shared" si="323"/>
        <v>0</v>
      </c>
      <c r="BS616" s="1754"/>
      <c r="BT616" s="1754"/>
      <c r="BU616" s="1754"/>
      <c r="BW616" s="383">
        <f>IF($BE616&gt;$R$66-3+($CH$335*12),279,0)</f>
        <v>279</v>
      </c>
      <c r="BX616" s="1754">
        <f t="shared" si="273"/>
        <v>0</v>
      </c>
      <c r="BY616" s="1754"/>
      <c r="BZ616" s="1754"/>
      <c r="CA616" s="1754"/>
      <c r="CB616" s="1754">
        <f t="shared" si="294"/>
        <v>0</v>
      </c>
      <c r="CC616" s="1754"/>
      <c r="CD616" s="1754"/>
      <c r="CE616" s="1754">
        <f t="shared" si="286"/>
        <v>0</v>
      </c>
      <c r="CF616" s="1754"/>
      <c r="CG616" s="1754"/>
      <c r="CH616" s="1754">
        <f t="shared" si="287"/>
        <v>0</v>
      </c>
      <c r="CI616" s="1754"/>
      <c r="CJ616" s="1754"/>
      <c r="CK616" s="1754"/>
      <c r="CM616" s="383">
        <f>IF($BE616&gt;$R$66-3+($CX$335*12),279,0)</f>
        <v>279</v>
      </c>
      <c r="CN616" s="1754">
        <f t="shared" si="274"/>
        <v>0</v>
      </c>
      <c r="CO616" s="1754"/>
      <c r="CP616" s="1754"/>
      <c r="CQ616" s="1754"/>
      <c r="CR616" s="1754">
        <f t="shared" si="295"/>
        <v>0</v>
      </c>
      <c r="CS616" s="1754"/>
      <c r="CT616" s="1754"/>
      <c r="CU616" s="1754">
        <f t="shared" si="288"/>
        <v>0</v>
      </c>
      <c r="CV616" s="1754"/>
      <c r="CW616" s="1754"/>
      <c r="CX616" s="1754">
        <f t="shared" si="289"/>
        <v>0</v>
      </c>
      <c r="CY616" s="1754"/>
      <c r="CZ616" s="1754"/>
      <c r="DA616" s="1754"/>
      <c r="DC616" s="383">
        <f>IF($BE616&gt;$R$66-3,279,0)</f>
        <v>279</v>
      </c>
      <c r="DD616" s="1754">
        <f t="shared" si="275"/>
        <v>0</v>
      </c>
      <c r="DE616" s="1754"/>
      <c r="DF616" s="1754"/>
      <c r="DG616" s="1754"/>
      <c r="DH616" s="1754">
        <f t="shared" si="296"/>
        <v>0</v>
      </c>
      <c r="DI616" s="1754"/>
      <c r="DJ616" s="1754"/>
      <c r="DK616" s="1754">
        <f t="shared" si="325"/>
        <v>0</v>
      </c>
      <c r="DL616" s="1754"/>
      <c r="DM616" s="1754"/>
      <c r="DN616" s="1754"/>
      <c r="DP616" s="383">
        <f t="shared" si="297"/>
        <v>279</v>
      </c>
      <c r="DQ616" s="1754">
        <f t="shared" si="305"/>
        <v>0</v>
      </c>
      <c r="DR616" s="1754"/>
      <c r="DS616" s="1754"/>
      <c r="DT616" s="1754"/>
      <c r="DU616" s="1754">
        <f t="shared" si="306"/>
        <v>0</v>
      </c>
      <c r="DV616" s="1754"/>
      <c r="DW616" s="1754"/>
      <c r="DX616" s="1754">
        <f t="shared" si="317"/>
        <v>0</v>
      </c>
      <c r="DY616" s="1754"/>
      <c r="DZ616" s="1754"/>
      <c r="EA616" s="1754">
        <f t="shared" si="318"/>
        <v>0</v>
      </c>
      <c r="EB616" s="1754"/>
      <c r="EC616" s="1754"/>
      <c r="ED616" s="1754"/>
      <c r="EE616" s="384"/>
      <c r="EF616" s="1750">
        <f t="shared" si="290"/>
        <v>0</v>
      </c>
      <c r="EG616" s="1751"/>
      <c r="EH616" s="1751"/>
      <c r="EI616" s="1751"/>
      <c r="EJ616" s="1752"/>
      <c r="EL616" s="1750">
        <f t="shared" si="319"/>
        <v>0</v>
      </c>
      <c r="EM616" s="1751"/>
      <c r="EN616" s="1751"/>
      <c r="EO616" s="1751"/>
      <c r="EP616" s="1752"/>
      <c r="ER616" s="1750">
        <f t="shared" si="291"/>
        <v>0</v>
      </c>
      <c r="ES616" s="1751"/>
      <c r="ET616" s="1751"/>
      <c r="EU616" s="1751"/>
      <c r="EV616" s="1752"/>
      <c r="EX616" s="1750">
        <f>IF(BE616&gt;0,Einstrahlung!$K$14*Kalkulation!$P$62/100*$AY$29*POWER((100-$P$64)/100,BD616-1),0)</f>
        <v>0</v>
      </c>
      <c r="EY616" s="1751"/>
      <c r="EZ616" s="1751"/>
      <c r="FA616" s="1751"/>
      <c r="FB616" s="1752"/>
      <c r="FD616" s="1804">
        <f t="shared" si="280"/>
        <v>0</v>
      </c>
      <c r="FE616" s="1805"/>
      <c r="FF616" s="1805"/>
      <c r="FG616" s="1805"/>
      <c r="FH616" s="1806"/>
      <c r="FI616" s="785">
        <f t="shared" si="326"/>
        <v>1</v>
      </c>
      <c r="FJ616" s="380">
        <f t="shared" si="304"/>
        <v>0</v>
      </c>
      <c r="FK616" s="385"/>
      <c r="FL616" s="380">
        <f t="shared" si="327"/>
        <v>0</v>
      </c>
      <c r="FM616" s="385"/>
      <c r="FN616" s="380">
        <f t="shared" si="298"/>
        <v>0</v>
      </c>
      <c r="FO616" s="962">
        <f t="shared" si="302"/>
        <v>408</v>
      </c>
      <c r="FP616" s="956">
        <f t="shared" si="292"/>
        <v>0.4</v>
      </c>
      <c r="FQ616" s="380">
        <f t="shared" si="311"/>
        <v>0</v>
      </c>
      <c r="FR616" s="626">
        <f t="shared" si="328"/>
        <v>1</v>
      </c>
      <c r="FT616" s="1819">
        <f t="shared" si="303"/>
        <v>0</v>
      </c>
      <c r="FU616" s="1820"/>
      <c r="FV616" s="1820"/>
      <c r="FW616" s="1820"/>
      <c r="FX616" s="1821"/>
      <c r="FY616" s="1819">
        <f t="shared" si="299"/>
        <v>0</v>
      </c>
      <c r="FZ616" s="1820"/>
      <c r="GA616" s="1820"/>
      <c r="GB616" s="1821"/>
      <c r="GC616" s="1825">
        <f t="shared" si="320"/>
        <v>0</v>
      </c>
      <c r="GD616" s="1826"/>
      <c r="GE616" s="1826"/>
      <c r="GF616" s="1827"/>
      <c r="GH616" s="1750">
        <f t="shared" si="300"/>
        <v>0</v>
      </c>
      <c r="GI616" s="1751"/>
      <c r="GJ616" s="1751"/>
      <c r="GK616" s="1752"/>
      <c r="GL616" s="1750">
        <f t="shared" si="301"/>
        <v>0</v>
      </c>
      <c r="GM616" s="1751"/>
      <c r="GN616" s="1751"/>
      <c r="GO616" s="1752"/>
      <c r="GP616" s="385"/>
      <c r="GQ616" s="1750">
        <f t="shared" si="329"/>
        <v>0</v>
      </c>
      <c r="GR616" s="1751"/>
      <c r="GS616" s="1751"/>
      <c r="GT616" s="1752"/>
      <c r="GU616" s="192">
        <f t="shared" si="307"/>
        <v>1</v>
      </c>
      <c r="GV616" s="192">
        <f>SUM($GU$337:GU616)</f>
        <v>272</v>
      </c>
      <c r="GW616" s="318"/>
      <c r="HS616" s="380">
        <f t="shared" si="324"/>
        <v>0</v>
      </c>
      <c r="HX616" s="380"/>
    </row>
    <row r="617" spans="4:232">
      <c r="D617" s="409"/>
      <c r="E617" s="318"/>
      <c r="F617" s="1568"/>
      <c r="G617" s="1568"/>
      <c r="H617" s="1568"/>
      <c r="I617" s="1568"/>
      <c r="J617" s="1568"/>
      <c r="K617" s="1568"/>
      <c r="L617" s="1568">
        <f>F615</f>
        <v>0</v>
      </c>
      <c r="M617" s="1568"/>
      <c r="N617" s="1568"/>
      <c r="O617" s="1568"/>
      <c r="P617" s="1568"/>
      <c r="Q617" s="1568"/>
      <c r="R617" s="1568"/>
      <c r="S617" s="1568"/>
      <c r="T617" s="1568"/>
      <c r="U617" s="247"/>
      <c r="V617" s="1568"/>
      <c r="W617" s="1568"/>
      <c r="X617" s="1568"/>
      <c r="Y617" s="523"/>
      <c r="BD617" s="387">
        <f t="shared" si="321"/>
        <v>23</v>
      </c>
      <c r="BE617" s="382">
        <f>IF(BD617&gt;0,280,0)</f>
        <v>280</v>
      </c>
      <c r="BG617" s="383">
        <f>IF($BE617&gt;$R$66-3+($BR$335*12),280,0)</f>
        <v>280</v>
      </c>
      <c r="BH617" s="1754">
        <f t="shared" si="322"/>
        <v>0</v>
      </c>
      <c r="BI617" s="1754"/>
      <c r="BJ617" s="1754"/>
      <c r="BK617" s="1754"/>
      <c r="BL617" s="1754">
        <f t="shared" si="293"/>
        <v>0</v>
      </c>
      <c r="BM617" s="1754"/>
      <c r="BN617" s="1754"/>
      <c r="BO617" s="1754">
        <f t="shared" si="285"/>
        <v>0</v>
      </c>
      <c r="BP617" s="1754"/>
      <c r="BQ617" s="1754"/>
      <c r="BR617" s="1754">
        <f t="shared" si="323"/>
        <v>0</v>
      </c>
      <c r="BS617" s="1754"/>
      <c r="BT617" s="1754"/>
      <c r="BU617" s="1754"/>
      <c r="BW617" s="383">
        <f>IF($BE617&gt;$R$66-3+($CH$335*12),280,0)</f>
        <v>280</v>
      </c>
      <c r="BX617" s="1754">
        <f t="shared" si="273"/>
        <v>0</v>
      </c>
      <c r="BY617" s="1754"/>
      <c r="BZ617" s="1754"/>
      <c r="CA617" s="1754"/>
      <c r="CB617" s="1754">
        <f t="shared" si="294"/>
        <v>0</v>
      </c>
      <c r="CC617" s="1754"/>
      <c r="CD617" s="1754"/>
      <c r="CE617" s="1754">
        <f t="shared" si="286"/>
        <v>0</v>
      </c>
      <c r="CF617" s="1754"/>
      <c r="CG617" s="1754"/>
      <c r="CH617" s="1754">
        <f t="shared" si="287"/>
        <v>0</v>
      </c>
      <c r="CI617" s="1754"/>
      <c r="CJ617" s="1754"/>
      <c r="CK617" s="1754"/>
      <c r="CM617" s="383">
        <f>IF($BE617&gt;$R$66-3+($CX$335*12),280,0)</f>
        <v>280</v>
      </c>
      <c r="CN617" s="1754">
        <f t="shared" si="274"/>
        <v>0</v>
      </c>
      <c r="CO617" s="1754"/>
      <c r="CP617" s="1754"/>
      <c r="CQ617" s="1754"/>
      <c r="CR617" s="1754">
        <f t="shared" si="295"/>
        <v>0</v>
      </c>
      <c r="CS617" s="1754"/>
      <c r="CT617" s="1754"/>
      <c r="CU617" s="1754">
        <f t="shared" si="288"/>
        <v>0</v>
      </c>
      <c r="CV617" s="1754"/>
      <c r="CW617" s="1754"/>
      <c r="CX617" s="1754">
        <f t="shared" si="289"/>
        <v>0</v>
      </c>
      <c r="CY617" s="1754"/>
      <c r="CZ617" s="1754"/>
      <c r="DA617" s="1754"/>
      <c r="DC617" s="383">
        <f>IF($BE617&gt;$R$66-3,280,0)</f>
        <v>280</v>
      </c>
      <c r="DD617" s="1754">
        <f t="shared" si="275"/>
        <v>0</v>
      </c>
      <c r="DE617" s="1754"/>
      <c r="DF617" s="1754"/>
      <c r="DG617" s="1754"/>
      <c r="DH617" s="1754">
        <f t="shared" si="296"/>
        <v>0</v>
      </c>
      <c r="DI617" s="1754"/>
      <c r="DJ617" s="1754"/>
      <c r="DK617" s="1754">
        <f t="shared" si="325"/>
        <v>0</v>
      </c>
      <c r="DL617" s="1754"/>
      <c r="DM617" s="1754"/>
      <c r="DN617" s="1754"/>
      <c r="DP617" s="383">
        <f t="shared" si="297"/>
        <v>280</v>
      </c>
      <c r="DQ617" s="1754">
        <f t="shared" si="305"/>
        <v>0</v>
      </c>
      <c r="DR617" s="1754"/>
      <c r="DS617" s="1754"/>
      <c r="DT617" s="1754"/>
      <c r="DU617" s="1754">
        <f t="shared" si="306"/>
        <v>0</v>
      </c>
      <c r="DV617" s="1754"/>
      <c r="DW617" s="1754"/>
      <c r="DX617" s="1754">
        <f t="shared" si="317"/>
        <v>0</v>
      </c>
      <c r="DY617" s="1754"/>
      <c r="DZ617" s="1754"/>
      <c r="EA617" s="1754">
        <f t="shared" si="318"/>
        <v>0</v>
      </c>
      <c r="EB617" s="1754"/>
      <c r="EC617" s="1754"/>
      <c r="ED617" s="1754"/>
      <c r="EE617" s="384"/>
      <c r="EF617" s="1750">
        <f t="shared" si="290"/>
        <v>0</v>
      </c>
      <c r="EG617" s="1751"/>
      <c r="EH617" s="1751"/>
      <c r="EI617" s="1751"/>
      <c r="EJ617" s="1752"/>
      <c r="EL617" s="1750">
        <f t="shared" si="319"/>
        <v>0</v>
      </c>
      <c r="EM617" s="1751"/>
      <c r="EN617" s="1751"/>
      <c r="EO617" s="1751"/>
      <c r="EP617" s="1752"/>
      <c r="ER617" s="1750">
        <f t="shared" si="291"/>
        <v>0</v>
      </c>
      <c r="ES617" s="1751"/>
      <c r="ET617" s="1751"/>
      <c r="EU617" s="1751"/>
      <c r="EV617" s="1752"/>
      <c r="EX617" s="1750">
        <f>IF(BE617&gt;0,Einstrahlung!$K$16*Kalkulation!$P$62/100*$AY$29*POWER((100-$P$64)/100,BD617-1),0)</f>
        <v>0</v>
      </c>
      <c r="EY617" s="1751"/>
      <c r="EZ617" s="1751"/>
      <c r="FA617" s="1751"/>
      <c r="FB617" s="1752"/>
      <c r="FD617" s="1804">
        <f t="shared" si="280"/>
        <v>0</v>
      </c>
      <c r="FE617" s="1805"/>
      <c r="FF617" s="1805"/>
      <c r="FG617" s="1805"/>
      <c r="FH617" s="1806"/>
      <c r="FI617" s="785">
        <f t="shared" si="326"/>
        <v>1</v>
      </c>
      <c r="FJ617" s="380">
        <f t="shared" si="304"/>
        <v>0</v>
      </c>
      <c r="FK617" s="385"/>
      <c r="FL617" s="380">
        <f t="shared" si="327"/>
        <v>0</v>
      </c>
      <c r="FM617" s="385"/>
      <c r="FN617" s="380">
        <f t="shared" si="298"/>
        <v>0</v>
      </c>
      <c r="FO617" s="962">
        <f t="shared" si="302"/>
        <v>409</v>
      </c>
      <c r="FP617" s="956">
        <f t="shared" si="292"/>
        <v>0.4</v>
      </c>
      <c r="FQ617" s="380">
        <f t="shared" si="311"/>
        <v>0</v>
      </c>
      <c r="FR617" s="626">
        <f t="shared" si="328"/>
        <v>1</v>
      </c>
      <c r="FT617" s="1819">
        <f t="shared" si="303"/>
        <v>0</v>
      </c>
      <c r="FU617" s="1820"/>
      <c r="FV617" s="1820"/>
      <c r="FW617" s="1820"/>
      <c r="FX617" s="1821"/>
      <c r="FY617" s="1819">
        <f t="shared" si="299"/>
        <v>0</v>
      </c>
      <c r="FZ617" s="1820"/>
      <c r="GA617" s="1820"/>
      <c r="GB617" s="1821"/>
      <c r="GC617" s="1825">
        <f t="shared" si="320"/>
        <v>0</v>
      </c>
      <c r="GD617" s="1826"/>
      <c r="GE617" s="1826"/>
      <c r="GF617" s="1827"/>
      <c r="GH617" s="1750">
        <f t="shared" si="300"/>
        <v>0</v>
      </c>
      <c r="GI617" s="1751"/>
      <c r="GJ617" s="1751"/>
      <c r="GK617" s="1752"/>
      <c r="GL617" s="1750">
        <f t="shared" si="301"/>
        <v>0</v>
      </c>
      <c r="GM617" s="1751"/>
      <c r="GN617" s="1751"/>
      <c r="GO617" s="1752"/>
      <c r="GP617" s="385"/>
      <c r="GQ617" s="1750">
        <f t="shared" si="329"/>
        <v>0</v>
      </c>
      <c r="GR617" s="1751"/>
      <c r="GS617" s="1751"/>
      <c r="GT617" s="1752"/>
      <c r="GU617" s="192">
        <f t="shared" si="307"/>
        <v>1</v>
      </c>
      <c r="GV617" s="192">
        <f>SUM($GU$337:GU617)</f>
        <v>273</v>
      </c>
      <c r="GW617" s="318"/>
      <c r="HS617" s="380">
        <f t="shared" si="324"/>
        <v>0</v>
      </c>
      <c r="HX617" s="380"/>
    </row>
    <row r="618" spans="4:232">
      <c r="D618" s="409"/>
      <c r="E618" s="318"/>
      <c r="F618" s="1568"/>
      <c r="G618" s="1568"/>
      <c r="H618" s="1568"/>
      <c r="I618" s="1568"/>
      <c r="J618" s="1568"/>
      <c r="K618" s="1568"/>
      <c r="L618" s="1568"/>
      <c r="M618" s="1568"/>
      <c r="N618" s="1568"/>
      <c r="O618" s="1568">
        <f>V618</f>
        <v>0</v>
      </c>
      <c r="P618" s="1568"/>
      <c r="Q618" s="1568"/>
      <c r="R618" s="1568"/>
      <c r="S618" s="1568"/>
      <c r="T618" s="1568"/>
      <c r="U618" s="247"/>
      <c r="V618" s="1568">
        <f>IF(D265&gt;0,V613+(G265+J265)-(O265+Q265+S265+T265+V265)+Y265,0)</f>
        <v>0</v>
      </c>
      <c r="W618" s="1568"/>
      <c r="X618" s="1568"/>
      <c r="Y618" s="523">
        <f>IF(D265&gt;0,IF(V618&gt;0,0,1),0)</f>
        <v>1</v>
      </c>
      <c r="BD618" s="387">
        <f t="shared" si="321"/>
        <v>23</v>
      </c>
      <c r="BE618" s="382">
        <f>IF(BD618&gt;0,281,0)</f>
        <v>281</v>
      </c>
      <c r="BG618" s="383">
        <f>IF($BE618&gt;$R$66-3+($BR$335*12),281,0)</f>
        <v>281</v>
      </c>
      <c r="BH618" s="1754">
        <f t="shared" si="322"/>
        <v>0</v>
      </c>
      <c r="BI618" s="1754"/>
      <c r="BJ618" s="1754"/>
      <c r="BK618" s="1754"/>
      <c r="BL618" s="1754">
        <f t="shared" si="293"/>
        <v>0</v>
      </c>
      <c r="BM618" s="1754"/>
      <c r="BN618" s="1754"/>
      <c r="BO618" s="1754">
        <f t="shared" si="285"/>
        <v>0</v>
      </c>
      <c r="BP618" s="1754"/>
      <c r="BQ618" s="1754"/>
      <c r="BR618" s="1754">
        <f t="shared" si="323"/>
        <v>0</v>
      </c>
      <c r="BS618" s="1754"/>
      <c r="BT618" s="1754"/>
      <c r="BU618" s="1754"/>
      <c r="BW618" s="383">
        <f>IF($BE618&gt;$R$66-3+($CH$335*12),281,0)</f>
        <v>281</v>
      </c>
      <c r="BX618" s="1754">
        <f t="shared" si="273"/>
        <v>0</v>
      </c>
      <c r="BY618" s="1754"/>
      <c r="BZ618" s="1754"/>
      <c r="CA618" s="1754"/>
      <c r="CB618" s="1754">
        <f t="shared" si="294"/>
        <v>0</v>
      </c>
      <c r="CC618" s="1754"/>
      <c r="CD618" s="1754"/>
      <c r="CE618" s="1754">
        <f t="shared" si="286"/>
        <v>0</v>
      </c>
      <c r="CF618" s="1754"/>
      <c r="CG618" s="1754"/>
      <c r="CH618" s="1754">
        <f t="shared" si="287"/>
        <v>0</v>
      </c>
      <c r="CI618" s="1754"/>
      <c r="CJ618" s="1754"/>
      <c r="CK618" s="1754"/>
      <c r="CM618" s="383">
        <f>IF($BE618&gt;$R$66-3+($CX$335*12),281,0)</f>
        <v>281</v>
      </c>
      <c r="CN618" s="1754">
        <f t="shared" si="274"/>
        <v>0</v>
      </c>
      <c r="CO618" s="1754"/>
      <c r="CP618" s="1754"/>
      <c r="CQ618" s="1754"/>
      <c r="CR618" s="1754">
        <f t="shared" si="295"/>
        <v>0</v>
      </c>
      <c r="CS618" s="1754"/>
      <c r="CT618" s="1754"/>
      <c r="CU618" s="1754">
        <f t="shared" si="288"/>
        <v>0</v>
      </c>
      <c r="CV618" s="1754"/>
      <c r="CW618" s="1754"/>
      <c r="CX618" s="1754">
        <f t="shared" si="289"/>
        <v>0</v>
      </c>
      <c r="CY618" s="1754"/>
      <c r="CZ618" s="1754"/>
      <c r="DA618" s="1754"/>
      <c r="DC618" s="383">
        <f>IF($BE618&gt;$R$66-3,281,0)</f>
        <v>281</v>
      </c>
      <c r="DD618" s="1754">
        <f t="shared" si="275"/>
        <v>0</v>
      </c>
      <c r="DE618" s="1754"/>
      <c r="DF618" s="1754"/>
      <c r="DG618" s="1754"/>
      <c r="DH618" s="1754">
        <f t="shared" si="296"/>
        <v>0</v>
      </c>
      <c r="DI618" s="1754"/>
      <c r="DJ618" s="1754"/>
      <c r="DK618" s="1754">
        <f t="shared" si="325"/>
        <v>0</v>
      </c>
      <c r="DL618" s="1754"/>
      <c r="DM618" s="1754"/>
      <c r="DN618" s="1754"/>
      <c r="DP618" s="383">
        <f t="shared" si="297"/>
        <v>281</v>
      </c>
      <c r="DQ618" s="1754">
        <f t="shared" si="305"/>
        <v>0</v>
      </c>
      <c r="DR618" s="1754"/>
      <c r="DS618" s="1754"/>
      <c r="DT618" s="1754"/>
      <c r="DU618" s="1754">
        <f t="shared" si="306"/>
        <v>0</v>
      </c>
      <c r="DV618" s="1754"/>
      <c r="DW618" s="1754"/>
      <c r="DX618" s="1754">
        <f t="shared" si="317"/>
        <v>0</v>
      </c>
      <c r="DY618" s="1754"/>
      <c r="DZ618" s="1754"/>
      <c r="EA618" s="1754">
        <f t="shared" si="318"/>
        <v>0</v>
      </c>
      <c r="EB618" s="1754"/>
      <c r="EC618" s="1754"/>
      <c r="ED618" s="1754"/>
      <c r="EE618" s="384"/>
      <c r="EF618" s="1750">
        <f t="shared" si="290"/>
        <v>0</v>
      </c>
      <c r="EG618" s="1751"/>
      <c r="EH618" s="1751"/>
      <c r="EI618" s="1751"/>
      <c r="EJ618" s="1752"/>
      <c r="EL618" s="1750">
        <f t="shared" si="319"/>
        <v>0</v>
      </c>
      <c r="EM618" s="1751"/>
      <c r="EN618" s="1751"/>
      <c r="EO618" s="1751"/>
      <c r="EP618" s="1752"/>
      <c r="ER618" s="1750">
        <f t="shared" si="291"/>
        <v>0</v>
      </c>
      <c r="ES618" s="1751"/>
      <c r="ET618" s="1751"/>
      <c r="EU618" s="1751"/>
      <c r="EV618" s="1752"/>
      <c r="EX618" s="1750">
        <f>IF(BE618&gt;0,Einstrahlung!$K$18*Kalkulation!$P$62/100*$AY$29*POWER((100-$P$64)/100,BD618-1),0)</f>
        <v>0</v>
      </c>
      <c r="EY618" s="1751"/>
      <c r="EZ618" s="1751"/>
      <c r="FA618" s="1751"/>
      <c r="FB618" s="1752"/>
      <c r="FD618" s="1804">
        <f t="shared" si="280"/>
        <v>0</v>
      </c>
      <c r="FE618" s="1805"/>
      <c r="FF618" s="1805"/>
      <c r="FG618" s="1805"/>
      <c r="FH618" s="1806"/>
      <c r="FI618" s="785">
        <f t="shared" si="326"/>
        <v>1</v>
      </c>
      <c r="FJ618" s="380">
        <f t="shared" si="304"/>
        <v>0</v>
      </c>
      <c r="FK618" s="385"/>
      <c r="FL618" s="380">
        <f t="shared" si="327"/>
        <v>0</v>
      </c>
      <c r="FM618" s="385"/>
      <c r="FN618" s="380">
        <f t="shared" si="298"/>
        <v>0</v>
      </c>
      <c r="FO618" s="962">
        <f t="shared" si="302"/>
        <v>410</v>
      </c>
      <c r="FP618" s="956">
        <f t="shared" si="292"/>
        <v>0.4</v>
      </c>
      <c r="FQ618" s="380">
        <f t="shared" si="311"/>
        <v>0</v>
      </c>
      <c r="FR618" s="626">
        <f t="shared" si="328"/>
        <v>1</v>
      </c>
      <c r="FT618" s="1819">
        <f t="shared" si="303"/>
        <v>0</v>
      </c>
      <c r="FU618" s="1820"/>
      <c r="FV618" s="1820"/>
      <c r="FW618" s="1820"/>
      <c r="FX618" s="1821"/>
      <c r="FY618" s="1819">
        <f t="shared" si="299"/>
        <v>0</v>
      </c>
      <c r="FZ618" s="1820"/>
      <c r="GA618" s="1820"/>
      <c r="GB618" s="1821"/>
      <c r="GC618" s="1825">
        <f t="shared" si="320"/>
        <v>0</v>
      </c>
      <c r="GD618" s="1826"/>
      <c r="GE618" s="1826"/>
      <c r="GF618" s="1827"/>
      <c r="GH618" s="1750">
        <f t="shared" si="300"/>
        <v>0</v>
      </c>
      <c r="GI618" s="1751"/>
      <c r="GJ618" s="1751"/>
      <c r="GK618" s="1752"/>
      <c r="GL618" s="1750">
        <f t="shared" si="301"/>
        <v>0</v>
      </c>
      <c r="GM618" s="1751"/>
      <c r="GN618" s="1751"/>
      <c r="GO618" s="1752"/>
      <c r="GP618" s="385"/>
      <c r="GQ618" s="1750">
        <f t="shared" si="329"/>
        <v>0</v>
      </c>
      <c r="GR618" s="1751"/>
      <c r="GS618" s="1751"/>
      <c r="GT618" s="1752"/>
      <c r="GU618" s="192">
        <f t="shared" si="307"/>
        <v>1</v>
      </c>
      <c r="GV618" s="192">
        <f>SUM($GU$337:GU618)</f>
        <v>274</v>
      </c>
      <c r="GW618" s="318"/>
      <c r="HS618" s="380">
        <f t="shared" si="324"/>
        <v>0</v>
      </c>
      <c r="HX618" s="380"/>
    </row>
    <row r="619" spans="4:232">
      <c r="D619" s="409"/>
      <c r="E619" s="318"/>
      <c r="F619" s="1568"/>
      <c r="G619" s="1568"/>
      <c r="H619" s="1568"/>
      <c r="I619" s="1568"/>
      <c r="J619" s="1568"/>
      <c r="K619" s="1568"/>
      <c r="L619" s="1568"/>
      <c r="M619" s="1568"/>
      <c r="N619" s="1568"/>
      <c r="O619" s="1568"/>
      <c r="P619" s="1568"/>
      <c r="Q619" s="1568"/>
      <c r="R619" s="1568"/>
      <c r="S619" s="1568"/>
      <c r="T619" s="1568"/>
      <c r="U619" s="247"/>
      <c r="V619" s="1568"/>
      <c r="W619" s="1568"/>
      <c r="X619" s="1568"/>
      <c r="Y619" s="523"/>
      <c r="BD619" s="387">
        <f t="shared" si="321"/>
        <v>23</v>
      </c>
      <c r="BE619" s="382">
        <f>IF(BD619&gt;0,282,0)</f>
        <v>282</v>
      </c>
      <c r="BG619" s="383">
        <f>IF($BE619&gt;$R$66-3+($BR$335*12),282,0)</f>
        <v>282</v>
      </c>
      <c r="BH619" s="1754">
        <f t="shared" si="322"/>
        <v>0</v>
      </c>
      <c r="BI619" s="1754"/>
      <c r="BJ619" s="1754"/>
      <c r="BK619" s="1754"/>
      <c r="BL619" s="1754">
        <f t="shared" si="293"/>
        <v>0</v>
      </c>
      <c r="BM619" s="1754"/>
      <c r="BN619" s="1754"/>
      <c r="BO619" s="1754">
        <f t="shared" si="285"/>
        <v>0</v>
      </c>
      <c r="BP619" s="1754"/>
      <c r="BQ619" s="1754"/>
      <c r="BR619" s="1754">
        <f t="shared" si="323"/>
        <v>0</v>
      </c>
      <c r="BS619" s="1754"/>
      <c r="BT619" s="1754"/>
      <c r="BU619" s="1754"/>
      <c r="BW619" s="383">
        <f>IF($BE619&gt;$R$66-3+($CH$335*12),282,0)</f>
        <v>282</v>
      </c>
      <c r="BX619" s="1754">
        <f t="shared" si="273"/>
        <v>0</v>
      </c>
      <c r="BY619" s="1754"/>
      <c r="BZ619" s="1754"/>
      <c r="CA619" s="1754"/>
      <c r="CB619" s="1754">
        <f t="shared" si="294"/>
        <v>0</v>
      </c>
      <c r="CC619" s="1754"/>
      <c r="CD619" s="1754"/>
      <c r="CE619" s="1754">
        <f t="shared" si="286"/>
        <v>0</v>
      </c>
      <c r="CF619" s="1754"/>
      <c r="CG619" s="1754"/>
      <c r="CH619" s="1754">
        <f t="shared" si="287"/>
        <v>0</v>
      </c>
      <c r="CI619" s="1754"/>
      <c r="CJ619" s="1754"/>
      <c r="CK619" s="1754"/>
      <c r="CM619" s="383">
        <f>IF($BE619&gt;$R$66-3+($CX$335*12),282,0)</f>
        <v>282</v>
      </c>
      <c r="CN619" s="1754">
        <f t="shared" si="274"/>
        <v>0</v>
      </c>
      <c r="CO619" s="1754"/>
      <c r="CP619" s="1754"/>
      <c r="CQ619" s="1754"/>
      <c r="CR619" s="1754">
        <f t="shared" si="295"/>
        <v>0</v>
      </c>
      <c r="CS619" s="1754"/>
      <c r="CT619" s="1754"/>
      <c r="CU619" s="1754">
        <f t="shared" si="288"/>
        <v>0</v>
      </c>
      <c r="CV619" s="1754"/>
      <c r="CW619" s="1754"/>
      <c r="CX619" s="1754">
        <f t="shared" si="289"/>
        <v>0</v>
      </c>
      <c r="CY619" s="1754"/>
      <c r="CZ619" s="1754"/>
      <c r="DA619" s="1754"/>
      <c r="DC619" s="383">
        <f>IF($BE619&gt;$R$66-3,282,0)</f>
        <v>282</v>
      </c>
      <c r="DD619" s="1754">
        <f t="shared" si="275"/>
        <v>0</v>
      </c>
      <c r="DE619" s="1754"/>
      <c r="DF619" s="1754"/>
      <c r="DG619" s="1754"/>
      <c r="DH619" s="1754">
        <f t="shared" si="296"/>
        <v>0</v>
      </c>
      <c r="DI619" s="1754"/>
      <c r="DJ619" s="1754"/>
      <c r="DK619" s="1754">
        <f t="shared" si="325"/>
        <v>0</v>
      </c>
      <c r="DL619" s="1754"/>
      <c r="DM619" s="1754"/>
      <c r="DN619" s="1754"/>
      <c r="DP619" s="383">
        <f t="shared" si="297"/>
        <v>282</v>
      </c>
      <c r="DQ619" s="1754">
        <f t="shared" si="305"/>
        <v>0</v>
      </c>
      <c r="DR619" s="1754"/>
      <c r="DS619" s="1754"/>
      <c r="DT619" s="1754"/>
      <c r="DU619" s="1754">
        <f t="shared" si="306"/>
        <v>0</v>
      </c>
      <c r="DV619" s="1754"/>
      <c r="DW619" s="1754"/>
      <c r="DX619" s="1754">
        <f t="shared" si="317"/>
        <v>0</v>
      </c>
      <c r="DY619" s="1754"/>
      <c r="DZ619" s="1754"/>
      <c r="EA619" s="1754">
        <f t="shared" si="318"/>
        <v>0</v>
      </c>
      <c r="EB619" s="1754"/>
      <c r="EC619" s="1754"/>
      <c r="ED619" s="1754"/>
      <c r="EE619" s="384"/>
      <c r="EF619" s="1750">
        <f t="shared" si="290"/>
        <v>0</v>
      </c>
      <c r="EG619" s="1751"/>
      <c r="EH619" s="1751"/>
      <c r="EI619" s="1751"/>
      <c r="EJ619" s="1752"/>
      <c r="EL619" s="1750">
        <f t="shared" si="319"/>
        <v>0</v>
      </c>
      <c r="EM619" s="1751"/>
      <c r="EN619" s="1751"/>
      <c r="EO619" s="1751"/>
      <c r="EP619" s="1752"/>
      <c r="ER619" s="1750">
        <f t="shared" si="291"/>
        <v>0</v>
      </c>
      <c r="ES619" s="1751"/>
      <c r="ET619" s="1751"/>
      <c r="EU619" s="1751"/>
      <c r="EV619" s="1752"/>
      <c r="EX619" s="1750">
        <f>IF(BE619&gt;0,Einstrahlung!$K$20*Kalkulation!$P$62/100*$AY$29*POWER((100-$P$64)/100,BD619-1),0)</f>
        <v>0</v>
      </c>
      <c r="EY619" s="1751"/>
      <c r="EZ619" s="1751"/>
      <c r="FA619" s="1751"/>
      <c r="FB619" s="1752"/>
      <c r="FD619" s="1804">
        <f t="shared" si="280"/>
        <v>0</v>
      </c>
      <c r="FE619" s="1805"/>
      <c r="FF619" s="1805"/>
      <c r="FG619" s="1805"/>
      <c r="FH619" s="1806"/>
      <c r="FI619" s="785">
        <f t="shared" si="326"/>
        <v>1</v>
      </c>
      <c r="FJ619" s="380">
        <f t="shared" si="304"/>
        <v>0</v>
      </c>
      <c r="FK619" s="385"/>
      <c r="FL619" s="380">
        <f t="shared" si="327"/>
        <v>0</v>
      </c>
      <c r="FM619" s="385"/>
      <c r="FN619" s="380">
        <f t="shared" si="298"/>
        <v>0</v>
      </c>
      <c r="FO619" s="962">
        <f t="shared" si="302"/>
        <v>411</v>
      </c>
      <c r="FP619" s="956">
        <f t="shared" si="292"/>
        <v>0.4</v>
      </c>
      <c r="FQ619" s="380">
        <f t="shared" si="311"/>
        <v>0</v>
      </c>
      <c r="FR619" s="626">
        <f t="shared" si="328"/>
        <v>1</v>
      </c>
      <c r="FT619" s="1819">
        <f t="shared" si="303"/>
        <v>0</v>
      </c>
      <c r="FU619" s="1820"/>
      <c r="FV619" s="1820"/>
      <c r="FW619" s="1820"/>
      <c r="FX619" s="1821"/>
      <c r="FY619" s="1819">
        <f t="shared" si="299"/>
        <v>0</v>
      </c>
      <c r="FZ619" s="1820"/>
      <c r="GA619" s="1820"/>
      <c r="GB619" s="1821"/>
      <c r="GC619" s="1825">
        <f t="shared" si="320"/>
        <v>0</v>
      </c>
      <c r="GD619" s="1826"/>
      <c r="GE619" s="1826"/>
      <c r="GF619" s="1827"/>
      <c r="GH619" s="1750">
        <f t="shared" si="300"/>
        <v>0</v>
      </c>
      <c r="GI619" s="1751"/>
      <c r="GJ619" s="1751"/>
      <c r="GK619" s="1752"/>
      <c r="GL619" s="1750">
        <f t="shared" si="301"/>
        <v>0</v>
      </c>
      <c r="GM619" s="1751"/>
      <c r="GN619" s="1751"/>
      <c r="GO619" s="1752"/>
      <c r="GP619" s="385"/>
      <c r="GQ619" s="1750">
        <f t="shared" si="329"/>
        <v>0</v>
      </c>
      <c r="GR619" s="1751"/>
      <c r="GS619" s="1751"/>
      <c r="GT619" s="1752"/>
      <c r="GU619" s="192">
        <f t="shared" si="307"/>
        <v>1</v>
      </c>
      <c r="GV619" s="192">
        <f>SUM($GU$337:GU619)</f>
        <v>275</v>
      </c>
      <c r="GW619" s="318"/>
      <c r="HS619" s="380">
        <f t="shared" si="324"/>
        <v>0</v>
      </c>
      <c r="HX619" s="380"/>
    </row>
    <row r="620" spans="4:232">
      <c r="D620" s="409">
        <v>11</v>
      </c>
      <c r="E620" s="318"/>
      <c r="F620" s="1568">
        <f>AH267</f>
        <v>0</v>
      </c>
      <c r="G620" s="1568"/>
      <c r="H620" s="1568"/>
      <c r="I620" s="1568"/>
      <c r="J620" s="1568"/>
      <c r="K620" s="1568"/>
      <c r="L620" s="1568"/>
      <c r="M620" s="1568"/>
      <c r="N620" s="1568"/>
      <c r="O620" s="1568"/>
      <c r="P620" s="1568"/>
      <c r="Q620" s="1568"/>
      <c r="R620" s="1568"/>
      <c r="S620" s="1568"/>
      <c r="T620" s="1568"/>
      <c r="U620" s="247"/>
      <c r="V620" s="1568"/>
      <c r="W620" s="1568"/>
      <c r="X620" s="1568"/>
      <c r="Y620" s="523"/>
      <c r="BD620" s="387">
        <f t="shared" si="321"/>
        <v>23</v>
      </c>
      <c r="BE620" s="382">
        <f>IF(BD620&gt;0,283,0)</f>
        <v>283</v>
      </c>
      <c r="BG620" s="383">
        <f>IF($BE620&gt;$R$66-3+($BR$335*12),283,0)</f>
        <v>283</v>
      </c>
      <c r="BH620" s="1754">
        <f t="shared" si="322"/>
        <v>0</v>
      </c>
      <c r="BI620" s="1754"/>
      <c r="BJ620" s="1754"/>
      <c r="BK620" s="1754"/>
      <c r="BL620" s="1754">
        <f t="shared" si="293"/>
        <v>0</v>
      </c>
      <c r="BM620" s="1754"/>
      <c r="BN620" s="1754"/>
      <c r="BO620" s="1754">
        <f t="shared" si="285"/>
        <v>0</v>
      </c>
      <c r="BP620" s="1754"/>
      <c r="BQ620" s="1754"/>
      <c r="BR620" s="1754">
        <f t="shared" si="323"/>
        <v>0</v>
      </c>
      <c r="BS620" s="1754"/>
      <c r="BT620" s="1754"/>
      <c r="BU620" s="1754"/>
      <c r="BW620" s="383">
        <f>IF($BE620&gt;$R$66-3+($CH$335*12),283,0)</f>
        <v>283</v>
      </c>
      <c r="BX620" s="1754">
        <f t="shared" si="273"/>
        <v>0</v>
      </c>
      <c r="BY620" s="1754"/>
      <c r="BZ620" s="1754"/>
      <c r="CA620" s="1754"/>
      <c r="CB620" s="1754">
        <f t="shared" si="294"/>
        <v>0</v>
      </c>
      <c r="CC620" s="1754"/>
      <c r="CD620" s="1754"/>
      <c r="CE620" s="1754">
        <f t="shared" si="286"/>
        <v>0</v>
      </c>
      <c r="CF620" s="1754"/>
      <c r="CG620" s="1754"/>
      <c r="CH620" s="1754">
        <f t="shared" si="287"/>
        <v>0</v>
      </c>
      <c r="CI620" s="1754"/>
      <c r="CJ620" s="1754"/>
      <c r="CK620" s="1754"/>
      <c r="CM620" s="383">
        <f>IF($BE620&gt;$R$66-3+($CX$335*12),283,0)</f>
        <v>283</v>
      </c>
      <c r="CN620" s="1754">
        <f t="shared" si="274"/>
        <v>0</v>
      </c>
      <c r="CO620" s="1754"/>
      <c r="CP620" s="1754"/>
      <c r="CQ620" s="1754"/>
      <c r="CR620" s="1754">
        <f t="shared" si="295"/>
        <v>0</v>
      </c>
      <c r="CS620" s="1754"/>
      <c r="CT620" s="1754"/>
      <c r="CU620" s="1754">
        <f t="shared" si="288"/>
        <v>0</v>
      </c>
      <c r="CV620" s="1754"/>
      <c r="CW620" s="1754"/>
      <c r="CX620" s="1754">
        <f t="shared" si="289"/>
        <v>0</v>
      </c>
      <c r="CY620" s="1754"/>
      <c r="CZ620" s="1754"/>
      <c r="DA620" s="1754"/>
      <c r="DC620" s="383">
        <f>IF($BE620&gt;$R$66-3,283,0)</f>
        <v>283</v>
      </c>
      <c r="DD620" s="1754">
        <f t="shared" si="275"/>
        <v>0</v>
      </c>
      <c r="DE620" s="1754"/>
      <c r="DF620" s="1754"/>
      <c r="DG620" s="1754"/>
      <c r="DH620" s="1754">
        <f t="shared" si="296"/>
        <v>0</v>
      </c>
      <c r="DI620" s="1754"/>
      <c r="DJ620" s="1754"/>
      <c r="DK620" s="1754">
        <f t="shared" si="325"/>
        <v>0</v>
      </c>
      <c r="DL620" s="1754"/>
      <c r="DM620" s="1754"/>
      <c r="DN620" s="1754"/>
      <c r="DP620" s="383">
        <f t="shared" si="297"/>
        <v>283</v>
      </c>
      <c r="DQ620" s="1754">
        <f t="shared" si="305"/>
        <v>0</v>
      </c>
      <c r="DR620" s="1754"/>
      <c r="DS620" s="1754"/>
      <c r="DT620" s="1754"/>
      <c r="DU620" s="1754">
        <f t="shared" si="306"/>
        <v>0</v>
      </c>
      <c r="DV620" s="1754"/>
      <c r="DW620" s="1754"/>
      <c r="DX620" s="1754">
        <f t="shared" si="317"/>
        <v>0</v>
      </c>
      <c r="DY620" s="1754"/>
      <c r="DZ620" s="1754"/>
      <c r="EA620" s="1754">
        <f t="shared" si="318"/>
        <v>0</v>
      </c>
      <c r="EB620" s="1754"/>
      <c r="EC620" s="1754"/>
      <c r="ED620" s="1754"/>
      <c r="EE620" s="384"/>
      <c r="EF620" s="1750">
        <f t="shared" si="290"/>
        <v>0</v>
      </c>
      <c r="EG620" s="1751"/>
      <c r="EH620" s="1751"/>
      <c r="EI620" s="1751"/>
      <c r="EJ620" s="1752"/>
      <c r="EL620" s="1750">
        <f t="shared" si="319"/>
        <v>0</v>
      </c>
      <c r="EM620" s="1751"/>
      <c r="EN620" s="1751"/>
      <c r="EO620" s="1751"/>
      <c r="EP620" s="1752"/>
      <c r="ER620" s="1750">
        <f t="shared" si="291"/>
        <v>0</v>
      </c>
      <c r="ES620" s="1751"/>
      <c r="ET620" s="1751"/>
      <c r="EU620" s="1751"/>
      <c r="EV620" s="1752"/>
      <c r="EX620" s="1750">
        <f>IF(BE620&gt;0,Einstrahlung!$K$22*Kalkulation!$P$62/100*$AY$29*POWER((100-$P$64)/100,BD620-1),0)</f>
        <v>0</v>
      </c>
      <c r="EY620" s="1751"/>
      <c r="EZ620" s="1751"/>
      <c r="FA620" s="1751"/>
      <c r="FB620" s="1752"/>
      <c r="FD620" s="1804">
        <f t="shared" si="280"/>
        <v>0</v>
      </c>
      <c r="FE620" s="1805"/>
      <c r="FF620" s="1805"/>
      <c r="FG620" s="1805"/>
      <c r="FH620" s="1806"/>
      <c r="FI620" s="785">
        <f t="shared" si="326"/>
        <v>1</v>
      </c>
      <c r="FJ620" s="380">
        <f t="shared" si="304"/>
        <v>0</v>
      </c>
      <c r="FK620" s="385"/>
      <c r="FL620" s="380">
        <f t="shared" si="327"/>
        <v>0</v>
      </c>
      <c r="FM620" s="385"/>
      <c r="FN620" s="380">
        <f t="shared" si="298"/>
        <v>0</v>
      </c>
      <c r="FO620" s="962">
        <f t="shared" si="302"/>
        <v>412</v>
      </c>
      <c r="FP620" s="956">
        <f t="shared" si="292"/>
        <v>0.4</v>
      </c>
      <c r="FQ620" s="380">
        <f t="shared" si="311"/>
        <v>0</v>
      </c>
      <c r="FR620" s="626">
        <f t="shared" si="328"/>
        <v>1</v>
      </c>
      <c r="FT620" s="1819">
        <f t="shared" si="303"/>
        <v>0</v>
      </c>
      <c r="FU620" s="1820"/>
      <c r="FV620" s="1820"/>
      <c r="FW620" s="1820"/>
      <c r="FX620" s="1821"/>
      <c r="FY620" s="1819">
        <f t="shared" si="299"/>
        <v>0</v>
      </c>
      <c r="FZ620" s="1820"/>
      <c r="GA620" s="1820"/>
      <c r="GB620" s="1821"/>
      <c r="GC620" s="1825">
        <f t="shared" si="320"/>
        <v>0</v>
      </c>
      <c r="GD620" s="1826"/>
      <c r="GE620" s="1826"/>
      <c r="GF620" s="1827"/>
      <c r="GH620" s="1750">
        <f t="shared" si="300"/>
        <v>0</v>
      </c>
      <c r="GI620" s="1751"/>
      <c r="GJ620" s="1751"/>
      <c r="GK620" s="1752"/>
      <c r="GL620" s="1750">
        <f t="shared" si="301"/>
        <v>0</v>
      </c>
      <c r="GM620" s="1751"/>
      <c r="GN620" s="1751"/>
      <c r="GO620" s="1752"/>
      <c r="GP620" s="385"/>
      <c r="GQ620" s="1750">
        <f t="shared" si="329"/>
        <v>0</v>
      </c>
      <c r="GR620" s="1751"/>
      <c r="GS620" s="1751"/>
      <c r="GT620" s="1752"/>
      <c r="GU620" s="192">
        <f t="shared" si="307"/>
        <v>1</v>
      </c>
      <c r="GV620" s="192">
        <f>SUM($GU$337:GU620)</f>
        <v>276</v>
      </c>
      <c r="GW620" s="318"/>
      <c r="HS620" s="380">
        <f t="shared" si="324"/>
        <v>0</v>
      </c>
      <c r="HX620" s="380"/>
    </row>
    <row r="621" spans="4:232">
      <c r="D621" s="409"/>
      <c r="E621" s="318"/>
      <c r="F621" s="1568"/>
      <c r="G621" s="1568"/>
      <c r="H621" s="1568"/>
      <c r="I621" s="1568">
        <f>F620</f>
        <v>0</v>
      </c>
      <c r="J621" s="1568"/>
      <c r="K621" s="1568"/>
      <c r="L621" s="1568"/>
      <c r="M621" s="1568"/>
      <c r="N621" s="1568"/>
      <c r="O621" s="1568"/>
      <c r="P621" s="1568"/>
      <c r="Q621" s="1568"/>
      <c r="R621" s="1568"/>
      <c r="S621" s="1568"/>
      <c r="T621" s="1568"/>
      <c r="U621" s="247"/>
      <c r="V621" s="1568"/>
      <c r="W621" s="1568"/>
      <c r="X621" s="1568"/>
      <c r="Y621" s="523"/>
      <c r="BD621" s="387">
        <f t="shared" si="321"/>
        <v>23</v>
      </c>
      <c r="BE621" s="382">
        <f>IF(BD621&gt;0,284,0)</f>
        <v>284</v>
      </c>
      <c r="BG621" s="383">
        <f>IF($BE621&gt;$R$66-3+($BR$335*12),284,0)</f>
        <v>284</v>
      </c>
      <c r="BH621" s="1754">
        <f t="shared" si="322"/>
        <v>0</v>
      </c>
      <c r="BI621" s="1754"/>
      <c r="BJ621" s="1754"/>
      <c r="BK621" s="1754"/>
      <c r="BL621" s="1754">
        <f t="shared" si="293"/>
        <v>0</v>
      </c>
      <c r="BM621" s="1754"/>
      <c r="BN621" s="1754"/>
      <c r="BO621" s="1754">
        <f t="shared" si="285"/>
        <v>0</v>
      </c>
      <c r="BP621" s="1754"/>
      <c r="BQ621" s="1754"/>
      <c r="BR621" s="1754">
        <f t="shared" si="323"/>
        <v>0</v>
      </c>
      <c r="BS621" s="1754"/>
      <c r="BT621" s="1754"/>
      <c r="BU621" s="1754"/>
      <c r="BW621" s="383">
        <f>IF($BE621&gt;$R$66-3+($CH$335*12),284,0)</f>
        <v>284</v>
      </c>
      <c r="BX621" s="1754">
        <f t="shared" si="273"/>
        <v>0</v>
      </c>
      <c r="BY621" s="1754"/>
      <c r="BZ621" s="1754"/>
      <c r="CA621" s="1754"/>
      <c r="CB621" s="1754">
        <f t="shared" si="294"/>
        <v>0</v>
      </c>
      <c r="CC621" s="1754"/>
      <c r="CD621" s="1754"/>
      <c r="CE621" s="1754">
        <f t="shared" si="286"/>
        <v>0</v>
      </c>
      <c r="CF621" s="1754"/>
      <c r="CG621" s="1754"/>
      <c r="CH621" s="1754">
        <f t="shared" si="287"/>
        <v>0</v>
      </c>
      <c r="CI621" s="1754"/>
      <c r="CJ621" s="1754"/>
      <c r="CK621" s="1754"/>
      <c r="CM621" s="383">
        <f>IF($BE621&gt;$R$66-3+($CX$335*12),284,0)</f>
        <v>284</v>
      </c>
      <c r="CN621" s="1754">
        <f t="shared" si="274"/>
        <v>0</v>
      </c>
      <c r="CO621" s="1754"/>
      <c r="CP621" s="1754"/>
      <c r="CQ621" s="1754"/>
      <c r="CR621" s="1754">
        <f t="shared" si="295"/>
        <v>0</v>
      </c>
      <c r="CS621" s="1754"/>
      <c r="CT621" s="1754"/>
      <c r="CU621" s="1754">
        <f t="shared" si="288"/>
        <v>0</v>
      </c>
      <c r="CV621" s="1754"/>
      <c r="CW621" s="1754"/>
      <c r="CX621" s="1754">
        <f t="shared" si="289"/>
        <v>0</v>
      </c>
      <c r="CY621" s="1754"/>
      <c r="CZ621" s="1754"/>
      <c r="DA621" s="1754"/>
      <c r="DC621" s="383">
        <f>IF($BE621&gt;$R$66-3,284,0)</f>
        <v>284</v>
      </c>
      <c r="DD621" s="1754">
        <f t="shared" si="275"/>
        <v>0</v>
      </c>
      <c r="DE621" s="1754"/>
      <c r="DF621" s="1754"/>
      <c r="DG621" s="1754"/>
      <c r="DH621" s="1754">
        <f t="shared" si="296"/>
        <v>0</v>
      </c>
      <c r="DI621" s="1754"/>
      <c r="DJ621" s="1754"/>
      <c r="DK621" s="1754">
        <f t="shared" si="325"/>
        <v>0</v>
      </c>
      <c r="DL621" s="1754"/>
      <c r="DM621" s="1754"/>
      <c r="DN621" s="1754"/>
      <c r="DP621" s="383">
        <f t="shared" si="297"/>
        <v>284</v>
      </c>
      <c r="DQ621" s="1754">
        <f t="shared" si="305"/>
        <v>0</v>
      </c>
      <c r="DR621" s="1754"/>
      <c r="DS621" s="1754"/>
      <c r="DT621" s="1754"/>
      <c r="DU621" s="1754">
        <f t="shared" si="306"/>
        <v>0</v>
      </c>
      <c r="DV621" s="1754"/>
      <c r="DW621" s="1754"/>
      <c r="DX621" s="1754">
        <f t="shared" si="317"/>
        <v>0</v>
      </c>
      <c r="DY621" s="1754"/>
      <c r="DZ621" s="1754"/>
      <c r="EA621" s="1754">
        <f t="shared" si="318"/>
        <v>0</v>
      </c>
      <c r="EB621" s="1754"/>
      <c r="EC621" s="1754"/>
      <c r="ED621" s="1754"/>
      <c r="EE621" s="384"/>
      <c r="EF621" s="1750">
        <f t="shared" si="290"/>
        <v>0</v>
      </c>
      <c r="EG621" s="1751"/>
      <c r="EH621" s="1751"/>
      <c r="EI621" s="1751"/>
      <c r="EJ621" s="1752"/>
      <c r="EL621" s="1750">
        <f t="shared" si="319"/>
        <v>0</v>
      </c>
      <c r="EM621" s="1751"/>
      <c r="EN621" s="1751"/>
      <c r="EO621" s="1751"/>
      <c r="EP621" s="1752"/>
      <c r="ER621" s="1750">
        <f t="shared" si="291"/>
        <v>0</v>
      </c>
      <c r="ES621" s="1751"/>
      <c r="ET621" s="1751"/>
      <c r="EU621" s="1751"/>
      <c r="EV621" s="1752"/>
      <c r="EX621" s="1750">
        <f>IF(BE621&gt;0,Einstrahlung!$K$24*Kalkulation!$P$62/100*$AY$29*POWER((100-$P$64)/100,BD621-1),0)</f>
        <v>0</v>
      </c>
      <c r="EY621" s="1751"/>
      <c r="EZ621" s="1751"/>
      <c r="FA621" s="1751"/>
      <c r="FB621" s="1752"/>
      <c r="FD621" s="1804">
        <f t="shared" si="280"/>
        <v>0</v>
      </c>
      <c r="FE621" s="1805"/>
      <c r="FF621" s="1805"/>
      <c r="FG621" s="1805"/>
      <c r="FH621" s="1806"/>
      <c r="FI621" s="785">
        <f t="shared" si="326"/>
        <v>1</v>
      </c>
      <c r="FJ621" s="380">
        <f t="shared" si="304"/>
        <v>0</v>
      </c>
      <c r="FK621" s="385"/>
      <c r="FL621" s="380">
        <f t="shared" si="327"/>
        <v>0</v>
      </c>
      <c r="FM621" s="385"/>
      <c r="FN621" s="380">
        <f t="shared" si="298"/>
        <v>0</v>
      </c>
      <c r="FO621" s="962">
        <f t="shared" si="302"/>
        <v>413</v>
      </c>
      <c r="FP621" s="956">
        <f t="shared" si="292"/>
        <v>0.4</v>
      </c>
      <c r="FQ621" s="380">
        <f t="shared" si="311"/>
        <v>0</v>
      </c>
      <c r="FR621" s="626">
        <f t="shared" si="328"/>
        <v>1</v>
      </c>
      <c r="FT621" s="1819">
        <f t="shared" si="303"/>
        <v>0</v>
      </c>
      <c r="FU621" s="1820"/>
      <c r="FV621" s="1820"/>
      <c r="FW621" s="1820"/>
      <c r="FX621" s="1821"/>
      <c r="FY621" s="1819">
        <f t="shared" si="299"/>
        <v>0</v>
      </c>
      <c r="FZ621" s="1820"/>
      <c r="GA621" s="1820"/>
      <c r="GB621" s="1821"/>
      <c r="GC621" s="1825">
        <f t="shared" si="320"/>
        <v>0</v>
      </c>
      <c r="GD621" s="1826"/>
      <c r="GE621" s="1826"/>
      <c r="GF621" s="1827"/>
      <c r="GH621" s="1750">
        <f t="shared" si="300"/>
        <v>0</v>
      </c>
      <c r="GI621" s="1751"/>
      <c r="GJ621" s="1751"/>
      <c r="GK621" s="1752"/>
      <c r="GL621" s="1750">
        <f t="shared" si="301"/>
        <v>0</v>
      </c>
      <c r="GM621" s="1751"/>
      <c r="GN621" s="1751"/>
      <c r="GO621" s="1752"/>
      <c r="GP621" s="385"/>
      <c r="GQ621" s="1750">
        <f t="shared" si="329"/>
        <v>0</v>
      </c>
      <c r="GR621" s="1751"/>
      <c r="GS621" s="1751"/>
      <c r="GT621" s="1752"/>
      <c r="GU621" s="192">
        <f t="shared" si="307"/>
        <v>1</v>
      </c>
      <c r="GV621" s="192">
        <f>SUM($GU$337:GU621)</f>
        <v>277</v>
      </c>
      <c r="GW621" s="318"/>
      <c r="HS621" s="380">
        <f t="shared" si="324"/>
        <v>0</v>
      </c>
      <c r="HX621" s="380"/>
    </row>
    <row r="622" spans="4:232">
      <c r="D622" s="409"/>
      <c r="E622" s="318"/>
      <c r="F622" s="1568"/>
      <c r="G622" s="1568"/>
      <c r="H622" s="1568"/>
      <c r="I622" s="1568"/>
      <c r="J622" s="1568"/>
      <c r="K622" s="1568"/>
      <c r="L622" s="1568">
        <f>F620</f>
        <v>0</v>
      </c>
      <c r="M622" s="1568"/>
      <c r="N622" s="1568"/>
      <c r="O622" s="1568"/>
      <c r="P622" s="1568"/>
      <c r="Q622" s="1568"/>
      <c r="R622" s="1568"/>
      <c r="S622" s="1568"/>
      <c r="T622" s="1568"/>
      <c r="U622" s="247"/>
      <c r="V622" s="1568"/>
      <c r="W622" s="1568"/>
      <c r="X622" s="1568"/>
      <c r="Y622" s="523"/>
      <c r="BD622" s="387">
        <f t="shared" si="321"/>
        <v>23</v>
      </c>
      <c r="BE622" s="382">
        <f>IF(BD622&gt;0,285,0)</f>
        <v>285</v>
      </c>
      <c r="BG622" s="383">
        <f>IF($BE622&gt;$R$66-3+($BR$335*12),285,0)</f>
        <v>285</v>
      </c>
      <c r="BH622" s="1754">
        <f t="shared" si="322"/>
        <v>0</v>
      </c>
      <c r="BI622" s="1754"/>
      <c r="BJ622" s="1754"/>
      <c r="BK622" s="1754"/>
      <c r="BL622" s="1754">
        <f t="shared" si="293"/>
        <v>0</v>
      </c>
      <c r="BM622" s="1754"/>
      <c r="BN622" s="1754"/>
      <c r="BO622" s="1754">
        <f t="shared" si="285"/>
        <v>0</v>
      </c>
      <c r="BP622" s="1754"/>
      <c r="BQ622" s="1754"/>
      <c r="BR622" s="1754">
        <f t="shared" si="323"/>
        <v>0</v>
      </c>
      <c r="BS622" s="1754"/>
      <c r="BT622" s="1754"/>
      <c r="BU622" s="1754"/>
      <c r="BW622" s="383">
        <f>IF($BE622&gt;$R$66-3+($CH$335*12),285,0)</f>
        <v>285</v>
      </c>
      <c r="BX622" s="1754">
        <f t="shared" si="273"/>
        <v>0</v>
      </c>
      <c r="BY622" s="1754"/>
      <c r="BZ622" s="1754"/>
      <c r="CA622" s="1754"/>
      <c r="CB622" s="1754">
        <f t="shared" si="294"/>
        <v>0</v>
      </c>
      <c r="CC622" s="1754"/>
      <c r="CD622" s="1754"/>
      <c r="CE622" s="1754">
        <f t="shared" si="286"/>
        <v>0</v>
      </c>
      <c r="CF622" s="1754"/>
      <c r="CG622" s="1754"/>
      <c r="CH622" s="1754">
        <f t="shared" si="287"/>
        <v>0</v>
      </c>
      <c r="CI622" s="1754"/>
      <c r="CJ622" s="1754"/>
      <c r="CK622" s="1754"/>
      <c r="CM622" s="383">
        <f>IF($BE622&gt;$R$66-3+($CX$335*12),285,0)</f>
        <v>285</v>
      </c>
      <c r="CN622" s="1754">
        <f t="shared" si="274"/>
        <v>0</v>
      </c>
      <c r="CO622" s="1754"/>
      <c r="CP622" s="1754"/>
      <c r="CQ622" s="1754"/>
      <c r="CR622" s="1754">
        <f t="shared" si="295"/>
        <v>0</v>
      </c>
      <c r="CS622" s="1754"/>
      <c r="CT622" s="1754"/>
      <c r="CU622" s="1754">
        <f t="shared" si="288"/>
        <v>0</v>
      </c>
      <c r="CV622" s="1754"/>
      <c r="CW622" s="1754"/>
      <c r="CX622" s="1754">
        <f t="shared" si="289"/>
        <v>0</v>
      </c>
      <c r="CY622" s="1754"/>
      <c r="CZ622" s="1754"/>
      <c r="DA622" s="1754"/>
      <c r="DC622" s="383">
        <f>IF($BE622&gt;$R$66-3,285,0)</f>
        <v>285</v>
      </c>
      <c r="DD622" s="1754">
        <f t="shared" si="275"/>
        <v>0</v>
      </c>
      <c r="DE622" s="1754"/>
      <c r="DF622" s="1754"/>
      <c r="DG622" s="1754"/>
      <c r="DH622" s="1754">
        <f t="shared" si="296"/>
        <v>0</v>
      </c>
      <c r="DI622" s="1754"/>
      <c r="DJ622" s="1754"/>
      <c r="DK622" s="1754">
        <f t="shared" si="325"/>
        <v>0</v>
      </c>
      <c r="DL622" s="1754"/>
      <c r="DM622" s="1754"/>
      <c r="DN622" s="1754"/>
      <c r="DP622" s="383">
        <f t="shared" si="297"/>
        <v>285</v>
      </c>
      <c r="DQ622" s="1754">
        <f t="shared" si="305"/>
        <v>0</v>
      </c>
      <c r="DR622" s="1754"/>
      <c r="DS622" s="1754"/>
      <c r="DT622" s="1754"/>
      <c r="DU622" s="1754">
        <f t="shared" si="306"/>
        <v>0</v>
      </c>
      <c r="DV622" s="1754"/>
      <c r="DW622" s="1754"/>
      <c r="DX622" s="1754">
        <f t="shared" si="317"/>
        <v>0</v>
      </c>
      <c r="DY622" s="1754"/>
      <c r="DZ622" s="1754"/>
      <c r="EA622" s="1754">
        <f t="shared" si="318"/>
        <v>0</v>
      </c>
      <c r="EB622" s="1754"/>
      <c r="EC622" s="1754"/>
      <c r="ED622" s="1754"/>
      <c r="EE622" s="384"/>
      <c r="EF622" s="1750">
        <f t="shared" si="290"/>
        <v>0</v>
      </c>
      <c r="EG622" s="1751"/>
      <c r="EH622" s="1751"/>
      <c r="EI622" s="1751"/>
      <c r="EJ622" s="1752"/>
      <c r="EL622" s="1750">
        <f t="shared" si="319"/>
        <v>0</v>
      </c>
      <c r="EM622" s="1751"/>
      <c r="EN622" s="1751"/>
      <c r="EO622" s="1751"/>
      <c r="EP622" s="1752"/>
      <c r="ER622" s="1750">
        <f t="shared" si="291"/>
        <v>0</v>
      </c>
      <c r="ES622" s="1751"/>
      <c r="ET622" s="1751"/>
      <c r="EU622" s="1751"/>
      <c r="EV622" s="1752"/>
      <c r="EX622" s="1750">
        <f>IF(BE622&gt;0,Einstrahlung!$K$26*Kalkulation!$P$62/100*$AY$29*POWER((100-$P$64)/100,BD622-1),0)</f>
        <v>0</v>
      </c>
      <c r="EY622" s="1751"/>
      <c r="EZ622" s="1751"/>
      <c r="FA622" s="1751"/>
      <c r="FB622" s="1752"/>
      <c r="FD622" s="1804">
        <f t="shared" si="280"/>
        <v>0</v>
      </c>
      <c r="FE622" s="1805"/>
      <c r="FF622" s="1805"/>
      <c r="FG622" s="1805"/>
      <c r="FH622" s="1806"/>
      <c r="FI622" s="785">
        <f t="shared" si="326"/>
        <v>1</v>
      </c>
      <c r="FJ622" s="380">
        <f t="shared" si="304"/>
        <v>0</v>
      </c>
      <c r="FK622" s="385"/>
      <c r="FL622" s="380">
        <f t="shared" si="327"/>
        <v>0</v>
      </c>
      <c r="FM622" s="385"/>
      <c r="FN622" s="380">
        <f t="shared" si="298"/>
        <v>0</v>
      </c>
      <c r="FO622" s="962">
        <f t="shared" si="302"/>
        <v>414</v>
      </c>
      <c r="FP622" s="956">
        <f t="shared" si="292"/>
        <v>0.4</v>
      </c>
      <c r="FQ622" s="380">
        <f t="shared" si="311"/>
        <v>0</v>
      </c>
      <c r="FR622" s="626">
        <f t="shared" si="328"/>
        <v>1</v>
      </c>
      <c r="FT622" s="1819">
        <f t="shared" si="303"/>
        <v>0</v>
      </c>
      <c r="FU622" s="1820"/>
      <c r="FV622" s="1820"/>
      <c r="FW622" s="1820"/>
      <c r="FX622" s="1821"/>
      <c r="FY622" s="1819">
        <f t="shared" si="299"/>
        <v>0</v>
      </c>
      <c r="FZ622" s="1820"/>
      <c r="GA622" s="1820"/>
      <c r="GB622" s="1821"/>
      <c r="GC622" s="1825">
        <f t="shared" si="320"/>
        <v>0</v>
      </c>
      <c r="GD622" s="1826"/>
      <c r="GE622" s="1826"/>
      <c r="GF622" s="1827"/>
      <c r="GH622" s="1750">
        <f t="shared" si="300"/>
        <v>0</v>
      </c>
      <c r="GI622" s="1751"/>
      <c r="GJ622" s="1751"/>
      <c r="GK622" s="1752"/>
      <c r="GL622" s="1750">
        <f t="shared" si="301"/>
        <v>0</v>
      </c>
      <c r="GM622" s="1751"/>
      <c r="GN622" s="1751"/>
      <c r="GO622" s="1752"/>
      <c r="GP622" s="385"/>
      <c r="GQ622" s="1750">
        <f t="shared" si="329"/>
        <v>0</v>
      </c>
      <c r="GR622" s="1751"/>
      <c r="GS622" s="1751"/>
      <c r="GT622" s="1752"/>
      <c r="GU622" s="192">
        <f t="shared" si="307"/>
        <v>1</v>
      </c>
      <c r="GV622" s="192">
        <f>SUM($GU$337:GU622)</f>
        <v>278</v>
      </c>
      <c r="GW622" s="318"/>
      <c r="HS622" s="380">
        <f t="shared" si="324"/>
        <v>0</v>
      </c>
      <c r="HX622" s="380"/>
    </row>
    <row r="623" spans="4:232">
      <c r="D623" s="409"/>
      <c r="E623" s="318"/>
      <c r="F623" s="1568"/>
      <c r="G623" s="1568"/>
      <c r="H623" s="1568"/>
      <c r="I623" s="1568"/>
      <c r="J623" s="1568"/>
      <c r="K623" s="1568"/>
      <c r="L623" s="1568"/>
      <c r="M623" s="1568"/>
      <c r="N623" s="1568"/>
      <c r="O623" s="1568">
        <f>V623</f>
        <v>0</v>
      </c>
      <c r="P623" s="1568"/>
      <c r="Q623" s="1568"/>
      <c r="R623" s="1568"/>
      <c r="S623" s="1568"/>
      <c r="T623" s="1568"/>
      <c r="U623" s="247"/>
      <c r="V623" s="1568">
        <f>IF(D267&gt;0,V618+(G267+J267)-(O267+Q267+S267+T267+V267)+Y267,0)</f>
        <v>0</v>
      </c>
      <c r="W623" s="1568"/>
      <c r="X623" s="1568"/>
      <c r="Y623" s="523">
        <f>IF(D267&gt;0,IF(V623&gt;0,0,1),0)</f>
        <v>1</v>
      </c>
      <c r="BD623" s="387">
        <f t="shared" si="321"/>
        <v>23</v>
      </c>
      <c r="BE623" s="382">
        <f>IF(BD623&gt;0,286,0)</f>
        <v>286</v>
      </c>
      <c r="BG623" s="383">
        <f>IF($BE623&gt;$R$66-3+($BR$335*12),286,0)</f>
        <v>286</v>
      </c>
      <c r="BH623" s="1754">
        <f t="shared" si="322"/>
        <v>0</v>
      </c>
      <c r="BI623" s="1754"/>
      <c r="BJ623" s="1754"/>
      <c r="BK623" s="1754"/>
      <c r="BL623" s="1754">
        <f t="shared" si="293"/>
        <v>0</v>
      </c>
      <c r="BM623" s="1754"/>
      <c r="BN623" s="1754"/>
      <c r="BO623" s="1754">
        <f t="shared" si="285"/>
        <v>0</v>
      </c>
      <c r="BP623" s="1754"/>
      <c r="BQ623" s="1754"/>
      <c r="BR623" s="1754">
        <f t="shared" si="323"/>
        <v>0</v>
      </c>
      <c r="BS623" s="1754"/>
      <c r="BT623" s="1754"/>
      <c r="BU623" s="1754"/>
      <c r="BW623" s="383">
        <f>IF($BE623&gt;$R$66-3+($CH$335*12),286,0)</f>
        <v>286</v>
      </c>
      <c r="BX623" s="1754">
        <f t="shared" si="273"/>
        <v>0</v>
      </c>
      <c r="BY623" s="1754"/>
      <c r="BZ623" s="1754"/>
      <c r="CA623" s="1754"/>
      <c r="CB623" s="1754">
        <f t="shared" si="294"/>
        <v>0</v>
      </c>
      <c r="CC623" s="1754"/>
      <c r="CD623" s="1754"/>
      <c r="CE623" s="1754">
        <f t="shared" si="286"/>
        <v>0</v>
      </c>
      <c r="CF623" s="1754"/>
      <c r="CG623" s="1754"/>
      <c r="CH623" s="1754">
        <f t="shared" si="287"/>
        <v>0</v>
      </c>
      <c r="CI623" s="1754"/>
      <c r="CJ623" s="1754"/>
      <c r="CK623" s="1754"/>
      <c r="CM623" s="383">
        <f>IF($BE623&gt;$R$66-3+($CX$335*12),286,0)</f>
        <v>286</v>
      </c>
      <c r="CN623" s="1754">
        <f t="shared" si="274"/>
        <v>0</v>
      </c>
      <c r="CO623" s="1754"/>
      <c r="CP623" s="1754"/>
      <c r="CQ623" s="1754"/>
      <c r="CR623" s="1754">
        <f t="shared" si="295"/>
        <v>0</v>
      </c>
      <c r="CS623" s="1754"/>
      <c r="CT623" s="1754"/>
      <c r="CU623" s="1754">
        <f t="shared" si="288"/>
        <v>0</v>
      </c>
      <c r="CV623" s="1754"/>
      <c r="CW623" s="1754"/>
      <c r="CX623" s="1754">
        <f t="shared" si="289"/>
        <v>0</v>
      </c>
      <c r="CY623" s="1754"/>
      <c r="CZ623" s="1754"/>
      <c r="DA623" s="1754"/>
      <c r="DC623" s="383">
        <f>IF($BE623&gt;$R$66-3,286,0)</f>
        <v>286</v>
      </c>
      <c r="DD623" s="1754">
        <f t="shared" si="275"/>
        <v>0</v>
      </c>
      <c r="DE623" s="1754"/>
      <c r="DF623" s="1754"/>
      <c r="DG623" s="1754"/>
      <c r="DH623" s="1754">
        <f t="shared" si="296"/>
        <v>0</v>
      </c>
      <c r="DI623" s="1754"/>
      <c r="DJ623" s="1754"/>
      <c r="DK623" s="1754">
        <f t="shared" si="325"/>
        <v>0</v>
      </c>
      <c r="DL623" s="1754"/>
      <c r="DM623" s="1754"/>
      <c r="DN623" s="1754"/>
      <c r="DP623" s="383">
        <f t="shared" si="297"/>
        <v>286</v>
      </c>
      <c r="DQ623" s="1754">
        <f t="shared" si="305"/>
        <v>0</v>
      </c>
      <c r="DR623" s="1754"/>
      <c r="DS623" s="1754"/>
      <c r="DT623" s="1754"/>
      <c r="DU623" s="1754">
        <f t="shared" si="306"/>
        <v>0</v>
      </c>
      <c r="DV623" s="1754"/>
      <c r="DW623" s="1754"/>
      <c r="DX623" s="1754">
        <f t="shared" si="317"/>
        <v>0</v>
      </c>
      <c r="DY623" s="1754"/>
      <c r="DZ623" s="1754"/>
      <c r="EA623" s="1754">
        <f t="shared" si="318"/>
        <v>0</v>
      </c>
      <c r="EB623" s="1754"/>
      <c r="EC623" s="1754"/>
      <c r="ED623" s="1754"/>
      <c r="EE623" s="384"/>
      <c r="EF623" s="1750">
        <f t="shared" si="290"/>
        <v>0</v>
      </c>
      <c r="EG623" s="1751"/>
      <c r="EH623" s="1751"/>
      <c r="EI623" s="1751"/>
      <c r="EJ623" s="1752"/>
      <c r="EL623" s="1750">
        <f t="shared" si="319"/>
        <v>0</v>
      </c>
      <c r="EM623" s="1751"/>
      <c r="EN623" s="1751"/>
      <c r="EO623" s="1751"/>
      <c r="EP623" s="1752"/>
      <c r="ER623" s="1750">
        <f t="shared" si="291"/>
        <v>0</v>
      </c>
      <c r="ES623" s="1751"/>
      <c r="ET623" s="1751"/>
      <c r="EU623" s="1751"/>
      <c r="EV623" s="1752"/>
      <c r="EX623" s="1750">
        <f>IF(BE623&gt;0,Einstrahlung!$K$28*Kalkulation!$P$62/100*$AY$29*POWER((100-$P$64)/100,BD623-1),0)</f>
        <v>0</v>
      </c>
      <c r="EY623" s="1751"/>
      <c r="EZ623" s="1751"/>
      <c r="FA623" s="1751"/>
      <c r="FB623" s="1752"/>
      <c r="FD623" s="1804">
        <f t="shared" si="280"/>
        <v>0</v>
      </c>
      <c r="FE623" s="1805"/>
      <c r="FF623" s="1805"/>
      <c r="FG623" s="1805"/>
      <c r="FH623" s="1806"/>
      <c r="FI623" s="785">
        <f t="shared" si="326"/>
        <v>1</v>
      </c>
      <c r="FJ623" s="380">
        <f t="shared" si="304"/>
        <v>0</v>
      </c>
      <c r="FK623" s="385"/>
      <c r="FL623" s="380">
        <f t="shared" si="327"/>
        <v>0</v>
      </c>
      <c r="FM623" s="385"/>
      <c r="FN623" s="380">
        <f t="shared" si="298"/>
        <v>0</v>
      </c>
      <c r="FO623" s="962">
        <f t="shared" si="302"/>
        <v>415</v>
      </c>
      <c r="FP623" s="956">
        <f t="shared" si="292"/>
        <v>0.4</v>
      </c>
      <c r="FQ623" s="380">
        <f t="shared" si="311"/>
        <v>0</v>
      </c>
      <c r="FR623" s="626">
        <f t="shared" si="328"/>
        <v>1</v>
      </c>
      <c r="FT623" s="1819">
        <f t="shared" si="303"/>
        <v>0</v>
      </c>
      <c r="FU623" s="1820"/>
      <c r="FV623" s="1820"/>
      <c r="FW623" s="1820"/>
      <c r="FX623" s="1821"/>
      <c r="FY623" s="1819">
        <f t="shared" si="299"/>
        <v>0</v>
      </c>
      <c r="FZ623" s="1820"/>
      <c r="GA623" s="1820"/>
      <c r="GB623" s="1821"/>
      <c r="GC623" s="1825">
        <f t="shared" si="320"/>
        <v>0</v>
      </c>
      <c r="GD623" s="1826"/>
      <c r="GE623" s="1826"/>
      <c r="GF623" s="1827"/>
      <c r="GH623" s="1750">
        <f t="shared" si="300"/>
        <v>0</v>
      </c>
      <c r="GI623" s="1751"/>
      <c r="GJ623" s="1751"/>
      <c r="GK623" s="1752"/>
      <c r="GL623" s="1750">
        <f t="shared" si="301"/>
        <v>0</v>
      </c>
      <c r="GM623" s="1751"/>
      <c r="GN623" s="1751"/>
      <c r="GO623" s="1752"/>
      <c r="GP623" s="385"/>
      <c r="GQ623" s="1750">
        <f t="shared" si="329"/>
        <v>0</v>
      </c>
      <c r="GR623" s="1751"/>
      <c r="GS623" s="1751"/>
      <c r="GT623" s="1752"/>
      <c r="GU623" s="192">
        <f t="shared" si="307"/>
        <v>1</v>
      </c>
      <c r="GV623" s="192">
        <f>SUM($GU$337:GU623)</f>
        <v>279</v>
      </c>
      <c r="GW623" s="318"/>
      <c r="HS623" s="380">
        <f t="shared" si="324"/>
        <v>0</v>
      </c>
      <c r="HX623" s="380"/>
    </row>
    <row r="624" spans="4:232">
      <c r="D624" s="409"/>
      <c r="E624" s="318"/>
      <c r="F624" s="1568"/>
      <c r="G624" s="1568"/>
      <c r="H624" s="1568"/>
      <c r="I624" s="1568"/>
      <c r="J624" s="1568"/>
      <c r="K624" s="1568"/>
      <c r="L624" s="1568"/>
      <c r="M624" s="1568"/>
      <c r="N624" s="1568"/>
      <c r="O624" s="1568"/>
      <c r="P624" s="1568"/>
      <c r="Q624" s="1568"/>
      <c r="R624" s="1568"/>
      <c r="S624" s="1568"/>
      <c r="T624" s="1568"/>
      <c r="U624" s="247"/>
      <c r="V624" s="1568"/>
      <c r="W624" s="1568"/>
      <c r="X624" s="1568"/>
      <c r="Y624" s="523"/>
      <c r="BD624" s="387">
        <f t="shared" si="321"/>
        <v>23</v>
      </c>
      <c r="BE624" s="382">
        <f>IF(BD624&gt;0,287,0)</f>
        <v>287</v>
      </c>
      <c r="BG624" s="383">
        <f>IF($BE624&gt;$R$66-3+($BR$335*12),287,0)</f>
        <v>287</v>
      </c>
      <c r="BH624" s="1754">
        <f t="shared" si="322"/>
        <v>0</v>
      </c>
      <c r="BI624" s="1754"/>
      <c r="BJ624" s="1754"/>
      <c r="BK624" s="1754"/>
      <c r="BL624" s="1754">
        <f t="shared" si="293"/>
        <v>0</v>
      </c>
      <c r="BM624" s="1754"/>
      <c r="BN624" s="1754"/>
      <c r="BO624" s="1754">
        <f t="shared" si="285"/>
        <v>0</v>
      </c>
      <c r="BP624" s="1754"/>
      <c r="BQ624" s="1754"/>
      <c r="BR624" s="1754">
        <f t="shared" si="323"/>
        <v>0</v>
      </c>
      <c r="BS624" s="1754"/>
      <c r="BT624" s="1754"/>
      <c r="BU624" s="1754"/>
      <c r="BW624" s="383">
        <f>IF($BE624&gt;$R$66-3+($CH$335*12),287,0)</f>
        <v>287</v>
      </c>
      <c r="BX624" s="1754">
        <f t="shared" si="273"/>
        <v>0</v>
      </c>
      <c r="BY624" s="1754"/>
      <c r="BZ624" s="1754"/>
      <c r="CA624" s="1754"/>
      <c r="CB624" s="1754">
        <f t="shared" si="294"/>
        <v>0</v>
      </c>
      <c r="CC624" s="1754"/>
      <c r="CD624" s="1754"/>
      <c r="CE624" s="1754">
        <f t="shared" si="286"/>
        <v>0</v>
      </c>
      <c r="CF624" s="1754"/>
      <c r="CG624" s="1754"/>
      <c r="CH624" s="1754">
        <f t="shared" si="287"/>
        <v>0</v>
      </c>
      <c r="CI624" s="1754"/>
      <c r="CJ624" s="1754"/>
      <c r="CK624" s="1754"/>
      <c r="CM624" s="383">
        <f>IF($BE624&gt;$R$66-3+($CX$335*12),287,0)</f>
        <v>287</v>
      </c>
      <c r="CN624" s="1754">
        <f t="shared" si="274"/>
        <v>0</v>
      </c>
      <c r="CO624" s="1754"/>
      <c r="CP624" s="1754"/>
      <c r="CQ624" s="1754"/>
      <c r="CR624" s="1754">
        <f t="shared" si="295"/>
        <v>0</v>
      </c>
      <c r="CS624" s="1754"/>
      <c r="CT624" s="1754"/>
      <c r="CU624" s="1754">
        <f t="shared" si="288"/>
        <v>0</v>
      </c>
      <c r="CV624" s="1754"/>
      <c r="CW624" s="1754"/>
      <c r="CX624" s="1754">
        <f t="shared" si="289"/>
        <v>0</v>
      </c>
      <c r="CY624" s="1754"/>
      <c r="CZ624" s="1754"/>
      <c r="DA624" s="1754"/>
      <c r="DC624" s="383">
        <f>IF($BE624&gt;$R$66-3,287,0)</f>
        <v>287</v>
      </c>
      <c r="DD624" s="1754">
        <f t="shared" si="275"/>
        <v>0</v>
      </c>
      <c r="DE624" s="1754"/>
      <c r="DF624" s="1754"/>
      <c r="DG624" s="1754"/>
      <c r="DH624" s="1754">
        <f t="shared" si="296"/>
        <v>0</v>
      </c>
      <c r="DI624" s="1754"/>
      <c r="DJ624" s="1754"/>
      <c r="DK624" s="1754">
        <f t="shared" si="325"/>
        <v>0</v>
      </c>
      <c r="DL624" s="1754"/>
      <c r="DM624" s="1754"/>
      <c r="DN624" s="1754"/>
      <c r="DP624" s="383">
        <f t="shared" si="297"/>
        <v>287</v>
      </c>
      <c r="DQ624" s="1754">
        <f t="shared" si="305"/>
        <v>0</v>
      </c>
      <c r="DR624" s="1754"/>
      <c r="DS624" s="1754"/>
      <c r="DT624" s="1754"/>
      <c r="DU624" s="1754">
        <f t="shared" si="306"/>
        <v>0</v>
      </c>
      <c r="DV624" s="1754"/>
      <c r="DW624" s="1754"/>
      <c r="DX624" s="1754">
        <f t="shared" si="317"/>
        <v>0</v>
      </c>
      <c r="DY624" s="1754"/>
      <c r="DZ624" s="1754"/>
      <c r="EA624" s="1754">
        <f t="shared" si="318"/>
        <v>0</v>
      </c>
      <c r="EB624" s="1754"/>
      <c r="EC624" s="1754"/>
      <c r="ED624" s="1754"/>
      <c r="EE624" s="384"/>
      <c r="EF624" s="1750">
        <f t="shared" si="290"/>
        <v>0</v>
      </c>
      <c r="EG624" s="1751"/>
      <c r="EH624" s="1751"/>
      <c r="EI624" s="1751"/>
      <c r="EJ624" s="1752"/>
      <c r="EL624" s="1750">
        <f t="shared" si="319"/>
        <v>0</v>
      </c>
      <c r="EM624" s="1751"/>
      <c r="EN624" s="1751"/>
      <c r="EO624" s="1751"/>
      <c r="EP624" s="1752"/>
      <c r="ER624" s="1750">
        <f t="shared" si="291"/>
        <v>0</v>
      </c>
      <c r="ES624" s="1751"/>
      <c r="ET624" s="1751"/>
      <c r="EU624" s="1751"/>
      <c r="EV624" s="1752"/>
      <c r="EX624" s="1750">
        <f>IF(BE624&gt;0,Einstrahlung!$K$30*Kalkulation!$P$62/100*$AY$29*POWER((100-$P$64)/100,BD624-1),0)</f>
        <v>0</v>
      </c>
      <c r="EY624" s="1751"/>
      <c r="EZ624" s="1751"/>
      <c r="FA624" s="1751"/>
      <c r="FB624" s="1752"/>
      <c r="FD624" s="1804">
        <f t="shared" si="280"/>
        <v>0</v>
      </c>
      <c r="FE624" s="1805"/>
      <c r="FF624" s="1805"/>
      <c r="FG624" s="1805"/>
      <c r="FH624" s="1806"/>
      <c r="FI624" s="785">
        <f t="shared" si="326"/>
        <v>1</v>
      </c>
      <c r="FJ624" s="380">
        <f t="shared" si="304"/>
        <v>0</v>
      </c>
      <c r="FK624" s="385"/>
      <c r="FL624" s="380">
        <f t="shared" si="327"/>
        <v>0</v>
      </c>
      <c r="FM624" s="385"/>
      <c r="FN624" s="380">
        <f t="shared" si="298"/>
        <v>0</v>
      </c>
      <c r="FO624" s="962">
        <f t="shared" si="302"/>
        <v>416</v>
      </c>
      <c r="FP624" s="956">
        <f t="shared" si="292"/>
        <v>0.4</v>
      </c>
      <c r="FQ624" s="380">
        <f t="shared" si="311"/>
        <v>0</v>
      </c>
      <c r="FR624" s="626">
        <f t="shared" si="328"/>
        <v>1</v>
      </c>
      <c r="FT624" s="1819">
        <f t="shared" si="303"/>
        <v>0</v>
      </c>
      <c r="FU624" s="1820"/>
      <c r="FV624" s="1820"/>
      <c r="FW624" s="1820"/>
      <c r="FX624" s="1821"/>
      <c r="FY624" s="1819">
        <f t="shared" si="299"/>
        <v>0</v>
      </c>
      <c r="FZ624" s="1820"/>
      <c r="GA624" s="1820"/>
      <c r="GB624" s="1821"/>
      <c r="GC624" s="1825">
        <f t="shared" si="320"/>
        <v>0</v>
      </c>
      <c r="GD624" s="1826"/>
      <c r="GE624" s="1826"/>
      <c r="GF624" s="1827"/>
      <c r="GH624" s="1750">
        <f t="shared" si="300"/>
        <v>0</v>
      </c>
      <c r="GI624" s="1751"/>
      <c r="GJ624" s="1751"/>
      <c r="GK624" s="1752"/>
      <c r="GL624" s="1750">
        <f t="shared" si="301"/>
        <v>0</v>
      </c>
      <c r="GM624" s="1751"/>
      <c r="GN624" s="1751"/>
      <c r="GO624" s="1752"/>
      <c r="GP624" s="385"/>
      <c r="GQ624" s="1750">
        <f t="shared" si="329"/>
        <v>0</v>
      </c>
      <c r="GR624" s="1751"/>
      <c r="GS624" s="1751"/>
      <c r="GT624" s="1752"/>
      <c r="GU624" s="192">
        <f t="shared" si="307"/>
        <v>1</v>
      </c>
      <c r="GV624" s="192">
        <f>SUM($GU$337:GU624)</f>
        <v>280</v>
      </c>
      <c r="GW624" s="318"/>
      <c r="HS624" s="380">
        <f t="shared" si="324"/>
        <v>0</v>
      </c>
      <c r="HX624" s="380"/>
    </row>
    <row r="625" spans="4:232" ht="13.5" thickBot="1">
      <c r="D625" s="409">
        <v>12</v>
      </c>
      <c r="E625" s="318"/>
      <c r="F625" s="1568">
        <f>AH269</f>
        <v>0</v>
      </c>
      <c r="G625" s="1568"/>
      <c r="H625" s="1568"/>
      <c r="I625" s="1568"/>
      <c r="J625" s="1568"/>
      <c r="K625" s="1568"/>
      <c r="L625" s="1568"/>
      <c r="M625" s="1568"/>
      <c r="N625" s="1568"/>
      <c r="O625" s="1568"/>
      <c r="P625" s="1568"/>
      <c r="Q625" s="1568"/>
      <c r="R625" s="1568"/>
      <c r="S625" s="1568"/>
      <c r="T625" s="1568"/>
      <c r="U625" s="247"/>
      <c r="V625" s="1568"/>
      <c r="W625" s="1568"/>
      <c r="X625" s="1568"/>
      <c r="Y625" s="523"/>
      <c r="BD625" s="389">
        <f t="shared" si="321"/>
        <v>23</v>
      </c>
      <c r="BE625" s="390">
        <f>IF(BD625&gt;0,288,0)</f>
        <v>288</v>
      </c>
      <c r="BG625" s="391">
        <f>IF($BE625&gt;$R$66-3+($BR$335*12),288,0)</f>
        <v>288</v>
      </c>
      <c r="BH625" s="1753">
        <f t="shared" si="322"/>
        <v>0</v>
      </c>
      <c r="BI625" s="1753"/>
      <c r="BJ625" s="1753"/>
      <c r="BK625" s="1753"/>
      <c r="BL625" s="1753">
        <f t="shared" si="293"/>
        <v>0</v>
      </c>
      <c r="BM625" s="1753"/>
      <c r="BN625" s="1753"/>
      <c r="BO625" s="1753">
        <f t="shared" si="285"/>
        <v>0</v>
      </c>
      <c r="BP625" s="1753"/>
      <c r="BQ625" s="1753"/>
      <c r="BR625" s="1753">
        <f t="shared" si="323"/>
        <v>0</v>
      </c>
      <c r="BS625" s="1753"/>
      <c r="BT625" s="1753"/>
      <c r="BU625" s="1753"/>
      <c r="BW625" s="391">
        <f>IF($BE625&gt;$R$66-3+($CH$335*12),288,0)</f>
        <v>288</v>
      </c>
      <c r="BX625" s="1753">
        <f t="shared" si="273"/>
        <v>0</v>
      </c>
      <c r="BY625" s="1753"/>
      <c r="BZ625" s="1753"/>
      <c r="CA625" s="1753"/>
      <c r="CB625" s="1753">
        <f t="shared" si="294"/>
        <v>0</v>
      </c>
      <c r="CC625" s="1753"/>
      <c r="CD625" s="1753"/>
      <c r="CE625" s="1753">
        <f t="shared" si="286"/>
        <v>0</v>
      </c>
      <c r="CF625" s="1753"/>
      <c r="CG625" s="1753"/>
      <c r="CH625" s="1753">
        <f t="shared" si="287"/>
        <v>0</v>
      </c>
      <c r="CI625" s="1753"/>
      <c r="CJ625" s="1753"/>
      <c r="CK625" s="1753"/>
      <c r="CM625" s="391">
        <f>IF($BE625&gt;$R$66-3+($CX$335*12),288,0)</f>
        <v>288</v>
      </c>
      <c r="CN625" s="1753">
        <f t="shared" si="274"/>
        <v>0</v>
      </c>
      <c r="CO625" s="1753"/>
      <c r="CP625" s="1753"/>
      <c r="CQ625" s="1753"/>
      <c r="CR625" s="1753">
        <f t="shared" si="295"/>
        <v>0</v>
      </c>
      <c r="CS625" s="1753"/>
      <c r="CT625" s="1753"/>
      <c r="CU625" s="1753">
        <f t="shared" si="288"/>
        <v>0</v>
      </c>
      <c r="CV625" s="1753"/>
      <c r="CW625" s="1753"/>
      <c r="CX625" s="1753">
        <f t="shared" si="289"/>
        <v>0</v>
      </c>
      <c r="CY625" s="1753"/>
      <c r="CZ625" s="1753"/>
      <c r="DA625" s="1753"/>
      <c r="DC625" s="391">
        <f>IF($BE625&gt;$R$66-3,288,0)</f>
        <v>288</v>
      </c>
      <c r="DD625" s="1753">
        <f t="shared" si="275"/>
        <v>0</v>
      </c>
      <c r="DE625" s="1753"/>
      <c r="DF625" s="1753"/>
      <c r="DG625" s="1753"/>
      <c r="DH625" s="1753">
        <f t="shared" si="296"/>
        <v>0</v>
      </c>
      <c r="DI625" s="1753"/>
      <c r="DJ625" s="1753"/>
      <c r="DK625" s="1753">
        <f t="shared" si="325"/>
        <v>0</v>
      </c>
      <c r="DL625" s="1753"/>
      <c r="DM625" s="1753"/>
      <c r="DN625" s="1753"/>
      <c r="DP625" s="391">
        <f t="shared" si="297"/>
        <v>288</v>
      </c>
      <c r="DQ625" s="1753">
        <f t="shared" si="305"/>
        <v>0</v>
      </c>
      <c r="DR625" s="1753"/>
      <c r="DS625" s="1753"/>
      <c r="DT625" s="1753"/>
      <c r="DU625" s="1753">
        <f t="shared" si="306"/>
        <v>0</v>
      </c>
      <c r="DV625" s="1753"/>
      <c r="DW625" s="1753"/>
      <c r="DX625" s="1753">
        <f t="shared" si="317"/>
        <v>0</v>
      </c>
      <c r="DY625" s="1753"/>
      <c r="DZ625" s="1753"/>
      <c r="EA625" s="1753">
        <f t="shared" si="318"/>
        <v>0</v>
      </c>
      <c r="EB625" s="1753"/>
      <c r="EC625" s="1753"/>
      <c r="ED625" s="1753"/>
      <c r="EE625" s="384"/>
      <c r="EF625" s="1744">
        <f t="shared" si="290"/>
        <v>0</v>
      </c>
      <c r="EG625" s="1745"/>
      <c r="EH625" s="1745"/>
      <c r="EI625" s="1745"/>
      <c r="EJ625" s="1746"/>
      <c r="EL625" s="1744">
        <f t="shared" si="319"/>
        <v>0</v>
      </c>
      <c r="EM625" s="1745"/>
      <c r="EN625" s="1745"/>
      <c r="EO625" s="1745"/>
      <c r="EP625" s="1746"/>
      <c r="ER625" s="1744">
        <f t="shared" si="291"/>
        <v>0</v>
      </c>
      <c r="ES625" s="1745"/>
      <c r="ET625" s="1745"/>
      <c r="EU625" s="1745"/>
      <c r="EV625" s="1746"/>
      <c r="EX625" s="1744">
        <f>IF(BE625&gt;0,Einstrahlung!$K$32*Kalkulation!$P$62/100*$AY$29*POWER((100-$P$64)/100,BD625-1),0)</f>
        <v>0</v>
      </c>
      <c r="EY625" s="1745"/>
      <c r="EZ625" s="1745"/>
      <c r="FA625" s="1745"/>
      <c r="FB625" s="1746"/>
      <c r="FD625" s="1807">
        <f t="shared" si="280"/>
        <v>0</v>
      </c>
      <c r="FE625" s="1808"/>
      <c r="FF625" s="1808"/>
      <c r="FG625" s="1808"/>
      <c r="FH625" s="1809"/>
      <c r="FI625" s="785">
        <f t="shared" si="326"/>
        <v>1</v>
      </c>
      <c r="FJ625" s="453">
        <f t="shared" si="304"/>
        <v>0</v>
      </c>
      <c r="FK625" s="385"/>
      <c r="FL625" s="453">
        <f t="shared" si="327"/>
        <v>0</v>
      </c>
      <c r="FM625" s="385"/>
      <c r="FN625" s="453">
        <f t="shared" si="298"/>
        <v>0</v>
      </c>
      <c r="FO625" s="962">
        <f t="shared" si="302"/>
        <v>417</v>
      </c>
      <c r="FP625" s="956">
        <f t="shared" si="292"/>
        <v>0.4</v>
      </c>
      <c r="FQ625" s="453">
        <f t="shared" si="311"/>
        <v>0</v>
      </c>
      <c r="FR625" s="957">
        <f>POWER(1+$FQ$333,FS625)</f>
        <v>1</v>
      </c>
      <c r="FS625" s="617">
        <f>FS613+1</f>
        <v>23</v>
      </c>
      <c r="FT625" s="1822">
        <f t="shared" si="303"/>
        <v>0</v>
      </c>
      <c r="FU625" s="1823"/>
      <c r="FV625" s="1823"/>
      <c r="FW625" s="1823"/>
      <c r="FX625" s="1824"/>
      <c r="FY625" s="1822">
        <f t="shared" si="299"/>
        <v>0</v>
      </c>
      <c r="FZ625" s="1823"/>
      <c r="GA625" s="1823"/>
      <c r="GB625" s="1824"/>
      <c r="GC625" s="1831">
        <f t="shared" si="320"/>
        <v>0</v>
      </c>
      <c r="GD625" s="1832"/>
      <c r="GE625" s="1832"/>
      <c r="GF625" s="1833"/>
      <c r="GH625" s="1744">
        <f t="shared" si="300"/>
        <v>0</v>
      </c>
      <c r="GI625" s="1745"/>
      <c r="GJ625" s="1745"/>
      <c r="GK625" s="1746"/>
      <c r="GL625" s="1744">
        <f t="shared" si="301"/>
        <v>0</v>
      </c>
      <c r="GM625" s="1745"/>
      <c r="GN625" s="1745"/>
      <c r="GO625" s="1746"/>
      <c r="GP625" s="385"/>
      <c r="GQ625" s="1744">
        <f t="shared" si="329"/>
        <v>0</v>
      </c>
      <c r="GR625" s="1745"/>
      <c r="GS625" s="1745"/>
      <c r="GT625" s="1746"/>
      <c r="GU625" s="192">
        <f t="shared" si="307"/>
        <v>1</v>
      </c>
      <c r="GV625" s="192">
        <f>SUM($GU$337:GU625)</f>
        <v>281</v>
      </c>
      <c r="GW625" s="318"/>
      <c r="HT625" s="380">
        <f>IF(GV625=288,SUM(GQ614:GT625),0)</f>
        <v>0</v>
      </c>
      <c r="HX625" s="380"/>
    </row>
    <row r="626" spans="4:232">
      <c r="D626" s="409"/>
      <c r="E626" s="318"/>
      <c r="F626" s="1568"/>
      <c r="G626" s="1568"/>
      <c r="H626" s="1568"/>
      <c r="I626" s="1568">
        <f>F625</f>
        <v>0</v>
      </c>
      <c r="J626" s="1568"/>
      <c r="K626" s="1568"/>
      <c r="L626" s="1568"/>
      <c r="M626" s="1568"/>
      <c r="N626" s="1568"/>
      <c r="O626" s="1568"/>
      <c r="P626" s="1568"/>
      <c r="Q626" s="1568"/>
      <c r="R626" s="1568"/>
      <c r="S626" s="1568"/>
      <c r="T626" s="1568"/>
      <c r="U626" s="247"/>
      <c r="V626" s="1568"/>
      <c r="W626" s="1568"/>
      <c r="X626" s="1568"/>
      <c r="Y626" s="523"/>
      <c r="BD626" s="381">
        <f t="shared" ref="BD626:BD637" si="330">IF(BH626&lt;0,0,IF($V$21&gt;0,24,0))</f>
        <v>24</v>
      </c>
      <c r="BE626" s="382">
        <f>IF(BD626&gt;0,289,0)</f>
        <v>289</v>
      </c>
      <c r="BG626" s="395">
        <f>IF($BE626&gt;$R$66-3+($BR$335*12),289,0)</f>
        <v>289</v>
      </c>
      <c r="BH626" s="1754">
        <f t="shared" ref="BH626:BH637" si="331">IF(BR625&lt;=0,0,BR625)</f>
        <v>0</v>
      </c>
      <c r="BI626" s="1754"/>
      <c r="BJ626" s="1754"/>
      <c r="BK626" s="1754"/>
      <c r="BL626" s="1754">
        <f t="shared" si="293"/>
        <v>0</v>
      </c>
      <c r="BM626" s="1754"/>
      <c r="BN626" s="1754"/>
      <c r="BO626" s="1754">
        <f t="shared" si="285"/>
        <v>0</v>
      </c>
      <c r="BP626" s="1754"/>
      <c r="BQ626" s="1754"/>
      <c r="BR626" s="1754">
        <f t="shared" ref="BR626:BR637" si="332">BH626-BL626</f>
        <v>0</v>
      </c>
      <c r="BS626" s="1754"/>
      <c r="BT626" s="1754"/>
      <c r="BU626" s="1754"/>
      <c r="BW626" s="395">
        <f>IF($BE626&gt;$R$66-3+($CH$335*12),289,0)</f>
        <v>289</v>
      </c>
      <c r="BX626" s="1754">
        <f t="shared" si="273"/>
        <v>0</v>
      </c>
      <c r="BY626" s="1754"/>
      <c r="BZ626" s="1754"/>
      <c r="CA626" s="1754"/>
      <c r="CB626" s="1754">
        <f t="shared" si="294"/>
        <v>0</v>
      </c>
      <c r="CC626" s="1754"/>
      <c r="CD626" s="1754"/>
      <c r="CE626" s="1754">
        <f t="shared" si="286"/>
        <v>0</v>
      </c>
      <c r="CF626" s="1754"/>
      <c r="CG626" s="1754"/>
      <c r="CH626" s="1754">
        <f t="shared" si="287"/>
        <v>0</v>
      </c>
      <c r="CI626" s="1754"/>
      <c r="CJ626" s="1754"/>
      <c r="CK626" s="1754"/>
      <c r="CM626" s="395">
        <f>IF($BE626&gt;$R$66-3+($CX$335*12),289,0)</f>
        <v>289</v>
      </c>
      <c r="CN626" s="1754">
        <f t="shared" si="274"/>
        <v>0</v>
      </c>
      <c r="CO626" s="1754"/>
      <c r="CP626" s="1754"/>
      <c r="CQ626" s="1754"/>
      <c r="CR626" s="1754">
        <f t="shared" si="295"/>
        <v>0</v>
      </c>
      <c r="CS626" s="1754"/>
      <c r="CT626" s="1754"/>
      <c r="CU626" s="1754">
        <f t="shared" si="288"/>
        <v>0</v>
      </c>
      <c r="CV626" s="1754"/>
      <c r="CW626" s="1754"/>
      <c r="CX626" s="1754">
        <f t="shared" si="289"/>
        <v>0</v>
      </c>
      <c r="CY626" s="1754"/>
      <c r="CZ626" s="1754"/>
      <c r="DA626" s="1754"/>
      <c r="DC626" s="395">
        <f>IF($BE626&gt;$R$66-3,289,0)</f>
        <v>289</v>
      </c>
      <c r="DD626" s="1754">
        <f t="shared" si="275"/>
        <v>0</v>
      </c>
      <c r="DE626" s="1754"/>
      <c r="DF626" s="1754"/>
      <c r="DG626" s="1754"/>
      <c r="DH626" s="1754">
        <f t="shared" si="296"/>
        <v>0</v>
      </c>
      <c r="DI626" s="1754"/>
      <c r="DJ626" s="1754"/>
      <c r="DK626" s="1754">
        <f t="shared" si="325"/>
        <v>0</v>
      </c>
      <c r="DL626" s="1754"/>
      <c r="DM626" s="1754"/>
      <c r="DN626" s="1754"/>
      <c r="DP626" s="395">
        <f t="shared" si="297"/>
        <v>289</v>
      </c>
      <c r="DQ626" s="1754">
        <f t="shared" si="305"/>
        <v>0</v>
      </c>
      <c r="DR626" s="1754"/>
      <c r="DS626" s="1754"/>
      <c r="DT626" s="1754"/>
      <c r="DU626" s="1754">
        <f t="shared" si="306"/>
        <v>0</v>
      </c>
      <c r="DV626" s="1754"/>
      <c r="DW626" s="1754"/>
      <c r="DX626" s="1754">
        <f t="shared" si="317"/>
        <v>0</v>
      </c>
      <c r="DY626" s="1754"/>
      <c r="DZ626" s="1754"/>
      <c r="EA626" s="1754">
        <f t="shared" si="318"/>
        <v>0</v>
      </c>
      <c r="EB626" s="1754"/>
      <c r="EC626" s="1754"/>
      <c r="ED626" s="1754"/>
      <c r="EE626" s="384"/>
      <c r="EF626" s="1750">
        <f t="shared" si="290"/>
        <v>0</v>
      </c>
      <c r="EG626" s="1751"/>
      <c r="EH626" s="1751"/>
      <c r="EI626" s="1751"/>
      <c r="EJ626" s="1752"/>
      <c r="EL626" s="1750">
        <f t="shared" si="319"/>
        <v>0</v>
      </c>
      <c r="EM626" s="1751"/>
      <c r="EN626" s="1751"/>
      <c r="EO626" s="1751"/>
      <c r="EP626" s="1752"/>
      <c r="ER626" s="1750">
        <f t="shared" si="291"/>
        <v>0</v>
      </c>
      <c r="ES626" s="1751"/>
      <c r="ET626" s="1751"/>
      <c r="EU626" s="1751"/>
      <c r="EV626" s="1752"/>
      <c r="EX626" s="1750">
        <f>IF(BE626&gt;0,Einstrahlung!$K$10*Kalkulation!$P$62/100*$AY$29*POWER((100-$P$64)/100,BD626-1),0)</f>
        <v>0</v>
      </c>
      <c r="EY626" s="1751"/>
      <c r="EZ626" s="1751"/>
      <c r="FA626" s="1751"/>
      <c r="FB626" s="1752"/>
      <c r="FC626" s="783">
        <v>24</v>
      </c>
      <c r="FD626" s="1804">
        <f t="shared" si="280"/>
        <v>0</v>
      </c>
      <c r="FE626" s="1805"/>
      <c r="FF626" s="1805"/>
      <c r="FG626" s="1805"/>
      <c r="FH626" s="1806"/>
      <c r="FI626" s="784">
        <f>POWER(1+$FH$333,3)</f>
        <v>1</v>
      </c>
      <c r="FJ626" s="380">
        <f t="shared" si="304"/>
        <v>0</v>
      </c>
      <c r="FK626" s="385"/>
      <c r="FL626" s="380">
        <f>IF(BE626&gt;0,IF($FL$336&gt;SUM($EX$626:$FB$637),SUM($EX$626:$FB$637)/12,$FL$336/12),0)</f>
        <v>0</v>
      </c>
      <c r="FM626" s="385"/>
      <c r="FN626" s="380">
        <f t="shared" si="298"/>
        <v>0</v>
      </c>
      <c r="FO626" s="962">
        <f t="shared" si="302"/>
        <v>418</v>
      </c>
      <c r="FP626" s="956">
        <f t="shared" si="292"/>
        <v>0.4</v>
      </c>
      <c r="FQ626" s="380">
        <f t="shared" si="311"/>
        <v>0</v>
      </c>
      <c r="FR626" s="626">
        <f>IF(AND(GV626&gt;276,GV626&lt;=288),$FR$625,IF(AND(GV626&gt;288,GV626&lt;=300),$FR$637,0))</f>
        <v>1</v>
      </c>
      <c r="FT626" s="1819">
        <f t="shared" si="303"/>
        <v>0</v>
      </c>
      <c r="FU626" s="1820"/>
      <c r="FV626" s="1820"/>
      <c r="FW626" s="1820"/>
      <c r="FX626" s="1821"/>
      <c r="FY626" s="1819">
        <f t="shared" si="299"/>
        <v>0</v>
      </c>
      <c r="FZ626" s="1820"/>
      <c r="GA626" s="1820"/>
      <c r="GB626" s="1821"/>
      <c r="GC626" s="1825">
        <f t="shared" si="320"/>
        <v>0</v>
      </c>
      <c r="GD626" s="1826"/>
      <c r="GE626" s="1826"/>
      <c r="GF626" s="1827"/>
      <c r="GH626" s="1750">
        <f t="shared" si="300"/>
        <v>0</v>
      </c>
      <c r="GI626" s="1751"/>
      <c r="GJ626" s="1751"/>
      <c r="GK626" s="1751"/>
      <c r="GL626" s="1750">
        <f t="shared" si="301"/>
        <v>0</v>
      </c>
      <c r="GM626" s="1751"/>
      <c r="GN626" s="1751"/>
      <c r="GO626" s="1752"/>
      <c r="GP626" s="385"/>
      <c r="GQ626" s="1865">
        <f>IF($V$21&lt;=23,0,FD626+FQ626+EF626+EL626+ER626+IF(FY626&gt;0,0,FY626))</f>
        <v>0</v>
      </c>
      <c r="GR626" s="1866"/>
      <c r="GS626" s="1866"/>
      <c r="GT626" s="1867"/>
      <c r="GU626" s="192">
        <f t="shared" si="307"/>
        <v>1</v>
      </c>
      <c r="GV626" s="192">
        <f>SUM($GU$337:GU626)</f>
        <v>282</v>
      </c>
      <c r="GW626" s="318"/>
      <c r="HT626" s="380">
        <f t="shared" ref="HT626:HT636" si="333">IF(GV626=288,SUM(GQ615:GT626),0)</f>
        <v>0</v>
      </c>
      <c r="HX626" s="380"/>
    </row>
    <row r="627" spans="4:232">
      <c r="D627" s="409"/>
      <c r="E627" s="318"/>
      <c r="F627" s="1568"/>
      <c r="G627" s="1568"/>
      <c r="H627" s="1568"/>
      <c r="I627" s="1568"/>
      <c r="J627" s="1568"/>
      <c r="K627" s="1568"/>
      <c r="L627" s="1568">
        <f>F625</f>
        <v>0</v>
      </c>
      <c r="M627" s="1568"/>
      <c r="N627" s="1568"/>
      <c r="O627" s="1568"/>
      <c r="P627" s="1568"/>
      <c r="Q627" s="1568"/>
      <c r="R627" s="1568"/>
      <c r="S627" s="1568"/>
      <c r="T627" s="1568"/>
      <c r="U627" s="247"/>
      <c r="V627" s="1568"/>
      <c r="W627" s="1568"/>
      <c r="X627" s="1568"/>
      <c r="Y627" s="523"/>
      <c r="BD627" s="387">
        <f t="shared" si="330"/>
        <v>24</v>
      </c>
      <c r="BE627" s="382">
        <f>IF(BD627&gt;0,290,0)</f>
        <v>290</v>
      </c>
      <c r="BG627" s="383">
        <f>IF($BE627&gt;$R$66-3+($BR$335*12),290,0)</f>
        <v>290</v>
      </c>
      <c r="BH627" s="1754">
        <f t="shared" si="331"/>
        <v>0</v>
      </c>
      <c r="BI627" s="1754"/>
      <c r="BJ627" s="1754"/>
      <c r="BK627" s="1754"/>
      <c r="BL627" s="1754">
        <f t="shared" si="293"/>
        <v>0</v>
      </c>
      <c r="BM627" s="1754"/>
      <c r="BN627" s="1754"/>
      <c r="BO627" s="1754">
        <f t="shared" si="285"/>
        <v>0</v>
      </c>
      <c r="BP627" s="1754"/>
      <c r="BQ627" s="1754"/>
      <c r="BR627" s="1754">
        <f t="shared" si="332"/>
        <v>0</v>
      </c>
      <c r="BS627" s="1754"/>
      <c r="BT627" s="1754"/>
      <c r="BU627" s="1754"/>
      <c r="BW627" s="383">
        <f>IF($BE627&gt;$R$66-3+($CH$335*12),290,0)</f>
        <v>290</v>
      </c>
      <c r="BX627" s="1754">
        <f t="shared" si="273"/>
        <v>0</v>
      </c>
      <c r="BY627" s="1754"/>
      <c r="BZ627" s="1754"/>
      <c r="CA627" s="1754"/>
      <c r="CB627" s="1754">
        <f t="shared" si="294"/>
        <v>0</v>
      </c>
      <c r="CC627" s="1754"/>
      <c r="CD627" s="1754"/>
      <c r="CE627" s="1754">
        <f t="shared" si="286"/>
        <v>0</v>
      </c>
      <c r="CF627" s="1754"/>
      <c r="CG627" s="1754"/>
      <c r="CH627" s="1754">
        <f t="shared" si="287"/>
        <v>0</v>
      </c>
      <c r="CI627" s="1754"/>
      <c r="CJ627" s="1754"/>
      <c r="CK627" s="1754"/>
      <c r="CM627" s="383">
        <f>IF($BE627&gt;$R$66-3+($CX$335*12),290,0)</f>
        <v>290</v>
      </c>
      <c r="CN627" s="1754">
        <f t="shared" si="274"/>
        <v>0</v>
      </c>
      <c r="CO627" s="1754"/>
      <c r="CP627" s="1754"/>
      <c r="CQ627" s="1754"/>
      <c r="CR627" s="1754">
        <f t="shared" si="295"/>
        <v>0</v>
      </c>
      <c r="CS627" s="1754"/>
      <c r="CT627" s="1754"/>
      <c r="CU627" s="1754">
        <f t="shared" si="288"/>
        <v>0</v>
      </c>
      <c r="CV627" s="1754"/>
      <c r="CW627" s="1754"/>
      <c r="CX627" s="1754">
        <f t="shared" si="289"/>
        <v>0</v>
      </c>
      <c r="CY627" s="1754"/>
      <c r="CZ627" s="1754"/>
      <c r="DA627" s="1754"/>
      <c r="DC627" s="383">
        <f>IF($BE627&gt;$R$66-3,290,0)</f>
        <v>290</v>
      </c>
      <c r="DD627" s="1754">
        <f t="shared" si="275"/>
        <v>0</v>
      </c>
      <c r="DE627" s="1754"/>
      <c r="DF627" s="1754"/>
      <c r="DG627" s="1754"/>
      <c r="DH627" s="1754">
        <f t="shared" si="296"/>
        <v>0</v>
      </c>
      <c r="DI627" s="1754"/>
      <c r="DJ627" s="1754"/>
      <c r="DK627" s="1754">
        <f t="shared" si="325"/>
        <v>0</v>
      </c>
      <c r="DL627" s="1754"/>
      <c r="DM627" s="1754"/>
      <c r="DN627" s="1754"/>
      <c r="DP627" s="383">
        <f t="shared" si="297"/>
        <v>290</v>
      </c>
      <c r="DQ627" s="1754">
        <f t="shared" si="305"/>
        <v>0</v>
      </c>
      <c r="DR627" s="1754"/>
      <c r="DS627" s="1754"/>
      <c r="DT627" s="1754"/>
      <c r="DU627" s="1754">
        <f t="shared" si="306"/>
        <v>0</v>
      </c>
      <c r="DV627" s="1754"/>
      <c r="DW627" s="1754"/>
      <c r="DX627" s="1754">
        <f t="shared" si="317"/>
        <v>0</v>
      </c>
      <c r="DY627" s="1754"/>
      <c r="DZ627" s="1754"/>
      <c r="EA627" s="1754">
        <f t="shared" si="318"/>
        <v>0</v>
      </c>
      <c r="EB627" s="1754"/>
      <c r="EC627" s="1754"/>
      <c r="ED627" s="1754"/>
      <c r="EE627" s="384"/>
      <c r="EF627" s="1750">
        <f t="shared" si="290"/>
        <v>0</v>
      </c>
      <c r="EG627" s="1751"/>
      <c r="EH627" s="1751"/>
      <c r="EI627" s="1751"/>
      <c r="EJ627" s="1752"/>
      <c r="EL627" s="1750">
        <f t="shared" si="319"/>
        <v>0</v>
      </c>
      <c r="EM627" s="1751"/>
      <c r="EN627" s="1751"/>
      <c r="EO627" s="1751"/>
      <c r="EP627" s="1752"/>
      <c r="ER627" s="1750">
        <f t="shared" si="291"/>
        <v>0</v>
      </c>
      <c r="ES627" s="1751"/>
      <c r="ET627" s="1751"/>
      <c r="EU627" s="1751"/>
      <c r="EV627" s="1752"/>
      <c r="EX627" s="1750">
        <f>IF(BE627&gt;0,Einstrahlung!$K$12*Kalkulation!$P$62/100*$AY$29*POWER((100-$P$64)/100,BD627-1),0)</f>
        <v>0</v>
      </c>
      <c r="EY627" s="1751"/>
      <c r="EZ627" s="1751"/>
      <c r="FA627" s="1751"/>
      <c r="FB627" s="1752"/>
      <c r="FD627" s="1804">
        <f t="shared" si="280"/>
        <v>0</v>
      </c>
      <c r="FE627" s="1805"/>
      <c r="FF627" s="1805"/>
      <c r="FG627" s="1805"/>
      <c r="FH627" s="1806"/>
      <c r="FI627" s="785">
        <f t="shared" ref="FI627:FI637" si="334">POWER(1+$FH$333,3)</f>
        <v>1</v>
      </c>
      <c r="FJ627" s="380">
        <f t="shared" si="304"/>
        <v>0</v>
      </c>
      <c r="FK627" s="385"/>
      <c r="FL627" s="380">
        <f t="shared" ref="FL627:FL637" si="335">IF(BE627&gt;0,IF($FL$336&gt;SUM($EX$626:$FB$637),SUM($EX$626:$FB$637)/12,$FL$336/12),0)</f>
        <v>0</v>
      </c>
      <c r="FM627" s="385"/>
      <c r="FN627" s="380">
        <f t="shared" si="298"/>
        <v>0</v>
      </c>
      <c r="FO627" s="962">
        <f t="shared" si="302"/>
        <v>419</v>
      </c>
      <c r="FP627" s="956">
        <f t="shared" si="292"/>
        <v>0.4</v>
      </c>
      <c r="FQ627" s="380">
        <f t="shared" si="311"/>
        <v>0</v>
      </c>
      <c r="FR627" s="626">
        <f t="shared" ref="FR627:FR636" si="336">IF(AND(GV627&gt;276,GV627&lt;=288),$FR$625,IF(AND(GV627&gt;288,GV627&lt;=300),$FR$637,0))</f>
        <v>1</v>
      </c>
      <c r="FT627" s="1819">
        <f t="shared" si="303"/>
        <v>0</v>
      </c>
      <c r="FU627" s="1820"/>
      <c r="FV627" s="1820"/>
      <c r="FW627" s="1820"/>
      <c r="FX627" s="1821"/>
      <c r="FY627" s="1819">
        <f t="shared" si="299"/>
        <v>0</v>
      </c>
      <c r="FZ627" s="1820"/>
      <c r="GA627" s="1820"/>
      <c r="GB627" s="1821"/>
      <c r="GC627" s="1825">
        <f t="shared" si="320"/>
        <v>0</v>
      </c>
      <c r="GD627" s="1826"/>
      <c r="GE627" s="1826"/>
      <c r="GF627" s="1827"/>
      <c r="GH627" s="1750">
        <f t="shared" si="300"/>
        <v>0</v>
      </c>
      <c r="GI627" s="1751"/>
      <c r="GJ627" s="1751"/>
      <c r="GK627" s="1752"/>
      <c r="GL627" s="1750">
        <f t="shared" si="301"/>
        <v>0</v>
      </c>
      <c r="GM627" s="1751"/>
      <c r="GN627" s="1751"/>
      <c r="GO627" s="1752"/>
      <c r="GP627" s="385"/>
      <c r="GQ627" s="1750">
        <f t="shared" ref="GQ627:GQ637" si="337">IF($V$21&lt;=23,0,FD627+FQ627+EF627+EL627+ER627+IF(FY627&gt;0,0,FY627))</f>
        <v>0</v>
      </c>
      <c r="GR627" s="1751"/>
      <c r="GS627" s="1751"/>
      <c r="GT627" s="1752"/>
      <c r="GU627" s="192">
        <f t="shared" si="307"/>
        <v>1</v>
      </c>
      <c r="GV627" s="192">
        <f>SUM($GU$337:GU627)</f>
        <v>283</v>
      </c>
      <c r="GW627" s="318"/>
      <c r="HT627" s="380">
        <f t="shared" si="333"/>
        <v>0</v>
      </c>
      <c r="HX627" s="380"/>
    </row>
    <row r="628" spans="4:232">
      <c r="D628" s="409"/>
      <c r="E628" s="318"/>
      <c r="F628" s="1568"/>
      <c r="G628" s="1568"/>
      <c r="H628" s="1568"/>
      <c r="I628" s="1568"/>
      <c r="J628" s="1568"/>
      <c r="K628" s="1568"/>
      <c r="L628" s="1568"/>
      <c r="M628" s="1568"/>
      <c r="N628" s="1568"/>
      <c r="O628" s="1568">
        <f>V628</f>
        <v>0</v>
      </c>
      <c r="P628" s="1568"/>
      <c r="Q628" s="1568"/>
      <c r="R628" s="1568"/>
      <c r="S628" s="1568"/>
      <c r="T628" s="1568"/>
      <c r="U628" s="247"/>
      <c r="V628" s="1568">
        <f>IF(D269&gt;0,V623+(G269+J269)-(O269+Q269+S269+T269+V269)+Y269,0)</f>
        <v>0</v>
      </c>
      <c r="W628" s="1568"/>
      <c r="X628" s="1568"/>
      <c r="Y628" s="523">
        <f>IF(D269&gt;0,IF(V628&gt;0,0,1),0)</f>
        <v>1</v>
      </c>
      <c r="BD628" s="387">
        <f t="shared" si="330"/>
        <v>24</v>
      </c>
      <c r="BE628" s="382">
        <f>IF(BD628&gt;0,291,0)</f>
        <v>291</v>
      </c>
      <c r="BG628" s="383">
        <f>IF($BE628&gt;$R$66-3+($BR$335*12),291,0)</f>
        <v>291</v>
      </c>
      <c r="BH628" s="1754">
        <f t="shared" si="331"/>
        <v>0</v>
      </c>
      <c r="BI628" s="1754"/>
      <c r="BJ628" s="1754"/>
      <c r="BK628" s="1754"/>
      <c r="BL628" s="1754">
        <f t="shared" si="293"/>
        <v>0</v>
      </c>
      <c r="BM628" s="1754"/>
      <c r="BN628" s="1754"/>
      <c r="BO628" s="1754">
        <f t="shared" si="285"/>
        <v>0</v>
      </c>
      <c r="BP628" s="1754"/>
      <c r="BQ628" s="1754"/>
      <c r="BR628" s="1754">
        <f t="shared" si="332"/>
        <v>0</v>
      </c>
      <c r="BS628" s="1754"/>
      <c r="BT628" s="1754"/>
      <c r="BU628" s="1754"/>
      <c r="BW628" s="383">
        <f>IF($BE628&gt;$R$66-3+($CH$335*12),291,0)</f>
        <v>291</v>
      </c>
      <c r="BX628" s="1754">
        <f t="shared" si="273"/>
        <v>0</v>
      </c>
      <c r="BY628" s="1754"/>
      <c r="BZ628" s="1754"/>
      <c r="CA628" s="1754"/>
      <c r="CB628" s="1754">
        <f t="shared" si="294"/>
        <v>0</v>
      </c>
      <c r="CC628" s="1754"/>
      <c r="CD628" s="1754"/>
      <c r="CE628" s="1754">
        <f t="shared" si="286"/>
        <v>0</v>
      </c>
      <c r="CF628" s="1754"/>
      <c r="CG628" s="1754"/>
      <c r="CH628" s="1754">
        <f t="shared" si="287"/>
        <v>0</v>
      </c>
      <c r="CI628" s="1754"/>
      <c r="CJ628" s="1754"/>
      <c r="CK628" s="1754"/>
      <c r="CM628" s="383">
        <f>IF($BE628&gt;$R$66-3+($CX$335*12),291,0)</f>
        <v>291</v>
      </c>
      <c r="CN628" s="1754">
        <f t="shared" si="274"/>
        <v>0</v>
      </c>
      <c r="CO628" s="1754"/>
      <c r="CP628" s="1754"/>
      <c r="CQ628" s="1754"/>
      <c r="CR628" s="1754">
        <f t="shared" si="295"/>
        <v>0</v>
      </c>
      <c r="CS628" s="1754"/>
      <c r="CT628" s="1754"/>
      <c r="CU628" s="1754">
        <f t="shared" si="288"/>
        <v>0</v>
      </c>
      <c r="CV628" s="1754"/>
      <c r="CW628" s="1754"/>
      <c r="CX628" s="1754">
        <f t="shared" si="289"/>
        <v>0</v>
      </c>
      <c r="CY628" s="1754"/>
      <c r="CZ628" s="1754"/>
      <c r="DA628" s="1754"/>
      <c r="DC628" s="383">
        <f>IF($BE628&gt;$R$66-3,291,0)</f>
        <v>291</v>
      </c>
      <c r="DD628" s="1754">
        <f t="shared" si="275"/>
        <v>0</v>
      </c>
      <c r="DE628" s="1754"/>
      <c r="DF628" s="1754"/>
      <c r="DG628" s="1754"/>
      <c r="DH628" s="1754">
        <f t="shared" si="296"/>
        <v>0</v>
      </c>
      <c r="DI628" s="1754"/>
      <c r="DJ628" s="1754"/>
      <c r="DK628" s="1754">
        <f t="shared" si="325"/>
        <v>0</v>
      </c>
      <c r="DL628" s="1754"/>
      <c r="DM628" s="1754"/>
      <c r="DN628" s="1754"/>
      <c r="DP628" s="383">
        <f t="shared" si="297"/>
        <v>291</v>
      </c>
      <c r="DQ628" s="1754">
        <f t="shared" si="305"/>
        <v>0</v>
      </c>
      <c r="DR628" s="1754"/>
      <c r="DS628" s="1754"/>
      <c r="DT628" s="1754"/>
      <c r="DU628" s="1754">
        <f t="shared" si="306"/>
        <v>0</v>
      </c>
      <c r="DV628" s="1754"/>
      <c r="DW628" s="1754"/>
      <c r="DX628" s="1754">
        <f t="shared" si="317"/>
        <v>0</v>
      </c>
      <c r="DY628" s="1754"/>
      <c r="DZ628" s="1754"/>
      <c r="EA628" s="1754">
        <f t="shared" si="318"/>
        <v>0</v>
      </c>
      <c r="EB628" s="1754"/>
      <c r="EC628" s="1754"/>
      <c r="ED628" s="1754"/>
      <c r="EE628" s="384"/>
      <c r="EF628" s="1750">
        <f t="shared" si="290"/>
        <v>0</v>
      </c>
      <c r="EG628" s="1751"/>
      <c r="EH628" s="1751"/>
      <c r="EI628" s="1751"/>
      <c r="EJ628" s="1752"/>
      <c r="EL628" s="1750">
        <f t="shared" si="319"/>
        <v>0</v>
      </c>
      <c r="EM628" s="1751"/>
      <c r="EN628" s="1751"/>
      <c r="EO628" s="1751"/>
      <c r="EP628" s="1752"/>
      <c r="ER628" s="1750">
        <f t="shared" si="291"/>
        <v>0</v>
      </c>
      <c r="ES628" s="1751"/>
      <c r="ET628" s="1751"/>
      <c r="EU628" s="1751"/>
      <c r="EV628" s="1752"/>
      <c r="EX628" s="1750">
        <f>IF(BE628&gt;0,Einstrahlung!$K$14*Kalkulation!$P$62/100*$AY$29*POWER((100-$P$64)/100,BD628-1),0)</f>
        <v>0</v>
      </c>
      <c r="EY628" s="1751"/>
      <c r="EZ628" s="1751"/>
      <c r="FA628" s="1751"/>
      <c r="FB628" s="1752"/>
      <c r="FD628" s="1804">
        <f t="shared" si="280"/>
        <v>0</v>
      </c>
      <c r="FE628" s="1805"/>
      <c r="FF628" s="1805"/>
      <c r="FG628" s="1805"/>
      <c r="FH628" s="1806"/>
      <c r="FI628" s="785">
        <f t="shared" si="334"/>
        <v>1</v>
      </c>
      <c r="FJ628" s="380">
        <f t="shared" si="304"/>
        <v>0</v>
      </c>
      <c r="FK628" s="385"/>
      <c r="FL628" s="380">
        <f t="shared" si="335"/>
        <v>0</v>
      </c>
      <c r="FM628" s="385"/>
      <c r="FN628" s="380">
        <f t="shared" si="298"/>
        <v>0</v>
      </c>
      <c r="FO628" s="962">
        <f t="shared" si="302"/>
        <v>420</v>
      </c>
      <c r="FP628" s="956">
        <f t="shared" si="292"/>
        <v>0.4</v>
      </c>
      <c r="FQ628" s="380">
        <f t="shared" si="311"/>
        <v>0</v>
      </c>
      <c r="FR628" s="626">
        <f t="shared" si="336"/>
        <v>1</v>
      </c>
      <c r="FT628" s="1819">
        <f t="shared" si="303"/>
        <v>0</v>
      </c>
      <c r="FU628" s="1820"/>
      <c r="FV628" s="1820"/>
      <c r="FW628" s="1820"/>
      <c r="FX628" s="1821"/>
      <c r="FY628" s="1819">
        <f t="shared" si="299"/>
        <v>0</v>
      </c>
      <c r="FZ628" s="1820"/>
      <c r="GA628" s="1820"/>
      <c r="GB628" s="1821"/>
      <c r="GC628" s="1825">
        <f t="shared" si="320"/>
        <v>0</v>
      </c>
      <c r="GD628" s="1826"/>
      <c r="GE628" s="1826"/>
      <c r="GF628" s="1827"/>
      <c r="GH628" s="1750">
        <f t="shared" si="300"/>
        <v>0</v>
      </c>
      <c r="GI628" s="1751"/>
      <c r="GJ628" s="1751"/>
      <c r="GK628" s="1752"/>
      <c r="GL628" s="1750">
        <f t="shared" si="301"/>
        <v>0</v>
      </c>
      <c r="GM628" s="1751"/>
      <c r="GN628" s="1751"/>
      <c r="GO628" s="1752"/>
      <c r="GP628" s="385"/>
      <c r="GQ628" s="1750">
        <f t="shared" si="337"/>
        <v>0</v>
      </c>
      <c r="GR628" s="1751"/>
      <c r="GS628" s="1751"/>
      <c r="GT628" s="1752"/>
      <c r="GU628" s="192">
        <f t="shared" si="307"/>
        <v>1</v>
      </c>
      <c r="GV628" s="192">
        <f>SUM($GU$337:GU628)</f>
        <v>284</v>
      </c>
      <c r="GW628" s="318"/>
      <c r="HT628" s="380">
        <f t="shared" si="333"/>
        <v>0</v>
      </c>
      <c r="HX628" s="380"/>
    </row>
    <row r="629" spans="4:232">
      <c r="D629" s="409"/>
      <c r="E629" s="318"/>
      <c r="F629" s="1568"/>
      <c r="G629" s="1568"/>
      <c r="H629" s="1568"/>
      <c r="I629" s="1568"/>
      <c r="J629" s="1568"/>
      <c r="K629" s="1568"/>
      <c r="L629" s="1568"/>
      <c r="M629" s="1568"/>
      <c r="N629" s="1568"/>
      <c r="O629" s="1568"/>
      <c r="P629" s="1568"/>
      <c r="Q629" s="1568"/>
      <c r="R629" s="1568"/>
      <c r="S629" s="1568"/>
      <c r="T629" s="1568"/>
      <c r="U629" s="247"/>
      <c r="V629" s="1568"/>
      <c r="W629" s="1568"/>
      <c r="X629" s="1568"/>
      <c r="Y629" s="523"/>
      <c r="BD629" s="387">
        <f t="shared" si="330"/>
        <v>24</v>
      </c>
      <c r="BE629" s="382">
        <f>IF(BD629&gt;0,292,0)</f>
        <v>292</v>
      </c>
      <c r="BG629" s="383">
        <f>IF($BE629&gt;$R$66-3+($BR$335*12),292,0)</f>
        <v>292</v>
      </c>
      <c r="BH629" s="1754">
        <f t="shared" si="331"/>
        <v>0</v>
      </c>
      <c r="BI629" s="1754"/>
      <c r="BJ629" s="1754"/>
      <c r="BK629" s="1754"/>
      <c r="BL629" s="1754">
        <f t="shared" si="293"/>
        <v>0</v>
      </c>
      <c r="BM629" s="1754"/>
      <c r="BN629" s="1754"/>
      <c r="BO629" s="1754">
        <f t="shared" si="285"/>
        <v>0</v>
      </c>
      <c r="BP629" s="1754"/>
      <c r="BQ629" s="1754"/>
      <c r="BR629" s="1754">
        <f t="shared" si="332"/>
        <v>0</v>
      </c>
      <c r="BS629" s="1754"/>
      <c r="BT629" s="1754"/>
      <c r="BU629" s="1754"/>
      <c r="BW629" s="383">
        <f>IF($BE629&gt;$R$66-3+($CH$335*12),292,0)</f>
        <v>292</v>
      </c>
      <c r="BX629" s="1754">
        <f t="shared" si="273"/>
        <v>0</v>
      </c>
      <c r="BY629" s="1754"/>
      <c r="BZ629" s="1754"/>
      <c r="CA629" s="1754"/>
      <c r="CB629" s="1754">
        <f t="shared" si="294"/>
        <v>0</v>
      </c>
      <c r="CC629" s="1754"/>
      <c r="CD629" s="1754"/>
      <c r="CE629" s="1754">
        <f t="shared" si="286"/>
        <v>0</v>
      </c>
      <c r="CF629" s="1754"/>
      <c r="CG629" s="1754"/>
      <c r="CH629" s="1754">
        <f t="shared" si="287"/>
        <v>0</v>
      </c>
      <c r="CI629" s="1754"/>
      <c r="CJ629" s="1754"/>
      <c r="CK629" s="1754"/>
      <c r="CM629" s="383">
        <f>IF($BE629&gt;$R$66-3+($CX$335*12),292,0)</f>
        <v>292</v>
      </c>
      <c r="CN629" s="1754">
        <f t="shared" si="274"/>
        <v>0</v>
      </c>
      <c r="CO629" s="1754"/>
      <c r="CP629" s="1754"/>
      <c r="CQ629" s="1754"/>
      <c r="CR629" s="1754">
        <f t="shared" si="295"/>
        <v>0</v>
      </c>
      <c r="CS629" s="1754"/>
      <c r="CT629" s="1754"/>
      <c r="CU629" s="1754">
        <f t="shared" si="288"/>
        <v>0</v>
      </c>
      <c r="CV629" s="1754"/>
      <c r="CW629" s="1754"/>
      <c r="CX629" s="1754">
        <f t="shared" si="289"/>
        <v>0</v>
      </c>
      <c r="CY629" s="1754"/>
      <c r="CZ629" s="1754"/>
      <c r="DA629" s="1754"/>
      <c r="DC629" s="383">
        <f>IF($BE629&gt;$R$66-3,292,0)</f>
        <v>292</v>
      </c>
      <c r="DD629" s="1754">
        <f t="shared" si="275"/>
        <v>0</v>
      </c>
      <c r="DE629" s="1754"/>
      <c r="DF629" s="1754"/>
      <c r="DG629" s="1754"/>
      <c r="DH629" s="1754">
        <f t="shared" si="296"/>
        <v>0</v>
      </c>
      <c r="DI629" s="1754"/>
      <c r="DJ629" s="1754"/>
      <c r="DK629" s="1754">
        <f t="shared" si="325"/>
        <v>0</v>
      </c>
      <c r="DL629" s="1754"/>
      <c r="DM629" s="1754"/>
      <c r="DN629" s="1754"/>
      <c r="DP629" s="383">
        <f t="shared" si="297"/>
        <v>292</v>
      </c>
      <c r="DQ629" s="1754">
        <f t="shared" si="305"/>
        <v>0</v>
      </c>
      <c r="DR629" s="1754"/>
      <c r="DS629" s="1754"/>
      <c r="DT629" s="1754"/>
      <c r="DU629" s="1754">
        <f t="shared" si="306"/>
        <v>0</v>
      </c>
      <c r="DV629" s="1754"/>
      <c r="DW629" s="1754"/>
      <c r="DX629" s="1754">
        <f t="shared" si="317"/>
        <v>0</v>
      </c>
      <c r="DY629" s="1754"/>
      <c r="DZ629" s="1754"/>
      <c r="EA629" s="1754">
        <f t="shared" si="318"/>
        <v>0</v>
      </c>
      <c r="EB629" s="1754"/>
      <c r="EC629" s="1754"/>
      <c r="ED629" s="1754"/>
      <c r="EE629" s="384"/>
      <c r="EF629" s="1750">
        <f t="shared" si="290"/>
        <v>0</v>
      </c>
      <c r="EG629" s="1751"/>
      <c r="EH629" s="1751"/>
      <c r="EI629" s="1751"/>
      <c r="EJ629" s="1752"/>
      <c r="EL629" s="1750">
        <f t="shared" si="319"/>
        <v>0</v>
      </c>
      <c r="EM629" s="1751"/>
      <c r="EN629" s="1751"/>
      <c r="EO629" s="1751"/>
      <c r="EP629" s="1752"/>
      <c r="ER629" s="1750">
        <f t="shared" si="291"/>
        <v>0</v>
      </c>
      <c r="ES629" s="1751"/>
      <c r="ET629" s="1751"/>
      <c r="EU629" s="1751"/>
      <c r="EV629" s="1752"/>
      <c r="EX629" s="1750">
        <f>IF(BE629&gt;0,Einstrahlung!$K$16*Kalkulation!$P$62/100*$AY$29*POWER((100-$P$64)/100,BD629-1),0)</f>
        <v>0</v>
      </c>
      <c r="EY629" s="1751"/>
      <c r="EZ629" s="1751"/>
      <c r="FA629" s="1751"/>
      <c r="FB629" s="1752"/>
      <c r="FD629" s="1804">
        <f t="shared" si="280"/>
        <v>0</v>
      </c>
      <c r="FE629" s="1805"/>
      <c r="FF629" s="1805"/>
      <c r="FG629" s="1805"/>
      <c r="FH629" s="1806"/>
      <c r="FI629" s="785">
        <f t="shared" si="334"/>
        <v>1</v>
      </c>
      <c r="FJ629" s="380">
        <f t="shared" si="304"/>
        <v>0</v>
      </c>
      <c r="FK629" s="385"/>
      <c r="FL629" s="380">
        <f t="shared" si="335"/>
        <v>0</v>
      </c>
      <c r="FM629" s="385"/>
      <c r="FN629" s="380">
        <f t="shared" si="298"/>
        <v>0</v>
      </c>
      <c r="FO629" s="962">
        <f t="shared" si="302"/>
        <v>421</v>
      </c>
      <c r="FP629" s="956">
        <f t="shared" si="292"/>
        <v>0.4</v>
      </c>
      <c r="FQ629" s="380">
        <f t="shared" si="311"/>
        <v>0</v>
      </c>
      <c r="FR629" s="626">
        <f t="shared" si="336"/>
        <v>1</v>
      </c>
      <c r="FT629" s="1819">
        <f t="shared" si="303"/>
        <v>0</v>
      </c>
      <c r="FU629" s="1820"/>
      <c r="FV629" s="1820"/>
      <c r="FW629" s="1820"/>
      <c r="FX629" s="1821"/>
      <c r="FY629" s="1819">
        <f t="shared" si="299"/>
        <v>0</v>
      </c>
      <c r="FZ629" s="1820"/>
      <c r="GA629" s="1820"/>
      <c r="GB629" s="1821"/>
      <c r="GC629" s="1825">
        <f t="shared" si="320"/>
        <v>0</v>
      </c>
      <c r="GD629" s="1826"/>
      <c r="GE629" s="1826"/>
      <c r="GF629" s="1827"/>
      <c r="GH629" s="1750">
        <f t="shared" si="300"/>
        <v>0</v>
      </c>
      <c r="GI629" s="1751"/>
      <c r="GJ629" s="1751"/>
      <c r="GK629" s="1752"/>
      <c r="GL629" s="1750">
        <f t="shared" si="301"/>
        <v>0</v>
      </c>
      <c r="GM629" s="1751"/>
      <c r="GN629" s="1751"/>
      <c r="GO629" s="1752"/>
      <c r="GP629" s="385"/>
      <c r="GQ629" s="1750">
        <f t="shared" si="337"/>
        <v>0</v>
      </c>
      <c r="GR629" s="1751"/>
      <c r="GS629" s="1751"/>
      <c r="GT629" s="1752"/>
      <c r="GU629" s="192">
        <f t="shared" si="307"/>
        <v>1</v>
      </c>
      <c r="GV629" s="192">
        <f>SUM($GU$337:GU629)</f>
        <v>285</v>
      </c>
      <c r="GW629" s="318"/>
      <c r="HT629" s="380">
        <f t="shared" si="333"/>
        <v>0</v>
      </c>
      <c r="HX629" s="380"/>
    </row>
    <row r="630" spans="4:232">
      <c r="D630" s="409">
        <v>13</v>
      </c>
      <c r="E630" s="318"/>
      <c r="F630" s="1568">
        <f>AH271</f>
        <v>0</v>
      </c>
      <c r="G630" s="1568"/>
      <c r="H630" s="1568"/>
      <c r="I630" s="1568"/>
      <c r="J630" s="1568"/>
      <c r="K630" s="1568"/>
      <c r="L630" s="1568"/>
      <c r="M630" s="1568"/>
      <c r="N630" s="1568"/>
      <c r="O630" s="1568"/>
      <c r="P630" s="1568"/>
      <c r="Q630" s="1568"/>
      <c r="R630" s="1568"/>
      <c r="S630" s="1568"/>
      <c r="T630" s="1568"/>
      <c r="U630" s="247"/>
      <c r="V630" s="1568"/>
      <c r="W630" s="1568"/>
      <c r="X630" s="1568"/>
      <c r="Y630" s="523"/>
      <c r="BD630" s="387">
        <f t="shared" si="330"/>
        <v>24</v>
      </c>
      <c r="BE630" s="382">
        <f>IF(BD630&gt;0,293,0)</f>
        <v>293</v>
      </c>
      <c r="BG630" s="383">
        <f>IF($BE630&gt;$R$66-3+($BR$335*12),293,0)</f>
        <v>293</v>
      </c>
      <c r="BH630" s="1754">
        <f t="shared" si="331"/>
        <v>0</v>
      </c>
      <c r="BI630" s="1754"/>
      <c r="BJ630" s="1754"/>
      <c r="BK630" s="1754"/>
      <c r="BL630" s="1754">
        <f t="shared" si="293"/>
        <v>0</v>
      </c>
      <c r="BM630" s="1754"/>
      <c r="BN630" s="1754"/>
      <c r="BO630" s="1754">
        <f t="shared" si="285"/>
        <v>0</v>
      </c>
      <c r="BP630" s="1754"/>
      <c r="BQ630" s="1754"/>
      <c r="BR630" s="1754">
        <f t="shared" si="332"/>
        <v>0</v>
      </c>
      <c r="BS630" s="1754"/>
      <c r="BT630" s="1754"/>
      <c r="BU630" s="1754"/>
      <c r="BW630" s="383">
        <f>IF($BE630&gt;$R$66-3+($CH$335*12),293,0)</f>
        <v>293</v>
      </c>
      <c r="BX630" s="1754">
        <f t="shared" si="273"/>
        <v>0</v>
      </c>
      <c r="BY630" s="1754"/>
      <c r="BZ630" s="1754"/>
      <c r="CA630" s="1754"/>
      <c r="CB630" s="1754">
        <f t="shared" si="294"/>
        <v>0</v>
      </c>
      <c r="CC630" s="1754"/>
      <c r="CD630" s="1754"/>
      <c r="CE630" s="1754">
        <f t="shared" si="286"/>
        <v>0</v>
      </c>
      <c r="CF630" s="1754"/>
      <c r="CG630" s="1754"/>
      <c r="CH630" s="1754">
        <f t="shared" si="287"/>
        <v>0</v>
      </c>
      <c r="CI630" s="1754"/>
      <c r="CJ630" s="1754"/>
      <c r="CK630" s="1754"/>
      <c r="CM630" s="383">
        <f>IF($BE630&gt;$R$66-3+($CX$335*12),293,0)</f>
        <v>293</v>
      </c>
      <c r="CN630" s="1754">
        <f t="shared" si="274"/>
        <v>0</v>
      </c>
      <c r="CO630" s="1754"/>
      <c r="CP630" s="1754"/>
      <c r="CQ630" s="1754"/>
      <c r="CR630" s="1754">
        <f t="shared" si="295"/>
        <v>0</v>
      </c>
      <c r="CS630" s="1754"/>
      <c r="CT630" s="1754"/>
      <c r="CU630" s="1754">
        <f t="shared" si="288"/>
        <v>0</v>
      </c>
      <c r="CV630" s="1754"/>
      <c r="CW630" s="1754"/>
      <c r="CX630" s="1754">
        <f t="shared" si="289"/>
        <v>0</v>
      </c>
      <c r="CY630" s="1754"/>
      <c r="CZ630" s="1754"/>
      <c r="DA630" s="1754"/>
      <c r="DC630" s="383">
        <f>IF($BE630&gt;$R$66-3,293,0)</f>
        <v>293</v>
      </c>
      <c r="DD630" s="1754">
        <f t="shared" si="275"/>
        <v>0</v>
      </c>
      <c r="DE630" s="1754"/>
      <c r="DF630" s="1754"/>
      <c r="DG630" s="1754"/>
      <c r="DH630" s="1754">
        <f t="shared" si="296"/>
        <v>0</v>
      </c>
      <c r="DI630" s="1754"/>
      <c r="DJ630" s="1754"/>
      <c r="DK630" s="1754">
        <f t="shared" si="325"/>
        <v>0</v>
      </c>
      <c r="DL630" s="1754"/>
      <c r="DM630" s="1754"/>
      <c r="DN630" s="1754"/>
      <c r="DP630" s="383">
        <f t="shared" si="297"/>
        <v>293</v>
      </c>
      <c r="DQ630" s="1754">
        <f t="shared" si="305"/>
        <v>0</v>
      </c>
      <c r="DR630" s="1754"/>
      <c r="DS630" s="1754"/>
      <c r="DT630" s="1754"/>
      <c r="DU630" s="1754">
        <f t="shared" si="306"/>
        <v>0</v>
      </c>
      <c r="DV630" s="1754"/>
      <c r="DW630" s="1754"/>
      <c r="DX630" s="1754">
        <f t="shared" si="317"/>
        <v>0</v>
      </c>
      <c r="DY630" s="1754"/>
      <c r="DZ630" s="1754"/>
      <c r="EA630" s="1754">
        <f t="shared" si="318"/>
        <v>0</v>
      </c>
      <c r="EB630" s="1754"/>
      <c r="EC630" s="1754"/>
      <c r="ED630" s="1754"/>
      <c r="EE630" s="384"/>
      <c r="EF630" s="1750">
        <f t="shared" si="290"/>
        <v>0</v>
      </c>
      <c r="EG630" s="1751"/>
      <c r="EH630" s="1751"/>
      <c r="EI630" s="1751"/>
      <c r="EJ630" s="1752"/>
      <c r="EL630" s="1750">
        <f t="shared" si="319"/>
        <v>0</v>
      </c>
      <c r="EM630" s="1751"/>
      <c r="EN630" s="1751"/>
      <c r="EO630" s="1751"/>
      <c r="EP630" s="1752"/>
      <c r="ER630" s="1750">
        <f t="shared" si="291"/>
        <v>0</v>
      </c>
      <c r="ES630" s="1751"/>
      <c r="ET630" s="1751"/>
      <c r="EU630" s="1751"/>
      <c r="EV630" s="1752"/>
      <c r="EX630" s="1750">
        <f>IF(BE630&gt;0,Einstrahlung!$K$18*Kalkulation!$P$62/100*$AY$29*POWER((100-$P$64)/100,BD630-1),0)</f>
        <v>0</v>
      </c>
      <c r="EY630" s="1751"/>
      <c r="EZ630" s="1751"/>
      <c r="FA630" s="1751"/>
      <c r="FB630" s="1752"/>
      <c r="FD630" s="1804">
        <f t="shared" si="280"/>
        <v>0</v>
      </c>
      <c r="FE630" s="1805"/>
      <c r="FF630" s="1805"/>
      <c r="FG630" s="1805"/>
      <c r="FH630" s="1806"/>
      <c r="FI630" s="785">
        <f t="shared" si="334"/>
        <v>1</v>
      </c>
      <c r="FJ630" s="380">
        <f t="shared" si="304"/>
        <v>0</v>
      </c>
      <c r="FK630" s="385"/>
      <c r="FL630" s="380">
        <f t="shared" si="335"/>
        <v>0</v>
      </c>
      <c r="FM630" s="385"/>
      <c r="FN630" s="380">
        <f t="shared" si="298"/>
        <v>0</v>
      </c>
      <c r="FO630" s="962">
        <f t="shared" si="302"/>
        <v>422</v>
      </c>
      <c r="FP630" s="956">
        <f t="shared" si="292"/>
        <v>0.4</v>
      </c>
      <c r="FQ630" s="380">
        <f t="shared" si="311"/>
        <v>0</v>
      </c>
      <c r="FR630" s="626">
        <f t="shared" si="336"/>
        <v>1</v>
      </c>
      <c r="FT630" s="1819">
        <f t="shared" si="303"/>
        <v>0</v>
      </c>
      <c r="FU630" s="1820"/>
      <c r="FV630" s="1820"/>
      <c r="FW630" s="1820"/>
      <c r="FX630" s="1821"/>
      <c r="FY630" s="1819">
        <f t="shared" si="299"/>
        <v>0</v>
      </c>
      <c r="FZ630" s="1820"/>
      <c r="GA630" s="1820"/>
      <c r="GB630" s="1821"/>
      <c r="GC630" s="1825">
        <f t="shared" si="320"/>
        <v>0</v>
      </c>
      <c r="GD630" s="1826"/>
      <c r="GE630" s="1826"/>
      <c r="GF630" s="1827"/>
      <c r="GH630" s="1750">
        <f t="shared" si="300"/>
        <v>0</v>
      </c>
      <c r="GI630" s="1751"/>
      <c r="GJ630" s="1751"/>
      <c r="GK630" s="1752"/>
      <c r="GL630" s="1750">
        <f t="shared" si="301"/>
        <v>0</v>
      </c>
      <c r="GM630" s="1751"/>
      <c r="GN630" s="1751"/>
      <c r="GO630" s="1752"/>
      <c r="GP630" s="385"/>
      <c r="GQ630" s="1750">
        <f t="shared" si="337"/>
        <v>0</v>
      </c>
      <c r="GR630" s="1751"/>
      <c r="GS630" s="1751"/>
      <c r="GT630" s="1752"/>
      <c r="GU630" s="192">
        <f t="shared" si="307"/>
        <v>1</v>
      </c>
      <c r="GV630" s="192">
        <f>SUM($GU$337:GU630)</f>
        <v>286</v>
      </c>
      <c r="GW630" s="318"/>
      <c r="HT630" s="380">
        <f t="shared" si="333"/>
        <v>0</v>
      </c>
      <c r="HX630" s="380"/>
    </row>
    <row r="631" spans="4:232">
      <c r="D631" s="409"/>
      <c r="E631" s="318"/>
      <c r="F631" s="1568"/>
      <c r="G631" s="1568"/>
      <c r="H631" s="1568"/>
      <c r="I631" s="1568">
        <f>F630</f>
        <v>0</v>
      </c>
      <c r="J631" s="1568"/>
      <c r="K631" s="1568"/>
      <c r="L631" s="1568"/>
      <c r="M631" s="1568"/>
      <c r="N631" s="1568"/>
      <c r="O631" s="1568"/>
      <c r="P631" s="1568"/>
      <c r="Q631" s="1568"/>
      <c r="R631" s="1568"/>
      <c r="S631" s="1568"/>
      <c r="T631" s="1568"/>
      <c r="U631" s="247"/>
      <c r="V631" s="1568"/>
      <c r="W631" s="1568"/>
      <c r="X631" s="1568"/>
      <c r="Y631" s="523"/>
      <c r="BD631" s="387">
        <f t="shared" si="330"/>
        <v>24</v>
      </c>
      <c r="BE631" s="382">
        <f>IF(BD631&gt;0,294,0)</f>
        <v>294</v>
      </c>
      <c r="BG631" s="383">
        <f>IF($BE631&gt;$R$66-3+($BR$335*12),294,0)</f>
        <v>294</v>
      </c>
      <c r="BH631" s="1754">
        <f t="shared" si="331"/>
        <v>0</v>
      </c>
      <c r="BI631" s="1754"/>
      <c r="BJ631" s="1754"/>
      <c r="BK631" s="1754"/>
      <c r="BL631" s="1754">
        <f t="shared" si="293"/>
        <v>0</v>
      </c>
      <c r="BM631" s="1754"/>
      <c r="BN631" s="1754"/>
      <c r="BO631" s="1754">
        <f t="shared" si="285"/>
        <v>0</v>
      </c>
      <c r="BP631" s="1754"/>
      <c r="BQ631" s="1754"/>
      <c r="BR631" s="1754">
        <f t="shared" si="332"/>
        <v>0</v>
      </c>
      <c r="BS631" s="1754"/>
      <c r="BT631" s="1754"/>
      <c r="BU631" s="1754"/>
      <c r="BW631" s="383">
        <f>IF($BE631&gt;$R$66-3+($CH$335*12),294,0)</f>
        <v>294</v>
      </c>
      <c r="BX631" s="1754">
        <f t="shared" si="273"/>
        <v>0</v>
      </c>
      <c r="BY631" s="1754"/>
      <c r="BZ631" s="1754"/>
      <c r="CA631" s="1754"/>
      <c r="CB631" s="1754">
        <f t="shared" si="294"/>
        <v>0</v>
      </c>
      <c r="CC631" s="1754"/>
      <c r="CD631" s="1754"/>
      <c r="CE631" s="1754">
        <f t="shared" si="286"/>
        <v>0</v>
      </c>
      <c r="CF631" s="1754"/>
      <c r="CG631" s="1754"/>
      <c r="CH631" s="1754">
        <f t="shared" si="287"/>
        <v>0</v>
      </c>
      <c r="CI631" s="1754"/>
      <c r="CJ631" s="1754"/>
      <c r="CK631" s="1754"/>
      <c r="CM631" s="383">
        <f>IF($BE631&gt;$R$66-3+($CX$335*12),294,0)</f>
        <v>294</v>
      </c>
      <c r="CN631" s="1754">
        <f t="shared" si="274"/>
        <v>0</v>
      </c>
      <c r="CO631" s="1754"/>
      <c r="CP631" s="1754"/>
      <c r="CQ631" s="1754"/>
      <c r="CR631" s="1754">
        <f t="shared" si="295"/>
        <v>0</v>
      </c>
      <c r="CS631" s="1754"/>
      <c r="CT631" s="1754"/>
      <c r="CU631" s="1754">
        <f t="shared" si="288"/>
        <v>0</v>
      </c>
      <c r="CV631" s="1754"/>
      <c r="CW631" s="1754"/>
      <c r="CX631" s="1754">
        <f t="shared" si="289"/>
        <v>0</v>
      </c>
      <c r="CY631" s="1754"/>
      <c r="CZ631" s="1754"/>
      <c r="DA631" s="1754"/>
      <c r="DC631" s="383">
        <f>IF($BE631&gt;$R$66-3,294,0)</f>
        <v>294</v>
      </c>
      <c r="DD631" s="1754">
        <f t="shared" si="275"/>
        <v>0</v>
      </c>
      <c r="DE631" s="1754"/>
      <c r="DF631" s="1754"/>
      <c r="DG631" s="1754"/>
      <c r="DH631" s="1754">
        <f t="shared" si="296"/>
        <v>0</v>
      </c>
      <c r="DI631" s="1754"/>
      <c r="DJ631" s="1754"/>
      <c r="DK631" s="1754">
        <f t="shared" si="325"/>
        <v>0</v>
      </c>
      <c r="DL631" s="1754"/>
      <c r="DM631" s="1754"/>
      <c r="DN631" s="1754"/>
      <c r="DP631" s="383">
        <f t="shared" si="297"/>
        <v>294</v>
      </c>
      <c r="DQ631" s="1754">
        <f t="shared" si="305"/>
        <v>0</v>
      </c>
      <c r="DR631" s="1754"/>
      <c r="DS631" s="1754"/>
      <c r="DT631" s="1754"/>
      <c r="DU631" s="1754">
        <f t="shared" si="306"/>
        <v>0</v>
      </c>
      <c r="DV631" s="1754"/>
      <c r="DW631" s="1754"/>
      <c r="DX631" s="1754">
        <f t="shared" si="317"/>
        <v>0</v>
      </c>
      <c r="DY631" s="1754"/>
      <c r="DZ631" s="1754"/>
      <c r="EA631" s="1754">
        <f t="shared" si="318"/>
        <v>0</v>
      </c>
      <c r="EB631" s="1754"/>
      <c r="EC631" s="1754"/>
      <c r="ED631" s="1754"/>
      <c r="EE631" s="384"/>
      <c r="EF631" s="1750">
        <f t="shared" si="290"/>
        <v>0</v>
      </c>
      <c r="EG631" s="1751"/>
      <c r="EH631" s="1751"/>
      <c r="EI631" s="1751"/>
      <c r="EJ631" s="1752"/>
      <c r="EL631" s="1750">
        <f t="shared" si="319"/>
        <v>0</v>
      </c>
      <c r="EM631" s="1751"/>
      <c r="EN631" s="1751"/>
      <c r="EO631" s="1751"/>
      <c r="EP631" s="1752"/>
      <c r="ER631" s="1750">
        <f t="shared" si="291"/>
        <v>0</v>
      </c>
      <c r="ES631" s="1751"/>
      <c r="ET631" s="1751"/>
      <c r="EU631" s="1751"/>
      <c r="EV631" s="1752"/>
      <c r="EX631" s="1750">
        <f>IF(BE631&gt;0,Einstrahlung!$K$20*Kalkulation!$P$62/100*$AY$29*POWER((100-$P$64)/100,BD631-1),0)</f>
        <v>0</v>
      </c>
      <c r="EY631" s="1751"/>
      <c r="EZ631" s="1751"/>
      <c r="FA631" s="1751"/>
      <c r="FB631" s="1752"/>
      <c r="FD631" s="1804">
        <f t="shared" si="280"/>
        <v>0</v>
      </c>
      <c r="FE631" s="1805"/>
      <c r="FF631" s="1805"/>
      <c r="FG631" s="1805"/>
      <c r="FH631" s="1806"/>
      <c r="FI631" s="785">
        <f t="shared" si="334"/>
        <v>1</v>
      </c>
      <c r="FJ631" s="380">
        <f t="shared" si="304"/>
        <v>0</v>
      </c>
      <c r="FK631" s="385"/>
      <c r="FL631" s="380">
        <f t="shared" si="335"/>
        <v>0</v>
      </c>
      <c r="FM631" s="385"/>
      <c r="FN631" s="380">
        <f t="shared" si="298"/>
        <v>0</v>
      </c>
      <c r="FO631" s="962">
        <f t="shared" si="302"/>
        <v>423</v>
      </c>
      <c r="FP631" s="956">
        <f t="shared" si="292"/>
        <v>0.4</v>
      </c>
      <c r="FQ631" s="380">
        <f t="shared" si="311"/>
        <v>0</v>
      </c>
      <c r="FR631" s="626">
        <f t="shared" si="336"/>
        <v>1</v>
      </c>
      <c r="FT631" s="1819">
        <f t="shared" si="303"/>
        <v>0</v>
      </c>
      <c r="FU631" s="1820"/>
      <c r="FV631" s="1820"/>
      <c r="FW631" s="1820"/>
      <c r="FX631" s="1821"/>
      <c r="FY631" s="1819">
        <f t="shared" si="299"/>
        <v>0</v>
      </c>
      <c r="FZ631" s="1820"/>
      <c r="GA631" s="1820"/>
      <c r="GB631" s="1821"/>
      <c r="GC631" s="1825">
        <f t="shared" si="320"/>
        <v>0</v>
      </c>
      <c r="GD631" s="1826"/>
      <c r="GE631" s="1826"/>
      <c r="GF631" s="1827"/>
      <c r="GH631" s="1750">
        <f t="shared" si="300"/>
        <v>0</v>
      </c>
      <c r="GI631" s="1751"/>
      <c r="GJ631" s="1751"/>
      <c r="GK631" s="1752"/>
      <c r="GL631" s="1750">
        <f t="shared" si="301"/>
        <v>0</v>
      </c>
      <c r="GM631" s="1751"/>
      <c r="GN631" s="1751"/>
      <c r="GO631" s="1752"/>
      <c r="GP631" s="385"/>
      <c r="GQ631" s="1750">
        <f t="shared" si="337"/>
        <v>0</v>
      </c>
      <c r="GR631" s="1751"/>
      <c r="GS631" s="1751"/>
      <c r="GT631" s="1752"/>
      <c r="GU631" s="192">
        <f t="shared" si="307"/>
        <v>1</v>
      </c>
      <c r="GV631" s="192">
        <f>SUM($GU$337:GU631)</f>
        <v>287</v>
      </c>
      <c r="GW631" s="318"/>
      <c r="HT631" s="380">
        <f t="shared" si="333"/>
        <v>0</v>
      </c>
      <c r="HX631" s="380"/>
    </row>
    <row r="632" spans="4:232">
      <c r="D632" s="409"/>
      <c r="E632" s="318"/>
      <c r="F632" s="1568"/>
      <c r="G632" s="1568"/>
      <c r="H632" s="1568"/>
      <c r="I632" s="1568"/>
      <c r="J632" s="1568"/>
      <c r="K632" s="1568"/>
      <c r="L632" s="1568">
        <f>F630</f>
        <v>0</v>
      </c>
      <c r="M632" s="1568"/>
      <c r="N632" s="1568"/>
      <c r="O632" s="1568"/>
      <c r="P632" s="1568"/>
      <c r="Q632" s="1568"/>
      <c r="R632" s="1568"/>
      <c r="S632" s="1568"/>
      <c r="T632" s="1568"/>
      <c r="U632" s="247"/>
      <c r="V632" s="1568"/>
      <c r="W632" s="1568"/>
      <c r="X632" s="1568"/>
      <c r="Y632" s="523"/>
      <c r="BD632" s="387">
        <f t="shared" si="330"/>
        <v>24</v>
      </c>
      <c r="BE632" s="382">
        <f>IF(BD632&gt;0,295,0)</f>
        <v>295</v>
      </c>
      <c r="BG632" s="383">
        <f>IF($BE632&gt;$R$66-3+($BR$335*12),295,0)</f>
        <v>295</v>
      </c>
      <c r="BH632" s="1754">
        <f t="shared" si="331"/>
        <v>0</v>
      </c>
      <c r="BI632" s="1754"/>
      <c r="BJ632" s="1754"/>
      <c r="BK632" s="1754"/>
      <c r="BL632" s="1754">
        <f t="shared" si="293"/>
        <v>0</v>
      </c>
      <c r="BM632" s="1754"/>
      <c r="BN632" s="1754"/>
      <c r="BO632" s="1754">
        <f t="shared" si="285"/>
        <v>0</v>
      </c>
      <c r="BP632" s="1754"/>
      <c r="BQ632" s="1754"/>
      <c r="BR632" s="1754">
        <f t="shared" si="332"/>
        <v>0</v>
      </c>
      <c r="BS632" s="1754"/>
      <c r="BT632" s="1754"/>
      <c r="BU632" s="1754"/>
      <c r="BW632" s="383">
        <f>IF($BE632&gt;$R$66-3+($CH$335*12),295,0)</f>
        <v>295</v>
      </c>
      <c r="BX632" s="1754">
        <f t="shared" si="273"/>
        <v>0</v>
      </c>
      <c r="BY632" s="1754"/>
      <c r="BZ632" s="1754"/>
      <c r="CA632" s="1754"/>
      <c r="CB632" s="1754">
        <f t="shared" si="294"/>
        <v>0</v>
      </c>
      <c r="CC632" s="1754"/>
      <c r="CD632" s="1754"/>
      <c r="CE632" s="1754">
        <f t="shared" si="286"/>
        <v>0</v>
      </c>
      <c r="CF632" s="1754"/>
      <c r="CG632" s="1754"/>
      <c r="CH632" s="1754">
        <f t="shared" si="287"/>
        <v>0</v>
      </c>
      <c r="CI632" s="1754"/>
      <c r="CJ632" s="1754"/>
      <c r="CK632" s="1754"/>
      <c r="CM632" s="383">
        <f>IF($BE632&gt;$R$66-3+($CX$335*12),295,0)</f>
        <v>295</v>
      </c>
      <c r="CN632" s="1754">
        <f t="shared" si="274"/>
        <v>0</v>
      </c>
      <c r="CO632" s="1754"/>
      <c r="CP632" s="1754"/>
      <c r="CQ632" s="1754"/>
      <c r="CR632" s="1754">
        <f t="shared" si="295"/>
        <v>0</v>
      </c>
      <c r="CS632" s="1754"/>
      <c r="CT632" s="1754"/>
      <c r="CU632" s="1754">
        <f t="shared" si="288"/>
        <v>0</v>
      </c>
      <c r="CV632" s="1754"/>
      <c r="CW632" s="1754"/>
      <c r="CX632" s="1754">
        <f t="shared" si="289"/>
        <v>0</v>
      </c>
      <c r="CY632" s="1754"/>
      <c r="CZ632" s="1754"/>
      <c r="DA632" s="1754"/>
      <c r="DC632" s="383">
        <f>IF($BE632&gt;$R$66-3,295,0)</f>
        <v>295</v>
      </c>
      <c r="DD632" s="1754">
        <f t="shared" si="275"/>
        <v>0</v>
      </c>
      <c r="DE632" s="1754"/>
      <c r="DF632" s="1754"/>
      <c r="DG632" s="1754"/>
      <c r="DH632" s="1754">
        <f t="shared" si="296"/>
        <v>0</v>
      </c>
      <c r="DI632" s="1754"/>
      <c r="DJ632" s="1754"/>
      <c r="DK632" s="1754">
        <f t="shared" si="325"/>
        <v>0</v>
      </c>
      <c r="DL632" s="1754"/>
      <c r="DM632" s="1754"/>
      <c r="DN632" s="1754"/>
      <c r="DP632" s="383">
        <f t="shared" si="297"/>
        <v>295</v>
      </c>
      <c r="DQ632" s="1754">
        <f t="shared" si="305"/>
        <v>0</v>
      </c>
      <c r="DR632" s="1754"/>
      <c r="DS632" s="1754"/>
      <c r="DT632" s="1754"/>
      <c r="DU632" s="1754">
        <f t="shared" si="306"/>
        <v>0</v>
      </c>
      <c r="DV632" s="1754"/>
      <c r="DW632" s="1754"/>
      <c r="DX632" s="1754">
        <f t="shared" si="317"/>
        <v>0</v>
      </c>
      <c r="DY632" s="1754"/>
      <c r="DZ632" s="1754"/>
      <c r="EA632" s="1754">
        <f t="shared" si="318"/>
        <v>0</v>
      </c>
      <c r="EB632" s="1754"/>
      <c r="EC632" s="1754"/>
      <c r="ED632" s="1754"/>
      <c r="EE632" s="384"/>
      <c r="EF632" s="1750">
        <f t="shared" si="290"/>
        <v>0</v>
      </c>
      <c r="EG632" s="1751"/>
      <c r="EH632" s="1751"/>
      <c r="EI632" s="1751"/>
      <c r="EJ632" s="1752"/>
      <c r="EL632" s="1750">
        <f t="shared" si="319"/>
        <v>0</v>
      </c>
      <c r="EM632" s="1751"/>
      <c r="EN632" s="1751"/>
      <c r="EO632" s="1751"/>
      <c r="EP632" s="1752"/>
      <c r="ER632" s="1750">
        <f t="shared" si="291"/>
        <v>0</v>
      </c>
      <c r="ES632" s="1751"/>
      <c r="ET632" s="1751"/>
      <c r="EU632" s="1751"/>
      <c r="EV632" s="1752"/>
      <c r="EX632" s="1750">
        <f>IF(BE632&gt;0,Einstrahlung!$K$22*Kalkulation!$P$62/100*$AY$29*POWER((100-$P$64)/100,BD632-1),0)</f>
        <v>0</v>
      </c>
      <c r="EY632" s="1751"/>
      <c r="EZ632" s="1751"/>
      <c r="FA632" s="1751"/>
      <c r="FB632" s="1752"/>
      <c r="FD632" s="1804">
        <f t="shared" si="280"/>
        <v>0</v>
      </c>
      <c r="FE632" s="1805"/>
      <c r="FF632" s="1805"/>
      <c r="FG632" s="1805"/>
      <c r="FH632" s="1806"/>
      <c r="FI632" s="785">
        <f t="shared" si="334"/>
        <v>1</v>
      </c>
      <c r="FJ632" s="380">
        <f t="shared" si="304"/>
        <v>0</v>
      </c>
      <c r="FK632" s="385"/>
      <c r="FL632" s="380">
        <f t="shared" si="335"/>
        <v>0</v>
      </c>
      <c r="FM632" s="385"/>
      <c r="FN632" s="380">
        <f t="shared" si="298"/>
        <v>0</v>
      </c>
      <c r="FO632" s="962">
        <f t="shared" si="302"/>
        <v>424</v>
      </c>
      <c r="FP632" s="956">
        <f t="shared" si="292"/>
        <v>0.4</v>
      </c>
      <c r="FQ632" s="380">
        <f t="shared" si="311"/>
        <v>0</v>
      </c>
      <c r="FR632" s="626">
        <f t="shared" si="336"/>
        <v>1</v>
      </c>
      <c r="FT632" s="1819">
        <f t="shared" si="303"/>
        <v>0</v>
      </c>
      <c r="FU632" s="1820"/>
      <c r="FV632" s="1820"/>
      <c r="FW632" s="1820"/>
      <c r="FX632" s="1821"/>
      <c r="FY632" s="1819">
        <f t="shared" si="299"/>
        <v>0</v>
      </c>
      <c r="FZ632" s="1820"/>
      <c r="GA632" s="1820"/>
      <c r="GB632" s="1821"/>
      <c r="GC632" s="1825">
        <f t="shared" si="320"/>
        <v>0</v>
      </c>
      <c r="GD632" s="1826"/>
      <c r="GE632" s="1826"/>
      <c r="GF632" s="1827"/>
      <c r="GH632" s="1750">
        <f t="shared" si="300"/>
        <v>0</v>
      </c>
      <c r="GI632" s="1751"/>
      <c r="GJ632" s="1751"/>
      <c r="GK632" s="1752"/>
      <c r="GL632" s="1750">
        <f t="shared" si="301"/>
        <v>0</v>
      </c>
      <c r="GM632" s="1751"/>
      <c r="GN632" s="1751"/>
      <c r="GO632" s="1752"/>
      <c r="GP632" s="385"/>
      <c r="GQ632" s="1750">
        <f t="shared" si="337"/>
        <v>0</v>
      </c>
      <c r="GR632" s="1751"/>
      <c r="GS632" s="1751"/>
      <c r="GT632" s="1752"/>
      <c r="GU632" s="192">
        <f t="shared" si="307"/>
        <v>1</v>
      </c>
      <c r="GV632" s="192">
        <f>SUM($GU$337:GU632)</f>
        <v>288</v>
      </c>
      <c r="GW632" s="318"/>
      <c r="HT632" s="380">
        <f t="shared" si="333"/>
        <v>0</v>
      </c>
      <c r="HX632" s="380"/>
    </row>
    <row r="633" spans="4:232">
      <c r="D633" s="409"/>
      <c r="E633" s="318"/>
      <c r="F633" s="1568"/>
      <c r="G633" s="1568"/>
      <c r="H633" s="1568"/>
      <c r="I633" s="1568"/>
      <c r="J633" s="1568"/>
      <c r="K633" s="1568"/>
      <c r="L633" s="1568"/>
      <c r="M633" s="1568"/>
      <c r="N633" s="1568"/>
      <c r="O633" s="1568">
        <f>V633</f>
        <v>0</v>
      </c>
      <c r="P633" s="1568"/>
      <c r="Q633" s="1568"/>
      <c r="R633" s="1568"/>
      <c r="S633" s="1568"/>
      <c r="T633" s="1568"/>
      <c r="U633" s="247"/>
      <c r="V633" s="1568">
        <f>IF(D271&gt;0,V628+(G271+J271)-(O271+Q271+S271+T271+V271)+Y271,0)</f>
        <v>0</v>
      </c>
      <c r="W633" s="1568"/>
      <c r="X633" s="1568"/>
      <c r="Y633" s="523">
        <f>IF(D271&gt;0,IF(V633&gt;0,0,1),0)</f>
        <v>1</v>
      </c>
      <c r="BD633" s="387">
        <f t="shared" si="330"/>
        <v>24</v>
      </c>
      <c r="BE633" s="382">
        <f>IF(BD633&gt;0,296,0)</f>
        <v>296</v>
      </c>
      <c r="BG633" s="383">
        <f>IF($BE633&gt;$R$66-3+($BR$335*12),296,0)</f>
        <v>296</v>
      </c>
      <c r="BH633" s="1754">
        <f t="shared" si="331"/>
        <v>0</v>
      </c>
      <c r="BI633" s="1754"/>
      <c r="BJ633" s="1754"/>
      <c r="BK633" s="1754"/>
      <c r="BL633" s="1754">
        <f t="shared" si="293"/>
        <v>0</v>
      </c>
      <c r="BM633" s="1754"/>
      <c r="BN633" s="1754"/>
      <c r="BO633" s="1754">
        <f t="shared" si="285"/>
        <v>0</v>
      </c>
      <c r="BP633" s="1754"/>
      <c r="BQ633" s="1754"/>
      <c r="BR633" s="1754">
        <f t="shared" si="332"/>
        <v>0</v>
      </c>
      <c r="BS633" s="1754"/>
      <c r="BT633" s="1754"/>
      <c r="BU633" s="1754"/>
      <c r="BW633" s="383">
        <f>IF($BE633&gt;$R$66-3+($CH$335*12),296,0)</f>
        <v>296</v>
      </c>
      <c r="BX633" s="1754">
        <f t="shared" si="273"/>
        <v>0</v>
      </c>
      <c r="BY633" s="1754"/>
      <c r="BZ633" s="1754"/>
      <c r="CA633" s="1754"/>
      <c r="CB633" s="1754">
        <f t="shared" si="294"/>
        <v>0</v>
      </c>
      <c r="CC633" s="1754"/>
      <c r="CD633" s="1754"/>
      <c r="CE633" s="1754">
        <f t="shared" si="286"/>
        <v>0</v>
      </c>
      <c r="CF633" s="1754"/>
      <c r="CG633" s="1754"/>
      <c r="CH633" s="1754">
        <f t="shared" si="287"/>
        <v>0</v>
      </c>
      <c r="CI633" s="1754"/>
      <c r="CJ633" s="1754"/>
      <c r="CK633" s="1754"/>
      <c r="CM633" s="383">
        <f>IF($BE633&gt;$R$66-3+($CX$335*12),296,0)</f>
        <v>296</v>
      </c>
      <c r="CN633" s="1754">
        <f t="shared" si="274"/>
        <v>0</v>
      </c>
      <c r="CO633" s="1754"/>
      <c r="CP633" s="1754"/>
      <c r="CQ633" s="1754"/>
      <c r="CR633" s="1754">
        <f t="shared" si="295"/>
        <v>0</v>
      </c>
      <c r="CS633" s="1754"/>
      <c r="CT633" s="1754"/>
      <c r="CU633" s="1754">
        <f t="shared" si="288"/>
        <v>0</v>
      </c>
      <c r="CV633" s="1754"/>
      <c r="CW633" s="1754"/>
      <c r="CX633" s="1754">
        <f t="shared" si="289"/>
        <v>0</v>
      </c>
      <c r="CY633" s="1754"/>
      <c r="CZ633" s="1754"/>
      <c r="DA633" s="1754"/>
      <c r="DC633" s="383">
        <f>IF($BE633&gt;$R$66-3,296,0)</f>
        <v>296</v>
      </c>
      <c r="DD633" s="1754">
        <f t="shared" si="275"/>
        <v>0</v>
      </c>
      <c r="DE633" s="1754"/>
      <c r="DF633" s="1754"/>
      <c r="DG633" s="1754"/>
      <c r="DH633" s="1754">
        <f t="shared" si="296"/>
        <v>0</v>
      </c>
      <c r="DI633" s="1754"/>
      <c r="DJ633" s="1754"/>
      <c r="DK633" s="1754">
        <f t="shared" si="325"/>
        <v>0</v>
      </c>
      <c r="DL633" s="1754"/>
      <c r="DM633" s="1754"/>
      <c r="DN633" s="1754"/>
      <c r="DP633" s="383">
        <f t="shared" si="297"/>
        <v>296</v>
      </c>
      <c r="DQ633" s="1754">
        <f t="shared" si="305"/>
        <v>0</v>
      </c>
      <c r="DR633" s="1754"/>
      <c r="DS633" s="1754"/>
      <c r="DT633" s="1754"/>
      <c r="DU633" s="1754">
        <f t="shared" si="306"/>
        <v>0</v>
      </c>
      <c r="DV633" s="1754"/>
      <c r="DW633" s="1754"/>
      <c r="DX633" s="1754">
        <f t="shared" si="317"/>
        <v>0</v>
      </c>
      <c r="DY633" s="1754"/>
      <c r="DZ633" s="1754"/>
      <c r="EA633" s="1754">
        <f t="shared" si="318"/>
        <v>0</v>
      </c>
      <c r="EB633" s="1754"/>
      <c r="EC633" s="1754"/>
      <c r="ED633" s="1754"/>
      <c r="EE633" s="384"/>
      <c r="EF633" s="1750">
        <f t="shared" si="290"/>
        <v>0</v>
      </c>
      <c r="EG633" s="1751"/>
      <c r="EH633" s="1751"/>
      <c r="EI633" s="1751"/>
      <c r="EJ633" s="1752"/>
      <c r="EL633" s="1750">
        <f t="shared" si="319"/>
        <v>0</v>
      </c>
      <c r="EM633" s="1751"/>
      <c r="EN633" s="1751"/>
      <c r="EO633" s="1751"/>
      <c r="EP633" s="1752"/>
      <c r="ER633" s="1750">
        <f t="shared" si="291"/>
        <v>0</v>
      </c>
      <c r="ES633" s="1751"/>
      <c r="ET633" s="1751"/>
      <c r="EU633" s="1751"/>
      <c r="EV633" s="1752"/>
      <c r="EX633" s="1750">
        <f>IF(BE633&gt;0,Einstrahlung!$K$24*Kalkulation!$P$62/100*$AY$29*POWER((100-$P$64)/100,BD633-1),0)</f>
        <v>0</v>
      </c>
      <c r="EY633" s="1751"/>
      <c r="EZ633" s="1751"/>
      <c r="FA633" s="1751"/>
      <c r="FB633" s="1752"/>
      <c r="FD633" s="1804">
        <f t="shared" si="280"/>
        <v>0</v>
      </c>
      <c r="FE633" s="1805"/>
      <c r="FF633" s="1805"/>
      <c r="FG633" s="1805"/>
      <c r="FH633" s="1806"/>
      <c r="FI633" s="785">
        <f t="shared" si="334"/>
        <v>1</v>
      </c>
      <c r="FJ633" s="380">
        <f t="shared" si="304"/>
        <v>0</v>
      </c>
      <c r="FK633" s="385"/>
      <c r="FL633" s="380">
        <f t="shared" si="335"/>
        <v>0</v>
      </c>
      <c r="FM633" s="385"/>
      <c r="FN633" s="380">
        <f t="shared" si="298"/>
        <v>0</v>
      </c>
      <c r="FO633" s="962">
        <f t="shared" si="302"/>
        <v>425</v>
      </c>
      <c r="FP633" s="956">
        <f t="shared" si="292"/>
        <v>0.4</v>
      </c>
      <c r="FQ633" s="380">
        <f t="shared" si="311"/>
        <v>0</v>
      </c>
      <c r="FR633" s="626">
        <f t="shared" si="336"/>
        <v>1</v>
      </c>
      <c r="FT633" s="1819">
        <f t="shared" si="303"/>
        <v>0</v>
      </c>
      <c r="FU633" s="1820"/>
      <c r="FV633" s="1820"/>
      <c r="FW633" s="1820"/>
      <c r="FX633" s="1821"/>
      <c r="FY633" s="1819">
        <f t="shared" si="299"/>
        <v>0</v>
      </c>
      <c r="FZ633" s="1820"/>
      <c r="GA633" s="1820"/>
      <c r="GB633" s="1821"/>
      <c r="GC633" s="1825">
        <f t="shared" si="320"/>
        <v>0</v>
      </c>
      <c r="GD633" s="1826"/>
      <c r="GE633" s="1826"/>
      <c r="GF633" s="1827"/>
      <c r="GH633" s="1750">
        <f t="shared" si="300"/>
        <v>0</v>
      </c>
      <c r="GI633" s="1751"/>
      <c r="GJ633" s="1751"/>
      <c r="GK633" s="1752"/>
      <c r="GL633" s="1750">
        <f t="shared" si="301"/>
        <v>0</v>
      </c>
      <c r="GM633" s="1751"/>
      <c r="GN633" s="1751"/>
      <c r="GO633" s="1752"/>
      <c r="GP633" s="385"/>
      <c r="GQ633" s="1750">
        <f t="shared" si="337"/>
        <v>0</v>
      </c>
      <c r="GR633" s="1751"/>
      <c r="GS633" s="1751"/>
      <c r="GT633" s="1752"/>
      <c r="GU633" s="192">
        <f t="shared" si="307"/>
        <v>1</v>
      </c>
      <c r="GV633" s="192">
        <f>SUM($GU$337:GU633)</f>
        <v>289</v>
      </c>
      <c r="GW633" s="318"/>
      <c r="HT633" s="380">
        <f t="shared" si="333"/>
        <v>0</v>
      </c>
      <c r="HX633" s="380"/>
    </row>
    <row r="634" spans="4:232">
      <c r="D634" s="409"/>
      <c r="E634" s="318"/>
      <c r="F634" s="1568"/>
      <c r="G634" s="1568"/>
      <c r="H634" s="1568"/>
      <c r="I634" s="1568"/>
      <c r="J634" s="1568"/>
      <c r="K634" s="1568"/>
      <c r="L634" s="1568"/>
      <c r="M634" s="1568"/>
      <c r="N634" s="1568"/>
      <c r="O634" s="1568"/>
      <c r="P634" s="1568"/>
      <c r="Q634" s="1568"/>
      <c r="R634" s="1568"/>
      <c r="S634" s="1568"/>
      <c r="T634" s="1568"/>
      <c r="U634" s="247"/>
      <c r="V634" s="1568"/>
      <c r="W634" s="1568"/>
      <c r="X634" s="1568"/>
      <c r="Y634" s="523"/>
      <c r="BD634" s="387">
        <f t="shared" si="330"/>
        <v>24</v>
      </c>
      <c r="BE634" s="382">
        <f>IF(BD634&gt;0,297,0)</f>
        <v>297</v>
      </c>
      <c r="BG634" s="383">
        <f>IF($BE634&gt;$R$66-3+($BR$335*12),297,0)</f>
        <v>297</v>
      </c>
      <c r="BH634" s="1754">
        <f t="shared" si="331"/>
        <v>0</v>
      </c>
      <c r="BI634" s="1754"/>
      <c r="BJ634" s="1754"/>
      <c r="BK634" s="1754"/>
      <c r="BL634" s="1754">
        <f t="shared" si="293"/>
        <v>0</v>
      </c>
      <c r="BM634" s="1754"/>
      <c r="BN634" s="1754"/>
      <c r="BO634" s="1754">
        <f t="shared" si="285"/>
        <v>0</v>
      </c>
      <c r="BP634" s="1754"/>
      <c r="BQ634" s="1754"/>
      <c r="BR634" s="1754">
        <f t="shared" si="332"/>
        <v>0</v>
      </c>
      <c r="BS634" s="1754"/>
      <c r="BT634" s="1754"/>
      <c r="BU634" s="1754"/>
      <c r="BW634" s="383">
        <f>IF($BE634&gt;$R$66-3+($CH$335*12),297,0)</f>
        <v>297</v>
      </c>
      <c r="BX634" s="1754">
        <f t="shared" si="273"/>
        <v>0</v>
      </c>
      <c r="BY634" s="1754"/>
      <c r="BZ634" s="1754"/>
      <c r="CA634" s="1754"/>
      <c r="CB634" s="1754">
        <f t="shared" si="294"/>
        <v>0</v>
      </c>
      <c r="CC634" s="1754"/>
      <c r="CD634" s="1754"/>
      <c r="CE634" s="1754">
        <f t="shared" si="286"/>
        <v>0</v>
      </c>
      <c r="CF634" s="1754"/>
      <c r="CG634" s="1754"/>
      <c r="CH634" s="1754">
        <f t="shared" si="287"/>
        <v>0</v>
      </c>
      <c r="CI634" s="1754"/>
      <c r="CJ634" s="1754"/>
      <c r="CK634" s="1754"/>
      <c r="CM634" s="383">
        <f>IF($BE634&gt;$R$66-3+($CX$335*12),297,0)</f>
        <v>297</v>
      </c>
      <c r="CN634" s="1754">
        <f t="shared" si="274"/>
        <v>0</v>
      </c>
      <c r="CO634" s="1754"/>
      <c r="CP634" s="1754"/>
      <c r="CQ634" s="1754"/>
      <c r="CR634" s="1754">
        <f t="shared" si="295"/>
        <v>0</v>
      </c>
      <c r="CS634" s="1754"/>
      <c r="CT634" s="1754"/>
      <c r="CU634" s="1754">
        <f t="shared" si="288"/>
        <v>0</v>
      </c>
      <c r="CV634" s="1754"/>
      <c r="CW634" s="1754"/>
      <c r="CX634" s="1754">
        <f t="shared" si="289"/>
        <v>0</v>
      </c>
      <c r="CY634" s="1754"/>
      <c r="CZ634" s="1754"/>
      <c r="DA634" s="1754"/>
      <c r="DC634" s="383">
        <f>IF($BE634&gt;$R$66-3,297,0)</f>
        <v>297</v>
      </c>
      <c r="DD634" s="1754">
        <f t="shared" si="275"/>
        <v>0</v>
      </c>
      <c r="DE634" s="1754"/>
      <c r="DF634" s="1754"/>
      <c r="DG634" s="1754"/>
      <c r="DH634" s="1754">
        <f t="shared" si="296"/>
        <v>0</v>
      </c>
      <c r="DI634" s="1754"/>
      <c r="DJ634" s="1754"/>
      <c r="DK634" s="1754">
        <f t="shared" si="325"/>
        <v>0</v>
      </c>
      <c r="DL634" s="1754"/>
      <c r="DM634" s="1754"/>
      <c r="DN634" s="1754"/>
      <c r="DP634" s="383">
        <f t="shared" si="297"/>
        <v>297</v>
      </c>
      <c r="DQ634" s="1754">
        <f t="shared" si="305"/>
        <v>0</v>
      </c>
      <c r="DR634" s="1754"/>
      <c r="DS634" s="1754"/>
      <c r="DT634" s="1754"/>
      <c r="DU634" s="1754">
        <f t="shared" si="306"/>
        <v>0</v>
      </c>
      <c r="DV634" s="1754"/>
      <c r="DW634" s="1754"/>
      <c r="DX634" s="1754">
        <f t="shared" si="317"/>
        <v>0</v>
      </c>
      <c r="DY634" s="1754"/>
      <c r="DZ634" s="1754"/>
      <c r="EA634" s="1754">
        <f t="shared" si="318"/>
        <v>0</v>
      </c>
      <c r="EB634" s="1754"/>
      <c r="EC634" s="1754"/>
      <c r="ED634" s="1754"/>
      <c r="EE634" s="384"/>
      <c r="EF634" s="1750">
        <f t="shared" si="290"/>
        <v>0</v>
      </c>
      <c r="EG634" s="1751"/>
      <c r="EH634" s="1751"/>
      <c r="EI634" s="1751"/>
      <c r="EJ634" s="1752"/>
      <c r="EL634" s="1750">
        <f t="shared" si="319"/>
        <v>0</v>
      </c>
      <c r="EM634" s="1751"/>
      <c r="EN634" s="1751"/>
      <c r="EO634" s="1751"/>
      <c r="EP634" s="1752"/>
      <c r="ER634" s="1750">
        <f t="shared" si="291"/>
        <v>0</v>
      </c>
      <c r="ES634" s="1751"/>
      <c r="ET634" s="1751"/>
      <c r="EU634" s="1751"/>
      <c r="EV634" s="1752"/>
      <c r="EX634" s="1750">
        <f>IF(BE634&gt;0,Einstrahlung!$K$26*Kalkulation!$P$62/100*$AY$29*POWER((100-$P$64)/100,BD634-1),0)</f>
        <v>0</v>
      </c>
      <c r="EY634" s="1751"/>
      <c r="EZ634" s="1751"/>
      <c r="FA634" s="1751"/>
      <c r="FB634" s="1752"/>
      <c r="FD634" s="1804">
        <f t="shared" si="280"/>
        <v>0</v>
      </c>
      <c r="FE634" s="1805"/>
      <c r="FF634" s="1805"/>
      <c r="FG634" s="1805"/>
      <c r="FH634" s="1806"/>
      <c r="FI634" s="785">
        <f t="shared" si="334"/>
        <v>1</v>
      </c>
      <c r="FJ634" s="380">
        <f t="shared" si="304"/>
        <v>0</v>
      </c>
      <c r="FK634" s="385"/>
      <c r="FL634" s="380">
        <f t="shared" si="335"/>
        <v>0</v>
      </c>
      <c r="FM634" s="385"/>
      <c r="FN634" s="380">
        <f t="shared" si="298"/>
        <v>0</v>
      </c>
      <c r="FO634" s="962">
        <f t="shared" si="302"/>
        <v>426</v>
      </c>
      <c r="FP634" s="956">
        <f t="shared" si="292"/>
        <v>0.4</v>
      </c>
      <c r="FQ634" s="380">
        <f t="shared" si="311"/>
        <v>0</v>
      </c>
      <c r="FR634" s="626">
        <f t="shared" si="336"/>
        <v>1</v>
      </c>
      <c r="FT634" s="1819">
        <f t="shared" si="303"/>
        <v>0</v>
      </c>
      <c r="FU634" s="1820"/>
      <c r="FV634" s="1820"/>
      <c r="FW634" s="1820"/>
      <c r="FX634" s="1821"/>
      <c r="FY634" s="1819">
        <f t="shared" si="299"/>
        <v>0</v>
      </c>
      <c r="FZ634" s="1820"/>
      <c r="GA634" s="1820"/>
      <c r="GB634" s="1821"/>
      <c r="GC634" s="1825">
        <f t="shared" si="320"/>
        <v>0</v>
      </c>
      <c r="GD634" s="1826"/>
      <c r="GE634" s="1826"/>
      <c r="GF634" s="1827"/>
      <c r="GH634" s="1750">
        <f t="shared" si="300"/>
        <v>0</v>
      </c>
      <c r="GI634" s="1751"/>
      <c r="GJ634" s="1751"/>
      <c r="GK634" s="1752"/>
      <c r="GL634" s="1750">
        <f t="shared" si="301"/>
        <v>0</v>
      </c>
      <c r="GM634" s="1751"/>
      <c r="GN634" s="1751"/>
      <c r="GO634" s="1752"/>
      <c r="GP634" s="385"/>
      <c r="GQ634" s="1750">
        <f t="shared" si="337"/>
        <v>0</v>
      </c>
      <c r="GR634" s="1751"/>
      <c r="GS634" s="1751"/>
      <c r="GT634" s="1752"/>
      <c r="GU634" s="192">
        <f t="shared" si="307"/>
        <v>1</v>
      </c>
      <c r="GV634" s="192">
        <f>SUM($GU$337:GU634)</f>
        <v>290</v>
      </c>
      <c r="GW634" s="318"/>
      <c r="HT634" s="380">
        <f t="shared" si="333"/>
        <v>0</v>
      </c>
      <c r="HX634" s="380"/>
    </row>
    <row r="635" spans="4:232">
      <c r="D635" s="409">
        <v>14</v>
      </c>
      <c r="E635" s="318"/>
      <c r="F635" s="1568">
        <f>AH273</f>
        <v>0</v>
      </c>
      <c r="G635" s="1568"/>
      <c r="H635" s="1568"/>
      <c r="I635" s="1568"/>
      <c r="J635" s="1568"/>
      <c r="K635" s="1568"/>
      <c r="L635" s="1568"/>
      <c r="M635" s="1568"/>
      <c r="N635" s="1568"/>
      <c r="O635" s="1568"/>
      <c r="P635" s="1568"/>
      <c r="Q635" s="1568"/>
      <c r="R635" s="1568"/>
      <c r="S635" s="1568"/>
      <c r="T635" s="1568"/>
      <c r="U635" s="247"/>
      <c r="V635" s="1568"/>
      <c r="W635" s="1568"/>
      <c r="X635" s="1568"/>
      <c r="Y635" s="523"/>
      <c r="AP635" s="458"/>
      <c r="AQ635" s="458"/>
      <c r="AR635" s="458"/>
      <c r="AS635" s="458"/>
      <c r="AT635" s="458"/>
      <c r="BD635" s="387">
        <f t="shared" si="330"/>
        <v>24</v>
      </c>
      <c r="BE635" s="382">
        <f>IF(BD635&gt;0,298,0)</f>
        <v>298</v>
      </c>
      <c r="BG635" s="383">
        <f>IF($BE635&gt;$R$66-3+($BR$335*12),298,0)</f>
        <v>298</v>
      </c>
      <c r="BH635" s="1754">
        <f t="shared" si="331"/>
        <v>0</v>
      </c>
      <c r="BI635" s="1754"/>
      <c r="BJ635" s="1754"/>
      <c r="BK635" s="1754"/>
      <c r="BL635" s="1754">
        <f t="shared" si="293"/>
        <v>0</v>
      </c>
      <c r="BM635" s="1754"/>
      <c r="BN635" s="1754"/>
      <c r="BO635" s="1754">
        <f t="shared" si="285"/>
        <v>0</v>
      </c>
      <c r="BP635" s="1754"/>
      <c r="BQ635" s="1754"/>
      <c r="BR635" s="1754">
        <f t="shared" si="332"/>
        <v>0</v>
      </c>
      <c r="BS635" s="1754"/>
      <c r="BT635" s="1754"/>
      <c r="BU635" s="1754"/>
      <c r="BW635" s="383">
        <f>IF($BE635&gt;$R$66-3+($CH$335*12),298,0)</f>
        <v>298</v>
      </c>
      <c r="BX635" s="1754">
        <f t="shared" si="273"/>
        <v>0</v>
      </c>
      <c r="BY635" s="1754"/>
      <c r="BZ635" s="1754"/>
      <c r="CA635" s="1754"/>
      <c r="CB635" s="1754">
        <f t="shared" si="294"/>
        <v>0</v>
      </c>
      <c r="CC635" s="1754"/>
      <c r="CD635" s="1754"/>
      <c r="CE635" s="1754">
        <f t="shared" si="286"/>
        <v>0</v>
      </c>
      <c r="CF635" s="1754"/>
      <c r="CG635" s="1754"/>
      <c r="CH635" s="1754">
        <f t="shared" si="287"/>
        <v>0</v>
      </c>
      <c r="CI635" s="1754"/>
      <c r="CJ635" s="1754"/>
      <c r="CK635" s="1754"/>
      <c r="CM635" s="383">
        <f>IF($BE635&gt;$R$66-3+($CX$335*12),298,0)</f>
        <v>298</v>
      </c>
      <c r="CN635" s="1754">
        <f t="shared" si="274"/>
        <v>0</v>
      </c>
      <c r="CO635" s="1754"/>
      <c r="CP635" s="1754"/>
      <c r="CQ635" s="1754"/>
      <c r="CR635" s="1754">
        <f t="shared" si="295"/>
        <v>0</v>
      </c>
      <c r="CS635" s="1754"/>
      <c r="CT635" s="1754"/>
      <c r="CU635" s="1754">
        <f t="shared" si="288"/>
        <v>0</v>
      </c>
      <c r="CV635" s="1754"/>
      <c r="CW635" s="1754"/>
      <c r="CX635" s="1754">
        <f t="shared" si="289"/>
        <v>0</v>
      </c>
      <c r="CY635" s="1754"/>
      <c r="CZ635" s="1754"/>
      <c r="DA635" s="1754"/>
      <c r="DC635" s="383">
        <f>IF($BE635&gt;$R$66-3,298,0)</f>
        <v>298</v>
      </c>
      <c r="DD635" s="1754">
        <f t="shared" si="275"/>
        <v>0</v>
      </c>
      <c r="DE635" s="1754"/>
      <c r="DF635" s="1754"/>
      <c r="DG635" s="1754"/>
      <c r="DH635" s="1754">
        <f t="shared" si="296"/>
        <v>0</v>
      </c>
      <c r="DI635" s="1754"/>
      <c r="DJ635" s="1754"/>
      <c r="DK635" s="1754">
        <f t="shared" si="325"/>
        <v>0</v>
      </c>
      <c r="DL635" s="1754"/>
      <c r="DM635" s="1754"/>
      <c r="DN635" s="1754"/>
      <c r="DP635" s="383">
        <f t="shared" si="297"/>
        <v>298</v>
      </c>
      <c r="DQ635" s="1754">
        <f t="shared" si="305"/>
        <v>0</v>
      </c>
      <c r="DR635" s="1754"/>
      <c r="DS635" s="1754"/>
      <c r="DT635" s="1754"/>
      <c r="DU635" s="1754">
        <f t="shared" si="306"/>
        <v>0</v>
      </c>
      <c r="DV635" s="1754"/>
      <c r="DW635" s="1754"/>
      <c r="DX635" s="1754">
        <f t="shared" si="317"/>
        <v>0</v>
      </c>
      <c r="DY635" s="1754"/>
      <c r="DZ635" s="1754"/>
      <c r="EA635" s="1754">
        <f t="shared" si="318"/>
        <v>0</v>
      </c>
      <c r="EB635" s="1754"/>
      <c r="EC635" s="1754"/>
      <c r="ED635" s="1754"/>
      <c r="EE635" s="384"/>
      <c r="EF635" s="1750">
        <f t="shared" si="290"/>
        <v>0</v>
      </c>
      <c r="EG635" s="1751"/>
      <c r="EH635" s="1751"/>
      <c r="EI635" s="1751"/>
      <c r="EJ635" s="1752"/>
      <c r="EL635" s="1750">
        <f t="shared" si="319"/>
        <v>0</v>
      </c>
      <c r="EM635" s="1751"/>
      <c r="EN635" s="1751"/>
      <c r="EO635" s="1751"/>
      <c r="EP635" s="1752"/>
      <c r="ER635" s="1750">
        <f t="shared" si="291"/>
        <v>0</v>
      </c>
      <c r="ES635" s="1751"/>
      <c r="ET635" s="1751"/>
      <c r="EU635" s="1751"/>
      <c r="EV635" s="1752"/>
      <c r="EX635" s="1750">
        <f>IF(BE635&gt;0,Einstrahlung!$K$28*Kalkulation!$P$62/100*$AY$29*POWER((100-$P$64)/100,BD635-1),0)</f>
        <v>0</v>
      </c>
      <c r="EY635" s="1751"/>
      <c r="EZ635" s="1751"/>
      <c r="FA635" s="1751"/>
      <c r="FB635" s="1752"/>
      <c r="FD635" s="1804">
        <f t="shared" si="280"/>
        <v>0</v>
      </c>
      <c r="FE635" s="1805"/>
      <c r="FF635" s="1805"/>
      <c r="FG635" s="1805"/>
      <c r="FH635" s="1806"/>
      <c r="FI635" s="785">
        <f t="shared" si="334"/>
        <v>1</v>
      </c>
      <c r="FJ635" s="380">
        <f t="shared" si="304"/>
        <v>0</v>
      </c>
      <c r="FK635" s="385"/>
      <c r="FL635" s="380">
        <f t="shared" si="335"/>
        <v>0</v>
      </c>
      <c r="FM635" s="385"/>
      <c r="FN635" s="380">
        <f t="shared" si="298"/>
        <v>0</v>
      </c>
      <c r="FO635" s="962">
        <f t="shared" si="302"/>
        <v>427</v>
      </c>
      <c r="FP635" s="956">
        <f t="shared" si="292"/>
        <v>0.4</v>
      </c>
      <c r="FQ635" s="380">
        <f t="shared" si="311"/>
        <v>0</v>
      </c>
      <c r="FR635" s="626">
        <f t="shared" si="336"/>
        <v>1</v>
      </c>
      <c r="FT635" s="1819">
        <f t="shared" si="303"/>
        <v>0</v>
      </c>
      <c r="FU635" s="1820"/>
      <c r="FV635" s="1820"/>
      <c r="FW635" s="1820"/>
      <c r="FX635" s="1821"/>
      <c r="FY635" s="1819">
        <f t="shared" si="299"/>
        <v>0</v>
      </c>
      <c r="FZ635" s="1820"/>
      <c r="GA635" s="1820"/>
      <c r="GB635" s="1821"/>
      <c r="GC635" s="1825">
        <f t="shared" si="320"/>
        <v>0</v>
      </c>
      <c r="GD635" s="1826"/>
      <c r="GE635" s="1826"/>
      <c r="GF635" s="1827"/>
      <c r="GH635" s="1750">
        <f t="shared" si="300"/>
        <v>0</v>
      </c>
      <c r="GI635" s="1751"/>
      <c r="GJ635" s="1751"/>
      <c r="GK635" s="1752"/>
      <c r="GL635" s="1750">
        <f t="shared" si="301"/>
        <v>0</v>
      </c>
      <c r="GM635" s="1751"/>
      <c r="GN635" s="1751"/>
      <c r="GO635" s="1752"/>
      <c r="GP635" s="385"/>
      <c r="GQ635" s="1750">
        <f t="shared" si="337"/>
        <v>0</v>
      </c>
      <c r="GR635" s="1751"/>
      <c r="GS635" s="1751"/>
      <c r="GT635" s="1752"/>
      <c r="GU635" s="192">
        <f t="shared" si="307"/>
        <v>1</v>
      </c>
      <c r="GV635" s="192">
        <f>SUM($GU$337:GU635)</f>
        <v>291</v>
      </c>
      <c r="GW635" s="318"/>
      <c r="HT635" s="380">
        <f t="shared" si="333"/>
        <v>0</v>
      </c>
      <c r="HX635" s="380"/>
    </row>
    <row r="636" spans="4:232">
      <c r="D636" s="409"/>
      <c r="E636" s="318"/>
      <c r="F636" s="1568"/>
      <c r="G636" s="1568"/>
      <c r="H636" s="1568"/>
      <c r="I636" s="1568">
        <f>F635</f>
        <v>0</v>
      </c>
      <c r="J636" s="1568"/>
      <c r="K636" s="1568"/>
      <c r="L636" s="1568"/>
      <c r="M636" s="1568"/>
      <c r="N636" s="1568"/>
      <c r="O636" s="1568"/>
      <c r="P636" s="1568"/>
      <c r="Q636" s="1568"/>
      <c r="R636" s="1568"/>
      <c r="S636" s="1568"/>
      <c r="T636" s="1568"/>
      <c r="U636" s="247"/>
      <c r="V636" s="1568"/>
      <c r="W636" s="1568"/>
      <c r="X636" s="1568"/>
      <c r="Y636" s="523"/>
      <c r="AU636"/>
      <c r="BD636" s="387">
        <f t="shared" si="330"/>
        <v>24</v>
      </c>
      <c r="BE636" s="382">
        <f>IF(BD636&gt;0,299,0)</f>
        <v>299</v>
      </c>
      <c r="BG636" s="383">
        <f>IF($BE636&gt;$R$66-3+($BR$335*12),299,0)</f>
        <v>299</v>
      </c>
      <c r="BH636" s="1754">
        <f t="shared" si="331"/>
        <v>0</v>
      </c>
      <c r="BI636" s="1754"/>
      <c r="BJ636" s="1754"/>
      <c r="BK636" s="1754"/>
      <c r="BL636" s="1754">
        <f t="shared" si="293"/>
        <v>0</v>
      </c>
      <c r="BM636" s="1754"/>
      <c r="BN636" s="1754"/>
      <c r="BO636" s="1754">
        <f t="shared" si="285"/>
        <v>0</v>
      </c>
      <c r="BP636" s="1754"/>
      <c r="BQ636" s="1754"/>
      <c r="BR636" s="1754">
        <f t="shared" si="332"/>
        <v>0</v>
      </c>
      <c r="BS636" s="1754"/>
      <c r="BT636" s="1754"/>
      <c r="BU636" s="1754"/>
      <c r="BW636" s="383">
        <f>IF($BE636&gt;$R$66-3+($CH$335*12),299,0)</f>
        <v>299</v>
      </c>
      <c r="BX636" s="1754">
        <f t="shared" si="273"/>
        <v>0</v>
      </c>
      <c r="BY636" s="1754"/>
      <c r="BZ636" s="1754"/>
      <c r="CA636" s="1754"/>
      <c r="CB636" s="1754">
        <f t="shared" si="294"/>
        <v>0</v>
      </c>
      <c r="CC636" s="1754"/>
      <c r="CD636" s="1754"/>
      <c r="CE636" s="1754">
        <f t="shared" si="286"/>
        <v>0</v>
      </c>
      <c r="CF636" s="1754"/>
      <c r="CG636" s="1754"/>
      <c r="CH636" s="1754">
        <f t="shared" si="287"/>
        <v>0</v>
      </c>
      <c r="CI636" s="1754"/>
      <c r="CJ636" s="1754"/>
      <c r="CK636" s="1754"/>
      <c r="CM636" s="383">
        <f>IF($BE636&gt;$R$66-3+($CX$335*12),299,0)</f>
        <v>299</v>
      </c>
      <c r="CN636" s="1754">
        <f t="shared" si="274"/>
        <v>0</v>
      </c>
      <c r="CO636" s="1754"/>
      <c r="CP636" s="1754"/>
      <c r="CQ636" s="1754"/>
      <c r="CR636" s="1754">
        <f t="shared" si="295"/>
        <v>0</v>
      </c>
      <c r="CS636" s="1754"/>
      <c r="CT636" s="1754"/>
      <c r="CU636" s="1754">
        <f t="shared" si="288"/>
        <v>0</v>
      </c>
      <c r="CV636" s="1754"/>
      <c r="CW636" s="1754"/>
      <c r="CX636" s="1754">
        <f t="shared" si="289"/>
        <v>0</v>
      </c>
      <c r="CY636" s="1754"/>
      <c r="CZ636" s="1754"/>
      <c r="DA636" s="1754"/>
      <c r="DC636" s="383">
        <f>IF($BE636&gt;$R$66-3,299,0)</f>
        <v>299</v>
      </c>
      <c r="DD636" s="1754">
        <f t="shared" si="275"/>
        <v>0</v>
      </c>
      <c r="DE636" s="1754"/>
      <c r="DF636" s="1754"/>
      <c r="DG636" s="1754"/>
      <c r="DH636" s="1754">
        <f t="shared" si="296"/>
        <v>0</v>
      </c>
      <c r="DI636" s="1754"/>
      <c r="DJ636" s="1754"/>
      <c r="DK636" s="1754">
        <f t="shared" si="325"/>
        <v>0</v>
      </c>
      <c r="DL636" s="1754"/>
      <c r="DM636" s="1754"/>
      <c r="DN636" s="1754"/>
      <c r="DP636" s="383">
        <f t="shared" si="297"/>
        <v>299</v>
      </c>
      <c r="DQ636" s="1754">
        <f t="shared" si="305"/>
        <v>0</v>
      </c>
      <c r="DR636" s="1754"/>
      <c r="DS636" s="1754"/>
      <c r="DT636" s="1754"/>
      <c r="DU636" s="1754">
        <f t="shared" si="306"/>
        <v>0</v>
      </c>
      <c r="DV636" s="1754"/>
      <c r="DW636" s="1754"/>
      <c r="DX636" s="1754">
        <f t="shared" si="317"/>
        <v>0</v>
      </c>
      <c r="DY636" s="1754"/>
      <c r="DZ636" s="1754"/>
      <c r="EA636" s="1754">
        <f t="shared" si="318"/>
        <v>0</v>
      </c>
      <c r="EB636" s="1754"/>
      <c r="EC636" s="1754"/>
      <c r="ED636" s="1754"/>
      <c r="EE636" s="384"/>
      <c r="EF636" s="1750">
        <f t="shared" si="290"/>
        <v>0</v>
      </c>
      <c r="EG636" s="1751"/>
      <c r="EH636" s="1751"/>
      <c r="EI636" s="1751"/>
      <c r="EJ636" s="1752"/>
      <c r="EL636" s="1750">
        <f t="shared" si="319"/>
        <v>0</v>
      </c>
      <c r="EM636" s="1751"/>
      <c r="EN636" s="1751"/>
      <c r="EO636" s="1751"/>
      <c r="EP636" s="1752"/>
      <c r="ER636" s="1750">
        <f t="shared" si="291"/>
        <v>0</v>
      </c>
      <c r="ES636" s="1751"/>
      <c r="ET636" s="1751"/>
      <c r="EU636" s="1751"/>
      <c r="EV636" s="1752"/>
      <c r="EX636" s="1750">
        <f>IF(BE636&gt;0,Einstrahlung!$K$30*Kalkulation!$P$62/100*$AY$29*POWER((100-$P$64)/100,BD636-1),0)</f>
        <v>0</v>
      </c>
      <c r="EY636" s="1751"/>
      <c r="EZ636" s="1751"/>
      <c r="FA636" s="1751"/>
      <c r="FB636" s="1752"/>
      <c r="FD636" s="1804">
        <f t="shared" si="280"/>
        <v>0</v>
      </c>
      <c r="FE636" s="1805"/>
      <c r="FF636" s="1805"/>
      <c r="FG636" s="1805"/>
      <c r="FH636" s="1806"/>
      <c r="FI636" s="785">
        <f t="shared" si="334"/>
        <v>1</v>
      </c>
      <c r="FJ636" s="380">
        <f t="shared" si="304"/>
        <v>0</v>
      </c>
      <c r="FK636" s="385"/>
      <c r="FL636" s="380">
        <f t="shared" si="335"/>
        <v>0</v>
      </c>
      <c r="FM636" s="385"/>
      <c r="FN636" s="380">
        <f t="shared" si="298"/>
        <v>0</v>
      </c>
      <c r="FO636" s="962">
        <f t="shared" si="302"/>
        <v>428</v>
      </c>
      <c r="FP636" s="956">
        <f t="shared" si="292"/>
        <v>0.4</v>
      </c>
      <c r="FQ636" s="380">
        <f t="shared" si="311"/>
        <v>0</v>
      </c>
      <c r="FR636" s="626">
        <f t="shared" si="336"/>
        <v>1</v>
      </c>
      <c r="FT636" s="1819">
        <f t="shared" si="303"/>
        <v>0</v>
      </c>
      <c r="FU636" s="1820"/>
      <c r="FV636" s="1820"/>
      <c r="FW636" s="1820"/>
      <c r="FX636" s="1821"/>
      <c r="FY636" s="1819">
        <f t="shared" si="299"/>
        <v>0</v>
      </c>
      <c r="FZ636" s="1820"/>
      <c r="GA636" s="1820"/>
      <c r="GB636" s="1821"/>
      <c r="GC636" s="1825">
        <f t="shared" si="320"/>
        <v>0</v>
      </c>
      <c r="GD636" s="1826"/>
      <c r="GE636" s="1826"/>
      <c r="GF636" s="1827"/>
      <c r="GH636" s="1750">
        <f t="shared" si="300"/>
        <v>0</v>
      </c>
      <c r="GI636" s="1751"/>
      <c r="GJ636" s="1751"/>
      <c r="GK636" s="1752"/>
      <c r="GL636" s="1750">
        <f t="shared" si="301"/>
        <v>0</v>
      </c>
      <c r="GM636" s="1751"/>
      <c r="GN636" s="1751"/>
      <c r="GO636" s="1752"/>
      <c r="GP636" s="385"/>
      <c r="GQ636" s="1750">
        <f t="shared" si="337"/>
        <v>0</v>
      </c>
      <c r="GR636" s="1751"/>
      <c r="GS636" s="1751"/>
      <c r="GT636" s="1752"/>
      <c r="GU636" s="192">
        <f t="shared" si="307"/>
        <v>1</v>
      </c>
      <c r="GV636" s="192">
        <f>SUM($GU$337:GU636)</f>
        <v>292</v>
      </c>
      <c r="GW636" s="318"/>
      <c r="HT636" s="380">
        <f t="shared" si="333"/>
        <v>0</v>
      </c>
      <c r="HX636" s="380"/>
    </row>
    <row r="637" spans="4:232" ht="13.5" thickBot="1">
      <c r="D637" s="409"/>
      <c r="E637" s="318"/>
      <c r="F637" s="1568"/>
      <c r="G637" s="1568"/>
      <c r="H637" s="1568"/>
      <c r="I637" s="1568"/>
      <c r="J637" s="1568"/>
      <c r="K637" s="1568"/>
      <c r="L637" s="1568">
        <f>F635</f>
        <v>0</v>
      </c>
      <c r="M637" s="1568"/>
      <c r="N637" s="1568"/>
      <c r="O637" s="1568"/>
      <c r="P637" s="1568"/>
      <c r="Q637" s="1568"/>
      <c r="R637" s="1568"/>
      <c r="S637" s="1568"/>
      <c r="T637" s="1568"/>
      <c r="U637" s="247"/>
      <c r="V637" s="1568"/>
      <c r="W637" s="1568"/>
      <c r="X637" s="1568"/>
      <c r="Y637" s="523"/>
      <c r="AP637" s="458"/>
      <c r="AQ637" s="458"/>
      <c r="AR637" s="458"/>
      <c r="AS637" s="458"/>
      <c r="AT637" s="458"/>
      <c r="BD637" s="389">
        <f t="shared" si="330"/>
        <v>24</v>
      </c>
      <c r="BE637" s="390">
        <f>IF(BD637&gt;0,300,0)</f>
        <v>300</v>
      </c>
      <c r="BG637" s="391">
        <f>IF($BE637&gt;$R$66-3+($BR$335*12),300,0)</f>
        <v>300</v>
      </c>
      <c r="BH637" s="1753">
        <f t="shared" si="331"/>
        <v>0</v>
      </c>
      <c r="BI637" s="1753"/>
      <c r="BJ637" s="1753"/>
      <c r="BK637" s="1753"/>
      <c r="BL637" s="1753">
        <f t="shared" si="293"/>
        <v>0</v>
      </c>
      <c r="BM637" s="1753"/>
      <c r="BN637" s="1753"/>
      <c r="BO637" s="1753">
        <f t="shared" si="285"/>
        <v>0</v>
      </c>
      <c r="BP637" s="1753"/>
      <c r="BQ637" s="1753"/>
      <c r="BR637" s="1753">
        <f t="shared" si="332"/>
        <v>0</v>
      </c>
      <c r="BS637" s="1753"/>
      <c r="BT637" s="1753"/>
      <c r="BU637" s="1753"/>
      <c r="BW637" s="391">
        <f>IF($BE637&gt;$R$66-3+($CH$335*12),300,0)</f>
        <v>300</v>
      </c>
      <c r="BX637" s="1753">
        <f t="shared" si="273"/>
        <v>0</v>
      </c>
      <c r="BY637" s="1753"/>
      <c r="BZ637" s="1753"/>
      <c r="CA637" s="1753"/>
      <c r="CB637" s="1753">
        <f t="shared" si="294"/>
        <v>0</v>
      </c>
      <c r="CC637" s="1753"/>
      <c r="CD637" s="1753"/>
      <c r="CE637" s="1753">
        <f t="shared" si="286"/>
        <v>0</v>
      </c>
      <c r="CF637" s="1753"/>
      <c r="CG637" s="1753"/>
      <c r="CH637" s="1753">
        <f t="shared" si="287"/>
        <v>0</v>
      </c>
      <c r="CI637" s="1753"/>
      <c r="CJ637" s="1753"/>
      <c r="CK637" s="1753"/>
      <c r="CM637" s="391">
        <f>IF($BE637&gt;$R$66-3+($CX$335*12),300,0)</f>
        <v>300</v>
      </c>
      <c r="CN637" s="1753">
        <f t="shared" si="274"/>
        <v>0</v>
      </c>
      <c r="CO637" s="1753"/>
      <c r="CP637" s="1753"/>
      <c r="CQ637" s="1753"/>
      <c r="CR637" s="1753">
        <f t="shared" si="295"/>
        <v>0</v>
      </c>
      <c r="CS637" s="1753"/>
      <c r="CT637" s="1753"/>
      <c r="CU637" s="1753">
        <f t="shared" si="288"/>
        <v>0</v>
      </c>
      <c r="CV637" s="1753"/>
      <c r="CW637" s="1753"/>
      <c r="CX637" s="1753">
        <f t="shared" si="289"/>
        <v>0</v>
      </c>
      <c r="CY637" s="1753"/>
      <c r="CZ637" s="1753"/>
      <c r="DA637" s="1753"/>
      <c r="DC637" s="391">
        <f>IF($BE637&gt;$R$66-3,300,0)</f>
        <v>300</v>
      </c>
      <c r="DD637" s="1753">
        <f t="shared" si="275"/>
        <v>0</v>
      </c>
      <c r="DE637" s="1753"/>
      <c r="DF637" s="1753"/>
      <c r="DG637" s="1753"/>
      <c r="DH637" s="1753">
        <f t="shared" si="296"/>
        <v>0</v>
      </c>
      <c r="DI637" s="1753"/>
      <c r="DJ637" s="1753"/>
      <c r="DK637" s="1753">
        <f t="shared" si="325"/>
        <v>0</v>
      </c>
      <c r="DL637" s="1753"/>
      <c r="DM637" s="1753"/>
      <c r="DN637" s="1753"/>
      <c r="DP637" s="391">
        <f t="shared" si="297"/>
        <v>300</v>
      </c>
      <c r="DQ637" s="1753">
        <f t="shared" si="305"/>
        <v>0</v>
      </c>
      <c r="DR637" s="1753"/>
      <c r="DS637" s="1753"/>
      <c r="DT637" s="1753"/>
      <c r="DU637" s="1753">
        <f t="shared" si="306"/>
        <v>0</v>
      </c>
      <c r="DV637" s="1753"/>
      <c r="DW637" s="1753"/>
      <c r="DX637" s="1753">
        <f t="shared" si="317"/>
        <v>0</v>
      </c>
      <c r="DY637" s="1753"/>
      <c r="DZ637" s="1753"/>
      <c r="EA637" s="1753">
        <f t="shared" si="318"/>
        <v>0</v>
      </c>
      <c r="EB637" s="1753"/>
      <c r="EC637" s="1753"/>
      <c r="ED637" s="1753"/>
      <c r="EE637" s="384"/>
      <c r="EF637" s="1744">
        <f t="shared" si="290"/>
        <v>0</v>
      </c>
      <c r="EG637" s="1745"/>
      <c r="EH637" s="1745"/>
      <c r="EI637" s="1745"/>
      <c r="EJ637" s="1746"/>
      <c r="EL637" s="1744">
        <f t="shared" si="319"/>
        <v>0</v>
      </c>
      <c r="EM637" s="1745"/>
      <c r="EN637" s="1745"/>
      <c r="EO637" s="1745"/>
      <c r="EP637" s="1746"/>
      <c r="ER637" s="1744">
        <f t="shared" si="291"/>
        <v>0</v>
      </c>
      <c r="ES637" s="1745"/>
      <c r="ET637" s="1745"/>
      <c r="EU637" s="1745"/>
      <c r="EV637" s="1746"/>
      <c r="EX637" s="1744">
        <f>IF(BE637&gt;0,Einstrahlung!$K$32*Kalkulation!$P$62/100*$AY$29*POWER((100-$P$64)/100,BD637-1),0)</f>
        <v>0</v>
      </c>
      <c r="EY637" s="1745"/>
      <c r="EZ637" s="1745"/>
      <c r="FA637" s="1745"/>
      <c r="FB637" s="1746"/>
      <c r="FD637" s="1807">
        <f t="shared" si="280"/>
        <v>0</v>
      </c>
      <c r="FE637" s="1808"/>
      <c r="FF637" s="1808"/>
      <c r="FG637" s="1808"/>
      <c r="FH637" s="1809"/>
      <c r="FI637" s="785">
        <f t="shared" si="334"/>
        <v>1</v>
      </c>
      <c r="FJ637" s="453">
        <f t="shared" si="304"/>
        <v>0</v>
      </c>
      <c r="FK637" s="385"/>
      <c r="FL637" s="453">
        <f t="shared" si="335"/>
        <v>0</v>
      </c>
      <c r="FM637" s="385"/>
      <c r="FN637" s="453">
        <f t="shared" si="298"/>
        <v>0</v>
      </c>
      <c r="FO637" s="962">
        <f t="shared" si="302"/>
        <v>429</v>
      </c>
      <c r="FP637" s="956">
        <f t="shared" si="292"/>
        <v>0.4</v>
      </c>
      <c r="FQ637" s="453">
        <f t="shared" si="311"/>
        <v>0</v>
      </c>
      <c r="FR637" s="957">
        <f>POWER(1+$FQ$333,FS637)</f>
        <v>1</v>
      </c>
      <c r="FS637" s="617">
        <f>FS625+1</f>
        <v>24</v>
      </c>
      <c r="FT637" s="1822">
        <f t="shared" si="303"/>
        <v>0</v>
      </c>
      <c r="FU637" s="1823"/>
      <c r="FV637" s="1823"/>
      <c r="FW637" s="1823"/>
      <c r="FX637" s="1824"/>
      <c r="FY637" s="1822">
        <f t="shared" si="299"/>
        <v>0</v>
      </c>
      <c r="FZ637" s="1823"/>
      <c r="GA637" s="1823"/>
      <c r="GB637" s="1824"/>
      <c r="GC637" s="1831">
        <f t="shared" si="320"/>
        <v>0</v>
      </c>
      <c r="GD637" s="1832"/>
      <c r="GE637" s="1832"/>
      <c r="GF637" s="1833"/>
      <c r="GH637" s="1744">
        <f t="shared" si="300"/>
        <v>0</v>
      </c>
      <c r="GI637" s="1745"/>
      <c r="GJ637" s="1745"/>
      <c r="GK637" s="1746"/>
      <c r="GL637" s="1744">
        <f t="shared" si="301"/>
        <v>0</v>
      </c>
      <c r="GM637" s="1745"/>
      <c r="GN637" s="1745"/>
      <c r="GO637" s="1746"/>
      <c r="GP637" s="385"/>
      <c r="GQ637" s="1744">
        <f t="shared" si="337"/>
        <v>0</v>
      </c>
      <c r="GR637" s="1745"/>
      <c r="GS637" s="1745"/>
      <c r="GT637" s="1746"/>
      <c r="GU637" s="192">
        <f t="shared" si="307"/>
        <v>1</v>
      </c>
      <c r="GV637" s="192">
        <f>SUM($GU$337:GU637)</f>
        <v>293</v>
      </c>
      <c r="GW637" s="318"/>
      <c r="HU637" s="380">
        <f>IF(GV637=300,SUM(GQ626:GT637),0)</f>
        <v>0</v>
      </c>
      <c r="HX637" s="380"/>
    </row>
    <row r="638" spans="4:232">
      <c r="D638" s="409"/>
      <c r="E638" s="318"/>
      <c r="F638" s="1568"/>
      <c r="G638" s="1568"/>
      <c r="H638" s="1568"/>
      <c r="I638" s="1568"/>
      <c r="J638" s="1568"/>
      <c r="K638" s="1568"/>
      <c r="L638" s="1568"/>
      <c r="M638" s="1568"/>
      <c r="N638" s="1568"/>
      <c r="O638" s="1568">
        <f>V638</f>
        <v>0</v>
      </c>
      <c r="P638" s="1568"/>
      <c r="Q638" s="1568"/>
      <c r="R638" s="1568"/>
      <c r="S638" s="1568"/>
      <c r="T638" s="1568"/>
      <c r="U638" s="247"/>
      <c r="V638" s="1568">
        <f>IF(D273&gt;0,V633+(G273+J273)-(O273+Q273+S273+T273+V273)+Y273,0)</f>
        <v>0</v>
      </c>
      <c r="W638" s="1568"/>
      <c r="X638" s="1568"/>
      <c r="Y638" s="523">
        <f>IF(D273&gt;0,IF(V638&gt;0,0,1),0)</f>
        <v>1</v>
      </c>
      <c r="AU638"/>
      <c r="BD638" s="381">
        <f t="shared" ref="BD638:BD649" si="338">IF(BH638&lt;0,0,IF($V$21&gt;0,25,0))</f>
        <v>25</v>
      </c>
      <c r="BE638" s="382">
        <f>IF(BD638&gt;0,301,0)</f>
        <v>301</v>
      </c>
      <c r="BG638" s="395">
        <f>IF($BE638&gt;$R$66-3+($BR$335*12),301,0)</f>
        <v>301</v>
      </c>
      <c r="BH638" s="1754">
        <f t="shared" ref="BH638:BH649" si="339">IF(BR637&lt;=0,0,BR637)</f>
        <v>0</v>
      </c>
      <c r="BI638" s="1754"/>
      <c r="BJ638" s="1754"/>
      <c r="BK638" s="1754"/>
      <c r="BL638" s="1754">
        <f t="shared" si="293"/>
        <v>0</v>
      </c>
      <c r="BM638" s="1754"/>
      <c r="BN638" s="1754"/>
      <c r="BO638" s="1754">
        <f t="shared" si="285"/>
        <v>0</v>
      </c>
      <c r="BP638" s="1754"/>
      <c r="BQ638" s="1754"/>
      <c r="BR638" s="1754">
        <f t="shared" ref="BR638:BR649" si="340">BH638-BL638</f>
        <v>0</v>
      </c>
      <c r="BS638" s="1754"/>
      <c r="BT638" s="1754"/>
      <c r="BU638" s="1754"/>
      <c r="BW638" s="395">
        <f>IF($BE638&gt;$R$66-3+($CH$335*12),301,0)</f>
        <v>301</v>
      </c>
      <c r="BX638" s="1754">
        <f t="shared" si="273"/>
        <v>0</v>
      </c>
      <c r="BY638" s="1754"/>
      <c r="BZ638" s="1754"/>
      <c r="CA638" s="1754"/>
      <c r="CB638" s="1754">
        <f t="shared" si="294"/>
        <v>0</v>
      </c>
      <c r="CC638" s="1754"/>
      <c r="CD638" s="1754"/>
      <c r="CE638" s="1754">
        <f t="shared" si="286"/>
        <v>0</v>
      </c>
      <c r="CF638" s="1754"/>
      <c r="CG638" s="1754"/>
      <c r="CH638" s="1754">
        <f t="shared" si="287"/>
        <v>0</v>
      </c>
      <c r="CI638" s="1754"/>
      <c r="CJ638" s="1754"/>
      <c r="CK638" s="1754"/>
      <c r="CM638" s="395">
        <f>IF($BE638&gt;$R$66-3+($CX$335*12),301,0)</f>
        <v>301</v>
      </c>
      <c r="CN638" s="1754">
        <f t="shared" si="274"/>
        <v>0</v>
      </c>
      <c r="CO638" s="1754"/>
      <c r="CP638" s="1754"/>
      <c r="CQ638" s="1754"/>
      <c r="CR638" s="1754">
        <f t="shared" si="295"/>
        <v>0</v>
      </c>
      <c r="CS638" s="1754"/>
      <c r="CT638" s="1754"/>
      <c r="CU638" s="1754">
        <f t="shared" si="288"/>
        <v>0</v>
      </c>
      <c r="CV638" s="1754"/>
      <c r="CW638" s="1754"/>
      <c r="CX638" s="1754">
        <f t="shared" si="289"/>
        <v>0</v>
      </c>
      <c r="CY638" s="1754"/>
      <c r="CZ638" s="1754"/>
      <c r="DA638" s="1754"/>
      <c r="DC638" s="395">
        <f>IF($BE638&gt;$R$66-3,301,0)</f>
        <v>301</v>
      </c>
      <c r="DD638" s="1754">
        <f t="shared" si="275"/>
        <v>0</v>
      </c>
      <c r="DE638" s="1754"/>
      <c r="DF638" s="1754"/>
      <c r="DG638" s="1754"/>
      <c r="DH638" s="1754">
        <f t="shared" si="296"/>
        <v>0</v>
      </c>
      <c r="DI638" s="1754"/>
      <c r="DJ638" s="1754"/>
      <c r="DK638" s="1754">
        <f t="shared" si="325"/>
        <v>0</v>
      </c>
      <c r="DL638" s="1754"/>
      <c r="DM638" s="1754"/>
      <c r="DN638" s="1754"/>
      <c r="DP638" s="395">
        <f t="shared" si="297"/>
        <v>301</v>
      </c>
      <c r="DQ638" s="1754">
        <f t="shared" si="305"/>
        <v>0</v>
      </c>
      <c r="DR638" s="1754"/>
      <c r="DS638" s="1754"/>
      <c r="DT638" s="1754"/>
      <c r="DU638" s="1754">
        <f t="shared" si="306"/>
        <v>0</v>
      </c>
      <c r="DV638" s="1754"/>
      <c r="DW638" s="1754"/>
      <c r="DX638" s="1754">
        <f t="shared" si="317"/>
        <v>0</v>
      </c>
      <c r="DY638" s="1754"/>
      <c r="DZ638" s="1754"/>
      <c r="EA638" s="1754">
        <f t="shared" si="318"/>
        <v>0</v>
      </c>
      <c r="EB638" s="1754"/>
      <c r="EC638" s="1754"/>
      <c r="ED638" s="1754"/>
      <c r="EE638" s="384"/>
      <c r="EF638" s="1750">
        <f t="shared" si="290"/>
        <v>0</v>
      </c>
      <c r="EG638" s="1751"/>
      <c r="EH638" s="1751"/>
      <c r="EI638" s="1751"/>
      <c r="EJ638" s="1752"/>
      <c r="EL638" s="1750">
        <f t="shared" si="319"/>
        <v>0</v>
      </c>
      <c r="EM638" s="1751"/>
      <c r="EN638" s="1751"/>
      <c r="EO638" s="1751"/>
      <c r="EP638" s="1752"/>
      <c r="ER638" s="1750">
        <f t="shared" si="291"/>
        <v>0</v>
      </c>
      <c r="ES638" s="1751"/>
      <c r="ET638" s="1751"/>
      <c r="EU638" s="1751"/>
      <c r="EV638" s="1752"/>
      <c r="EX638" s="1750">
        <f>IF(BE638&gt;0,Einstrahlung!$K$10*Kalkulation!$P$62/100*$AY$29*POWER((100-$P$64)/100,BD638-1),0)</f>
        <v>0</v>
      </c>
      <c r="EY638" s="1751"/>
      <c r="EZ638" s="1751"/>
      <c r="FA638" s="1751"/>
      <c r="FB638" s="1752"/>
      <c r="FC638" s="783">
        <v>25</v>
      </c>
      <c r="FD638" s="1804">
        <f t="shared" si="280"/>
        <v>0</v>
      </c>
      <c r="FE638" s="1805"/>
      <c r="FF638" s="1805"/>
      <c r="FG638" s="1805"/>
      <c r="FH638" s="1806"/>
      <c r="FI638" s="784">
        <f>POWER(1+$FH$333,4)</f>
        <v>1</v>
      </c>
      <c r="FJ638" s="380">
        <f t="shared" si="304"/>
        <v>0</v>
      </c>
      <c r="FK638" s="385"/>
      <c r="FL638" s="380">
        <f>IF(BE638&gt;0,IF($FL$336&gt;SUM($EX$638:$FB$649),SUM($EX$638:$FB$649)/12,$FL$336/12),0)</f>
        <v>0</v>
      </c>
      <c r="FM638" s="385"/>
      <c r="FN638" s="380">
        <f t="shared" si="298"/>
        <v>0</v>
      </c>
      <c r="FO638" s="962">
        <f t="shared" si="302"/>
        <v>430</v>
      </c>
      <c r="FP638" s="956">
        <f t="shared" si="292"/>
        <v>0.4</v>
      </c>
      <c r="FQ638" s="380">
        <f t="shared" si="311"/>
        <v>0</v>
      </c>
      <c r="FR638" s="626">
        <f>IF(AND(GV638&gt;288,GV638&lt;=300),$FR$637,IF(AND(GV638&gt;300,GV638&lt;=312),$FR$649,0))</f>
        <v>1</v>
      </c>
      <c r="FT638" s="1819">
        <f t="shared" si="303"/>
        <v>0</v>
      </c>
      <c r="FU638" s="1820"/>
      <c r="FV638" s="1820"/>
      <c r="FW638" s="1820"/>
      <c r="FX638" s="1821"/>
      <c r="FY638" s="1819">
        <f t="shared" si="299"/>
        <v>0</v>
      </c>
      <c r="FZ638" s="1820"/>
      <c r="GA638" s="1820"/>
      <c r="GB638" s="1821"/>
      <c r="GC638" s="1825">
        <f t="shared" si="320"/>
        <v>0</v>
      </c>
      <c r="GD638" s="1826"/>
      <c r="GE638" s="1826"/>
      <c r="GF638" s="1827"/>
      <c r="GH638" s="1750">
        <f t="shared" si="300"/>
        <v>0</v>
      </c>
      <c r="GI638" s="1751"/>
      <c r="GJ638" s="1751"/>
      <c r="GK638" s="1751"/>
      <c r="GL638" s="1750">
        <f t="shared" si="301"/>
        <v>0</v>
      </c>
      <c r="GM638" s="1751"/>
      <c r="GN638" s="1751"/>
      <c r="GO638" s="1752"/>
      <c r="GP638" s="385"/>
      <c r="GQ638" s="1865">
        <f>IF($V$21&lt;=24,0,FD638+FQ638+EF638+EL638+ER638+IF(FY638&gt;0,0,FY638))</f>
        <v>0</v>
      </c>
      <c r="GR638" s="1866"/>
      <c r="GS638" s="1866"/>
      <c r="GT638" s="1867"/>
      <c r="GU638" s="192">
        <f t="shared" si="307"/>
        <v>1</v>
      </c>
      <c r="GV638" s="192">
        <f>SUM($GU$337:GU638)</f>
        <v>294</v>
      </c>
      <c r="GW638" s="318"/>
      <c r="HU638" s="380">
        <f t="shared" ref="HU638:HU648" si="341">IF(GV638=300,SUM(GQ627:GT638),0)</f>
        <v>0</v>
      </c>
      <c r="HX638" s="380"/>
    </row>
    <row r="639" spans="4:232">
      <c r="D639" s="409"/>
      <c r="E639" s="318"/>
      <c r="F639" s="1568"/>
      <c r="G639" s="1568"/>
      <c r="H639" s="1568"/>
      <c r="I639" s="1568"/>
      <c r="J639" s="1568"/>
      <c r="K639" s="1568"/>
      <c r="L639" s="1568"/>
      <c r="M639" s="1568"/>
      <c r="N639" s="1568"/>
      <c r="O639" s="1568"/>
      <c r="P639" s="1568"/>
      <c r="Q639" s="1568"/>
      <c r="R639" s="1568"/>
      <c r="S639" s="1568"/>
      <c r="T639" s="1568"/>
      <c r="U639" s="247"/>
      <c r="V639" s="1568"/>
      <c r="W639" s="1568"/>
      <c r="X639" s="1568"/>
      <c r="Y639" s="523"/>
      <c r="AP639" s="458"/>
      <c r="AQ639" s="458"/>
      <c r="AR639" s="458"/>
      <c r="AS639" s="458"/>
      <c r="AT639" s="458"/>
      <c r="BD639" s="387">
        <f t="shared" si="338"/>
        <v>25</v>
      </c>
      <c r="BE639" s="382">
        <f>IF(BD639&gt;0,302,0)</f>
        <v>302</v>
      </c>
      <c r="BG639" s="383">
        <f>IF($BE639&gt;$R$66-3+($BR$335*12),302,0)</f>
        <v>302</v>
      </c>
      <c r="BH639" s="1754">
        <f t="shared" si="339"/>
        <v>0</v>
      </c>
      <c r="BI639" s="1754"/>
      <c r="BJ639" s="1754"/>
      <c r="BK639" s="1754"/>
      <c r="BL639" s="1754">
        <f t="shared" si="293"/>
        <v>0</v>
      </c>
      <c r="BM639" s="1754"/>
      <c r="BN639" s="1754"/>
      <c r="BO639" s="1754">
        <f t="shared" si="285"/>
        <v>0</v>
      </c>
      <c r="BP639" s="1754"/>
      <c r="BQ639" s="1754"/>
      <c r="BR639" s="1754">
        <f t="shared" si="340"/>
        <v>0</v>
      </c>
      <c r="BS639" s="1754"/>
      <c r="BT639" s="1754"/>
      <c r="BU639" s="1754"/>
      <c r="BW639" s="383">
        <f>IF($BE639&gt;$R$66-3+($CH$335*12),302,0)</f>
        <v>302</v>
      </c>
      <c r="BX639" s="1754">
        <f t="shared" si="273"/>
        <v>0</v>
      </c>
      <c r="BY639" s="1754"/>
      <c r="BZ639" s="1754"/>
      <c r="CA639" s="1754"/>
      <c r="CB639" s="1754">
        <f t="shared" si="294"/>
        <v>0</v>
      </c>
      <c r="CC639" s="1754"/>
      <c r="CD639" s="1754"/>
      <c r="CE639" s="1754">
        <f t="shared" si="286"/>
        <v>0</v>
      </c>
      <c r="CF639" s="1754"/>
      <c r="CG639" s="1754"/>
      <c r="CH639" s="1754">
        <f t="shared" si="287"/>
        <v>0</v>
      </c>
      <c r="CI639" s="1754"/>
      <c r="CJ639" s="1754"/>
      <c r="CK639" s="1754"/>
      <c r="CM639" s="383">
        <f>IF($BE639&gt;$R$66-3+($CX$335*12),302,0)</f>
        <v>302</v>
      </c>
      <c r="CN639" s="1754">
        <f t="shared" si="274"/>
        <v>0</v>
      </c>
      <c r="CO639" s="1754"/>
      <c r="CP639" s="1754"/>
      <c r="CQ639" s="1754"/>
      <c r="CR639" s="1754">
        <f t="shared" si="295"/>
        <v>0</v>
      </c>
      <c r="CS639" s="1754"/>
      <c r="CT639" s="1754"/>
      <c r="CU639" s="1754">
        <f t="shared" si="288"/>
        <v>0</v>
      </c>
      <c r="CV639" s="1754"/>
      <c r="CW639" s="1754"/>
      <c r="CX639" s="1754">
        <f t="shared" si="289"/>
        <v>0</v>
      </c>
      <c r="CY639" s="1754"/>
      <c r="CZ639" s="1754"/>
      <c r="DA639" s="1754"/>
      <c r="DC639" s="383">
        <f>IF($BE639&gt;$R$66-3,302,0)</f>
        <v>302</v>
      </c>
      <c r="DD639" s="1754">
        <f t="shared" si="275"/>
        <v>0</v>
      </c>
      <c r="DE639" s="1754"/>
      <c r="DF639" s="1754"/>
      <c r="DG639" s="1754"/>
      <c r="DH639" s="1754">
        <f t="shared" si="296"/>
        <v>0</v>
      </c>
      <c r="DI639" s="1754"/>
      <c r="DJ639" s="1754"/>
      <c r="DK639" s="1754">
        <f t="shared" si="325"/>
        <v>0</v>
      </c>
      <c r="DL639" s="1754"/>
      <c r="DM639" s="1754"/>
      <c r="DN639" s="1754"/>
      <c r="DP639" s="383">
        <f t="shared" si="297"/>
        <v>302</v>
      </c>
      <c r="DQ639" s="1754">
        <f t="shared" si="305"/>
        <v>0</v>
      </c>
      <c r="DR639" s="1754"/>
      <c r="DS639" s="1754"/>
      <c r="DT639" s="1754"/>
      <c r="DU639" s="1754">
        <f t="shared" si="306"/>
        <v>0</v>
      </c>
      <c r="DV639" s="1754"/>
      <c r="DW639" s="1754"/>
      <c r="DX639" s="1754">
        <f t="shared" si="317"/>
        <v>0</v>
      </c>
      <c r="DY639" s="1754"/>
      <c r="DZ639" s="1754"/>
      <c r="EA639" s="1754">
        <f t="shared" si="318"/>
        <v>0</v>
      </c>
      <c r="EB639" s="1754"/>
      <c r="EC639" s="1754"/>
      <c r="ED639" s="1754"/>
      <c r="EE639" s="384"/>
      <c r="EF639" s="1750">
        <f t="shared" si="290"/>
        <v>0</v>
      </c>
      <c r="EG639" s="1751"/>
      <c r="EH639" s="1751"/>
      <c r="EI639" s="1751"/>
      <c r="EJ639" s="1752"/>
      <c r="EL639" s="1750">
        <f>EL627*11/12</f>
        <v>0</v>
      </c>
      <c r="EM639" s="1751"/>
      <c r="EN639" s="1751"/>
      <c r="EO639" s="1751"/>
      <c r="EP639" s="1752"/>
      <c r="ER639" s="1750">
        <f t="shared" si="291"/>
        <v>0</v>
      </c>
      <c r="ES639" s="1751"/>
      <c r="ET639" s="1751"/>
      <c r="EU639" s="1751"/>
      <c r="EV639" s="1752"/>
      <c r="EX639" s="1750">
        <f>IF(BE639&gt;0,Einstrahlung!$K$12*Kalkulation!$P$62/100*$AY$29*POWER((100-$P$64)/100,BD639-1),0)</f>
        <v>0</v>
      </c>
      <c r="EY639" s="1751"/>
      <c r="EZ639" s="1751"/>
      <c r="FA639" s="1751"/>
      <c r="FB639" s="1752"/>
      <c r="FD639" s="1804">
        <f t="shared" si="280"/>
        <v>0</v>
      </c>
      <c r="FE639" s="1805"/>
      <c r="FF639" s="1805"/>
      <c r="FG639" s="1805"/>
      <c r="FH639" s="1806"/>
      <c r="FI639" s="785">
        <f t="shared" ref="FI639:FI649" si="342">POWER(1+$FH$333,4)</f>
        <v>1</v>
      </c>
      <c r="FJ639" s="380">
        <f t="shared" si="304"/>
        <v>0</v>
      </c>
      <c r="FK639" s="385"/>
      <c r="FL639" s="380">
        <f t="shared" ref="FL639:FL649" si="343">IF(BE639&gt;0,IF($FL$336&gt;SUM($EX$638:$FB$649),SUM($EX$638:$FB$649)/12,$FL$336/12),0)</f>
        <v>0</v>
      </c>
      <c r="FM639" s="385"/>
      <c r="FN639" s="380">
        <f t="shared" si="298"/>
        <v>0</v>
      </c>
      <c r="FO639" s="962">
        <f t="shared" si="302"/>
        <v>431</v>
      </c>
      <c r="FP639" s="956">
        <f t="shared" si="292"/>
        <v>0.4</v>
      </c>
      <c r="FQ639" s="380">
        <f t="shared" si="311"/>
        <v>0</v>
      </c>
      <c r="FR639" s="626">
        <f t="shared" ref="FR639:FR648" si="344">IF(AND(GV639&gt;288,GV639&lt;=300),$FR$637,IF(AND(GV639&gt;300,GV639&lt;=312),$FR$649,0))</f>
        <v>1</v>
      </c>
      <c r="FT639" s="1819">
        <f t="shared" si="303"/>
        <v>0</v>
      </c>
      <c r="FU639" s="1820"/>
      <c r="FV639" s="1820"/>
      <c r="FW639" s="1820"/>
      <c r="FX639" s="1821"/>
      <c r="FY639" s="1819">
        <f t="shared" si="299"/>
        <v>0</v>
      </c>
      <c r="FZ639" s="1820"/>
      <c r="GA639" s="1820"/>
      <c r="GB639" s="1821"/>
      <c r="GC639" s="1825">
        <f t="shared" si="320"/>
        <v>0</v>
      </c>
      <c r="GD639" s="1826"/>
      <c r="GE639" s="1826"/>
      <c r="GF639" s="1827"/>
      <c r="GH639" s="1750">
        <f t="shared" si="300"/>
        <v>0</v>
      </c>
      <c r="GI639" s="1751"/>
      <c r="GJ639" s="1751"/>
      <c r="GK639" s="1752"/>
      <c r="GL639" s="1750">
        <f t="shared" si="301"/>
        <v>0</v>
      </c>
      <c r="GM639" s="1751"/>
      <c r="GN639" s="1751"/>
      <c r="GO639" s="1752"/>
      <c r="GP639" s="385"/>
      <c r="GQ639" s="1750">
        <f t="shared" ref="GQ639:GQ649" si="345">IF($V$21&lt;=24,0,FD639+FQ639+EF639+EL639+ER639+IF(FY639&gt;0,0,FY639))</f>
        <v>0</v>
      </c>
      <c r="GR639" s="1751"/>
      <c r="GS639" s="1751"/>
      <c r="GT639" s="1752"/>
      <c r="GU639" s="192">
        <f t="shared" si="307"/>
        <v>1</v>
      </c>
      <c r="GV639" s="192">
        <f>SUM($GU$337:GU639)</f>
        <v>295</v>
      </c>
      <c r="GW639" s="318"/>
      <c r="HU639" s="380">
        <f t="shared" si="341"/>
        <v>0</v>
      </c>
      <c r="HX639" s="380"/>
    </row>
    <row r="640" spans="4:232">
      <c r="D640" s="409">
        <v>15</v>
      </c>
      <c r="E640" s="318"/>
      <c r="F640" s="1568">
        <f>AH275</f>
        <v>0</v>
      </c>
      <c r="G640" s="1568"/>
      <c r="H640" s="1568"/>
      <c r="I640" s="1568"/>
      <c r="J640" s="1568"/>
      <c r="K640" s="1568"/>
      <c r="L640" s="1568"/>
      <c r="M640" s="1568"/>
      <c r="N640" s="1568"/>
      <c r="O640" s="1568"/>
      <c r="P640" s="1568"/>
      <c r="Q640" s="1568"/>
      <c r="R640" s="1568"/>
      <c r="S640" s="1568"/>
      <c r="T640" s="1568"/>
      <c r="U640" s="247"/>
      <c r="V640" s="1568"/>
      <c r="W640" s="1568"/>
      <c r="X640" s="1568"/>
      <c r="Y640" s="523"/>
      <c r="AU640"/>
      <c r="BD640" s="387">
        <f t="shared" si="338"/>
        <v>25</v>
      </c>
      <c r="BE640" s="382">
        <f>IF(BD640&gt;0,303,0)</f>
        <v>303</v>
      </c>
      <c r="BG640" s="383">
        <f>IF($BE640&gt;$R$66-3+($BR$335*12),303,0)</f>
        <v>303</v>
      </c>
      <c r="BH640" s="1754">
        <f t="shared" si="339"/>
        <v>0</v>
      </c>
      <c r="BI640" s="1754"/>
      <c r="BJ640" s="1754"/>
      <c r="BK640" s="1754"/>
      <c r="BL640" s="1754">
        <f t="shared" si="293"/>
        <v>0</v>
      </c>
      <c r="BM640" s="1754"/>
      <c r="BN640" s="1754"/>
      <c r="BO640" s="1754">
        <f t="shared" si="285"/>
        <v>0</v>
      </c>
      <c r="BP640" s="1754"/>
      <c r="BQ640" s="1754"/>
      <c r="BR640" s="1754">
        <f t="shared" si="340"/>
        <v>0</v>
      </c>
      <c r="BS640" s="1754"/>
      <c r="BT640" s="1754"/>
      <c r="BU640" s="1754"/>
      <c r="BW640" s="383">
        <f>IF($BE640&gt;$R$66-3+($CH$335*12),303,0)</f>
        <v>303</v>
      </c>
      <c r="BX640" s="1754">
        <f t="shared" si="273"/>
        <v>0</v>
      </c>
      <c r="BY640" s="1754"/>
      <c r="BZ640" s="1754"/>
      <c r="CA640" s="1754"/>
      <c r="CB640" s="1754">
        <f t="shared" si="294"/>
        <v>0</v>
      </c>
      <c r="CC640" s="1754"/>
      <c r="CD640" s="1754"/>
      <c r="CE640" s="1754">
        <f t="shared" si="286"/>
        <v>0</v>
      </c>
      <c r="CF640" s="1754"/>
      <c r="CG640" s="1754"/>
      <c r="CH640" s="1754">
        <f t="shared" si="287"/>
        <v>0</v>
      </c>
      <c r="CI640" s="1754"/>
      <c r="CJ640" s="1754"/>
      <c r="CK640" s="1754"/>
      <c r="CM640" s="383">
        <f>IF($BE640&gt;$R$66-3+($CX$335*12),303,0)</f>
        <v>303</v>
      </c>
      <c r="CN640" s="1754">
        <f t="shared" si="274"/>
        <v>0</v>
      </c>
      <c r="CO640" s="1754"/>
      <c r="CP640" s="1754"/>
      <c r="CQ640" s="1754"/>
      <c r="CR640" s="1754">
        <f t="shared" si="295"/>
        <v>0</v>
      </c>
      <c r="CS640" s="1754"/>
      <c r="CT640" s="1754"/>
      <c r="CU640" s="1754">
        <f t="shared" si="288"/>
        <v>0</v>
      </c>
      <c r="CV640" s="1754"/>
      <c r="CW640" s="1754"/>
      <c r="CX640" s="1754">
        <f t="shared" si="289"/>
        <v>0</v>
      </c>
      <c r="CY640" s="1754"/>
      <c r="CZ640" s="1754"/>
      <c r="DA640" s="1754"/>
      <c r="DC640" s="383">
        <f>IF($BE640&gt;$R$66-3,303,0)</f>
        <v>303</v>
      </c>
      <c r="DD640" s="1754">
        <f t="shared" si="275"/>
        <v>0</v>
      </c>
      <c r="DE640" s="1754"/>
      <c r="DF640" s="1754"/>
      <c r="DG640" s="1754"/>
      <c r="DH640" s="1754">
        <f t="shared" si="296"/>
        <v>0</v>
      </c>
      <c r="DI640" s="1754"/>
      <c r="DJ640" s="1754"/>
      <c r="DK640" s="1754">
        <f t="shared" si="325"/>
        <v>0</v>
      </c>
      <c r="DL640" s="1754"/>
      <c r="DM640" s="1754"/>
      <c r="DN640" s="1754"/>
      <c r="DP640" s="383">
        <f t="shared" si="297"/>
        <v>303</v>
      </c>
      <c r="DQ640" s="1754">
        <f t="shared" si="305"/>
        <v>0</v>
      </c>
      <c r="DR640" s="1754"/>
      <c r="DS640" s="1754"/>
      <c r="DT640" s="1754"/>
      <c r="DU640" s="1754">
        <f t="shared" si="306"/>
        <v>0</v>
      </c>
      <c r="DV640" s="1754"/>
      <c r="DW640" s="1754"/>
      <c r="DX640" s="1754">
        <f t="shared" si="317"/>
        <v>0</v>
      </c>
      <c r="DY640" s="1754"/>
      <c r="DZ640" s="1754"/>
      <c r="EA640" s="1754">
        <f t="shared" si="318"/>
        <v>0</v>
      </c>
      <c r="EB640" s="1754"/>
      <c r="EC640" s="1754"/>
      <c r="ED640" s="1754"/>
      <c r="EE640" s="384"/>
      <c r="EF640" s="1750">
        <f t="shared" si="290"/>
        <v>0</v>
      </c>
      <c r="EG640" s="1751"/>
      <c r="EH640" s="1751"/>
      <c r="EI640" s="1751"/>
      <c r="EJ640" s="1752"/>
      <c r="EL640" s="1750">
        <f>EL628*10/12</f>
        <v>0</v>
      </c>
      <c r="EM640" s="1751"/>
      <c r="EN640" s="1751"/>
      <c r="EO640" s="1751"/>
      <c r="EP640" s="1752"/>
      <c r="ER640" s="1750">
        <f t="shared" si="291"/>
        <v>0</v>
      </c>
      <c r="ES640" s="1751"/>
      <c r="ET640" s="1751"/>
      <c r="EU640" s="1751"/>
      <c r="EV640" s="1752"/>
      <c r="EX640" s="1750">
        <f>IF(BE640&gt;0,Einstrahlung!$K$14*Kalkulation!$P$62/100*$AY$29*POWER((100-$P$64)/100,BD640-1),0)</f>
        <v>0</v>
      </c>
      <c r="EY640" s="1751"/>
      <c r="EZ640" s="1751"/>
      <c r="FA640" s="1751"/>
      <c r="FB640" s="1752"/>
      <c r="FD640" s="1804">
        <f t="shared" si="280"/>
        <v>0</v>
      </c>
      <c r="FE640" s="1805"/>
      <c r="FF640" s="1805"/>
      <c r="FG640" s="1805"/>
      <c r="FH640" s="1806"/>
      <c r="FI640" s="785">
        <f t="shared" si="342"/>
        <v>1</v>
      </c>
      <c r="FJ640" s="380">
        <f t="shared" si="304"/>
        <v>0</v>
      </c>
      <c r="FK640" s="385"/>
      <c r="FL640" s="380">
        <f t="shared" si="343"/>
        <v>0</v>
      </c>
      <c r="FM640" s="385"/>
      <c r="FN640" s="380">
        <f t="shared" si="298"/>
        <v>0</v>
      </c>
      <c r="FO640" s="962">
        <f t="shared" si="302"/>
        <v>432</v>
      </c>
      <c r="FP640" s="956">
        <f t="shared" si="292"/>
        <v>0.4</v>
      </c>
      <c r="FQ640" s="380">
        <f t="shared" si="311"/>
        <v>0</v>
      </c>
      <c r="FR640" s="626">
        <f t="shared" si="344"/>
        <v>1</v>
      </c>
      <c r="FT640" s="1819">
        <f t="shared" si="303"/>
        <v>0</v>
      </c>
      <c r="FU640" s="1820"/>
      <c r="FV640" s="1820"/>
      <c r="FW640" s="1820"/>
      <c r="FX640" s="1821"/>
      <c r="FY640" s="1819">
        <f t="shared" si="299"/>
        <v>0</v>
      </c>
      <c r="FZ640" s="1820"/>
      <c r="GA640" s="1820"/>
      <c r="GB640" s="1821"/>
      <c r="GC640" s="1825">
        <f t="shared" si="320"/>
        <v>0</v>
      </c>
      <c r="GD640" s="1826"/>
      <c r="GE640" s="1826"/>
      <c r="GF640" s="1827"/>
      <c r="GH640" s="1750">
        <f t="shared" si="300"/>
        <v>0</v>
      </c>
      <c r="GI640" s="1751"/>
      <c r="GJ640" s="1751"/>
      <c r="GK640" s="1752"/>
      <c r="GL640" s="1750">
        <f t="shared" si="301"/>
        <v>0</v>
      </c>
      <c r="GM640" s="1751"/>
      <c r="GN640" s="1751"/>
      <c r="GO640" s="1752"/>
      <c r="GP640" s="385"/>
      <c r="GQ640" s="1750">
        <f t="shared" si="345"/>
        <v>0</v>
      </c>
      <c r="GR640" s="1751"/>
      <c r="GS640" s="1751"/>
      <c r="GT640" s="1752"/>
      <c r="GU640" s="192">
        <f t="shared" si="307"/>
        <v>1</v>
      </c>
      <c r="GV640" s="192">
        <f>SUM($GU$337:GU640)</f>
        <v>296</v>
      </c>
      <c r="GW640" s="318"/>
      <c r="HU640" s="380">
        <f t="shared" si="341"/>
        <v>0</v>
      </c>
      <c r="HX640" s="380"/>
    </row>
    <row r="641" spans="4:232">
      <c r="D641" s="409"/>
      <c r="E641" s="318"/>
      <c r="F641" s="1568"/>
      <c r="G641" s="1568"/>
      <c r="H641" s="1568"/>
      <c r="I641" s="1568">
        <f>F640</f>
        <v>0</v>
      </c>
      <c r="J641" s="1568"/>
      <c r="K641" s="1568"/>
      <c r="L641" s="1568"/>
      <c r="M641" s="1568"/>
      <c r="N641" s="1568"/>
      <c r="O641" s="1568"/>
      <c r="P641" s="1568"/>
      <c r="Q641" s="1568"/>
      <c r="R641" s="1568"/>
      <c r="S641" s="1568"/>
      <c r="T641" s="1568"/>
      <c r="U641" s="247"/>
      <c r="V641" s="1568"/>
      <c r="W641" s="1568"/>
      <c r="X641" s="1568"/>
      <c r="Y641" s="523"/>
      <c r="AP641" s="458"/>
      <c r="AQ641" s="458"/>
      <c r="AR641" s="458"/>
      <c r="AS641" s="458"/>
      <c r="AT641" s="458"/>
      <c r="BD641" s="387">
        <f t="shared" si="338"/>
        <v>25</v>
      </c>
      <c r="BE641" s="382">
        <f>IF(BD641&gt;0,304,0)</f>
        <v>304</v>
      </c>
      <c r="BG641" s="383">
        <f>IF($BE641&gt;$R$66-3+($BR$335*12),304,0)</f>
        <v>304</v>
      </c>
      <c r="BH641" s="1754">
        <f t="shared" si="339"/>
        <v>0</v>
      </c>
      <c r="BI641" s="1754"/>
      <c r="BJ641" s="1754"/>
      <c r="BK641" s="1754"/>
      <c r="BL641" s="1754">
        <f t="shared" si="293"/>
        <v>0</v>
      </c>
      <c r="BM641" s="1754"/>
      <c r="BN641" s="1754"/>
      <c r="BO641" s="1754">
        <f t="shared" si="285"/>
        <v>0</v>
      </c>
      <c r="BP641" s="1754"/>
      <c r="BQ641" s="1754"/>
      <c r="BR641" s="1754">
        <f t="shared" si="340"/>
        <v>0</v>
      </c>
      <c r="BS641" s="1754"/>
      <c r="BT641" s="1754"/>
      <c r="BU641" s="1754"/>
      <c r="BW641" s="383">
        <f>IF($BE641&gt;$R$66-3+($CH$335*12),304,0)</f>
        <v>304</v>
      </c>
      <c r="BX641" s="1754">
        <f t="shared" si="273"/>
        <v>0</v>
      </c>
      <c r="BY641" s="1754"/>
      <c r="BZ641" s="1754"/>
      <c r="CA641" s="1754"/>
      <c r="CB641" s="1754">
        <f t="shared" si="294"/>
        <v>0</v>
      </c>
      <c r="CC641" s="1754"/>
      <c r="CD641" s="1754"/>
      <c r="CE641" s="1754">
        <f t="shared" si="286"/>
        <v>0</v>
      </c>
      <c r="CF641" s="1754"/>
      <c r="CG641" s="1754"/>
      <c r="CH641" s="1754">
        <f t="shared" si="287"/>
        <v>0</v>
      </c>
      <c r="CI641" s="1754"/>
      <c r="CJ641" s="1754"/>
      <c r="CK641" s="1754"/>
      <c r="CM641" s="383">
        <f>IF($BE641&gt;$R$66-3+($CX$335*12),304,0)</f>
        <v>304</v>
      </c>
      <c r="CN641" s="1754">
        <f t="shared" si="274"/>
        <v>0</v>
      </c>
      <c r="CO641" s="1754"/>
      <c r="CP641" s="1754"/>
      <c r="CQ641" s="1754"/>
      <c r="CR641" s="1754">
        <f t="shared" si="295"/>
        <v>0</v>
      </c>
      <c r="CS641" s="1754"/>
      <c r="CT641" s="1754"/>
      <c r="CU641" s="1754">
        <f t="shared" si="288"/>
        <v>0</v>
      </c>
      <c r="CV641" s="1754"/>
      <c r="CW641" s="1754"/>
      <c r="CX641" s="1754">
        <f t="shared" si="289"/>
        <v>0</v>
      </c>
      <c r="CY641" s="1754"/>
      <c r="CZ641" s="1754"/>
      <c r="DA641" s="1754"/>
      <c r="DC641" s="383">
        <f>IF($BE641&gt;$R$66-3,304,0)</f>
        <v>304</v>
      </c>
      <c r="DD641" s="1754">
        <f t="shared" si="275"/>
        <v>0</v>
      </c>
      <c r="DE641" s="1754"/>
      <c r="DF641" s="1754"/>
      <c r="DG641" s="1754"/>
      <c r="DH641" s="1754">
        <f t="shared" si="296"/>
        <v>0</v>
      </c>
      <c r="DI641" s="1754"/>
      <c r="DJ641" s="1754"/>
      <c r="DK641" s="1754">
        <f t="shared" si="325"/>
        <v>0</v>
      </c>
      <c r="DL641" s="1754"/>
      <c r="DM641" s="1754"/>
      <c r="DN641" s="1754"/>
      <c r="DP641" s="383">
        <f t="shared" si="297"/>
        <v>304</v>
      </c>
      <c r="DQ641" s="1754">
        <f t="shared" si="305"/>
        <v>0</v>
      </c>
      <c r="DR641" s="1754"/>
      <c r="DS641" s="1754"/>
      <c r="DT641" s="1754"/>
      <c r="DU641" s="1754">
        <f t="shared" si="306"/>
        <v>0</v>
      </c>
      <c r="DV641" s="1754"/>
      <c r="DW641" s="1754"/>
      <c r="DX641" s="1754">
        <f t="shared" si="317"/>
        <v>0</v>
      </c>
      <c r="DY641" s="1754"/>
      <c r="DZ641" s="1754"/>
      <c r="EA641" s="1754">
        <f t="shared" si="318"/>
        <v>0</v>
      </c>
      <c r="EB641" s="1754"/>
      <c r="EC641" s="1754"/>
      <c r="ED641" s="1754"/>
      <c r="EE641" s="384"/>
      <c r="EF641" s="1750">
        <f t="shared" si="290"/>
        <v>0</v>
      </c>
      <c r="EG641" s="1751"/>
      <c r="EH641" s="1751"/>
      <c r="EI641" s="1751"/>
      <c r="EJ641" s="1752"/>
      <c r="EL641" s="1750">
        <f>EL629*9/12</f>
        <v>0</v>
      </c>
      <c r="EM641" s="1751"/>
      <c r="EN641" s="1751"/>
      <c r="EO641" s="1751"/>
      <c r="EP641" s="1752"/>
      <c r="ER641" s="1750">
        <f t="shared" si="291"/>
        <v>0</v>
      </c>
      <c r="ES641" s="1751"/>
      <c r="ET641" s="1751"/>
      <c r="EU641" s="1751"/>
      <c r="EV641" s="1752"/>
      <c r="EX641" s="1750">
        <f>IF(BE641&gt;0,Einstrahlung!$K$16*Kalkulation!$P$62/100*$AY$29*POWER((100-$P$64)/100,BD641-1),0)</f>
        <v>0</v>
      </c>
      <c r="EY641" s="1751"/>
      <c r="EZ641" s="1751"/>
      <c r="FA641" s="1751"/>
      <c r="FB641" s="1752"/>
      <c r="FD641" s="1804">
        <f t="shared" si="280"/>
        <v>0</v>
      </c>
      <c r="FE641" s="1805"/>
      <c r="FF641" s="1805"/>
      <c r="FG641" s="1805"/>
      <c r="FH641" s="1806"/>
      <c r="FI641" s="785">
        <f t="shared" si="342"/>
        <v>1</v>
      </c>
      <c r="FJ641" s="380">
        <f t="shared" si="304"/>
        <v>0</v>
      </c>
      <c r="FK641" s="385"/>
      <c r="FL641" s="380">
        <f t="shared" si="343"/>
        <v>0</v>
      </c>
      <c r="FM641" s="385"/>
      <c r="FN641" s="380">
        <f t="shared" si="298"/>
        <v>0</v>
      </c>
      <c r="FO641" s="962">
        <f t="shared" si="302"/>
        <v>433</v>
      </c>
      <c r="FP641" s="956">
        <f t="shared" si="292"/>
        <v>0.4</v>
      </c>
      <c r="FQ641" s="380">
        <f t="shared" si="311"/>
        <v>0</v>
      </c>
      <c r="FR641" s="626">
        <f t="shared" si="344"/>
        <v>1</v>
      </c>
      <c r="FT641" s="1819">
        <f t="shared" si="303"/>
        <v>0</v>
      </c>
      <c r="FU641" s="1820"/>
      <c r="FV641" s="1820"/>
      <c r="FW641" s="1820"/>
      <c r="FX641" s="1821"/>
      <c r="FY641" s="1819">
        <f t="shared" si="299"/>
        <v>0</v>
      </c>
      <c r="FZ641" s="1820"/>
      <c r="GA641" s="1820"/>
      <c r="GB641" s="1821"/>
      <c r="GC641" s="1825">
        <f t="shared" si="320"/>
        <v>0</v>
      </c>
      <c r="GD641" s="1826"/>
      <c r="GE641" s="1826"/>
      <c r="GF641" s="1827"/>
      <c r="GH641" s="1750">
        <f t="shared" si="300"/>
        <v>0</v>
      </c>
      <c r="GI641" s="1751"/>
      <c r="GJ641" s="1751"/>
      <c r="GK641" s="1752"/>
      <c r="GL641" s="1750">
        <f t="shared" si="301"/>
        <v>0</v>
      </c>
      <c r="GM641" s="1751"/>
      <c r="GN641" s="1751"/>
      <c r="GO641" s="1752"/>
      <c r="GP641" s="385"/>
      <c r="GQ641" s="1750">
        <f t="shared" si="345"/>
        <v>0</v>
      </c>
      <c r="GR641" s="1751"/>
      <c r="GS641" s="1751"/>
      <c r="GT641" s="1752"/>
      <c r="GU641" s="192">
        <f t="shared" si="307"/>
        <v>1</v>
      </c>
      <c r="GV641" s="192">
        <f>SUM($GU$337:GU641)</f>
        <v>297</v>
      </c>
      <c r="GW641" s="318"/>
      <c r="HU641" s="380">
        <f t="shared" si="341"/>
        <v>0</v>
      </c>
      <c r="HX641" s="380"/>
    </row>
    <row r="642" spans="4:232">
      <c r="D642" s="409"/>
      <c r="E642" s="318"/>
      <c r="F642" s="1568"/>
      <c r="G642" s="1568"/>
      <c r="H642" s="1568"/>
      <c r="I642" s="1568"/>
      <c r="J642" s="1568"/>
      <c r="K642" s="1568"/>
      <c r="L642" s="1568">
        <f>F640</f>
        <v>0</v>
      </c>
      <c r="M642" s="1568"/>
      <c r="N642" s="1568"/>
      <c r="O642" s="1568"/>
      <c r="P642" s="1568"/>
      <c r="Q642" s="1568"/>
      <c r="R642" s="1568"/>
      <c r="S642" s="1568"/>
      <c r="T642" s="1568"/>
      <c r="U642" s="247"/>
      <c r="V642" s="1568"/>
      <c r="W642" s="1568"/>
      <c r="X642" s="1568"/>
      <c r="Y642" s="523"/>
      <c r="AU642"/>
      <c r="BD642" s="387">
        <f t="shared" si="338"/>
        <v>25</v>
      </c>
      <c r="BE642" s="382">
        <f>IF(BD642&gt;0,305,0)</f>
        <v>305</v>
      </c>
      <c r="BG642" s="383">
        <f>IF($BE642&gt;$R$66-3+($BR$335*12),305,0)</f>
        <v>305</v>
      </c>
      <c r="BH642" s="1754">
        <f t="shared" si="339"/>
        <v>0</v>
      </c>
      <c r="BI642" s="1754"/>
      <c r="BJ642" s="1754"/>
      <c r="BK642" s="1754"/>
      <c r="BL642" s="1754">
        <f t="shared" si="293"/>
        <v>0</v>
      </c>
      <c r="BM642" s="1754"/>
      <c r="BN642" s="1754"/>
      <c r="BO642" s="1754">
        <f t="shared" si="285"/>
        <v>0</v>
      </c>
      <c r="BP642" s="1754"/>
      <c r="BQ642" s="1754"/>
      <c r="BR642" s="1754">
        <f t="shared" si="340"/>
        <v>0</v>
      </c>
      <c r="BS642" s="1754"/>
      <c r="BT642" s="1754"/>
      <c r="BU642" s="1754"/>
      <c r="BW642" s="383">
        <f>IF($BE642&gt;$R$66-3+($CH$335*12),305,0)</f>
        <v>305</v>
      </c>
      <c r="BX642" s="1754">
        <f t="shared" si="273"/>
        <v>0</v>
      </c>
      <c r="BY642" s="1754"/>
      <c r="BZ642" s="1754"/>
      <c r="CA642" s="1754"/>
      <c r="CB642" s="1754">
        <f t="shared" si="294"/>
        <v>0</v>
      </c>
      <c r="CC642" s="1754"/>
      <c r="CD642" s="1754"/>
      <c r="CE642" s="1754">
        <f t="shared" si="286"/>
        <v>0</v>
      </c>
      <c r="CF642" s="1754"/>
      <c r="CG642" s="1754"/>
      <c r="CH642" s="1754">
        <f t="shared" si="287"/>
        <v>0</v>
      </c>
      <c r="CI642" s="1754"/>
      <c r="CJ642" s="1754"/>
      <c r="CK642" s="1754"/>
      <c r="CM642" s="383">
        <f>IF($BE642&gt;$R$66-3+($CX$335*12),305,0)</f>
        <v>305</v>
      </c>
      <c r="CN642" s="1754">
        <f t="shared" si="274"/>
        <v>0</v>
      </c>
      <c r="CO642" s="1754"/>
      <c r="CP642" s="1754"/>
      <c r="CQ642" s="1754"/>
      <c r="CR642" s="1754">
        <f t="shared" si="295"/>
        <v>0</v>
      </c>
      <c r="CS642" s="1754"/>
      <c r="CT642" s="1754"/>
      <c r="CU642" s="1754">
        <f t="shared" si="288"/>
        <v>0</v>
      </c>
      <c r="CV642" s="1754"/>
      <c r="CW642" s="1754"/>
      <c r="CX642" s="1754">
        <f t="shared" si="289"/>
        <v>0</v>
      </c>
      <c r="CY642" s="1754"/>
      <c r="CZ642" s="1754"/>
      <c r="DA642" s="1754"/>
      <c r="DC642" s="383">
        <f>IF($BE642&gt;$R$66-3,305,0)</f>
        <v>305</v>
      </c>
      <c r="DD642" s="1754">
        <f t="shared" si="275"/>
        <v>0</v>
      </c>
      <c r="DE642" s="1754"/>
      <c r="DF642" s="1754"/>
      <c r="DG642" s="1754"/>
      <c r="DH642" s="1754">
        <f t="shared" si="296"/>
        <v>0</v>
      </c>
      <c r="DI642" s="1754"/>
      <c r="DJ642" s="1754"/>
      <c r="DK642" s="1754">
        <f t="shared" si="325"/>
        <v>0</v>
      </c>
      <c r="DL642" s="1754"/>
      <c r="DM642" s="1754"/>
      <c r="DN642" s="1754"/>
      <c r="DP642" s="383">
        <f t="shared" si="297"/>
        <v>305</v>
      </c>
      <c r="DQ642" s="1754">
        <f t="shared" si="305"/>
        <v>0</v>
      </c>
      <c r="DR642" s="1754"/>
      <c r="DS642" s="1754"/>
      <c r="DT642" s="1754"/>
      <c r="DU642" s="1754">
        <f t="shared" si="306"/>
        <v>0</v>
      </c>
      <c r="DV642" s="1754"/>
      <c r="DW642" s="1754"/>
      <c r="DX642" s="1754">
        <f t="shared" si="317"/>
        <v>0</v>
      </c>
      <c r="DY642" s="1754"/>
      <c r="DZ642" s="1754"/>
      <c r="EA642" s="1754">
        <f t="shared" si="318"/>
        <v>0</v>
      </c>
      <c r="EB642" s="1754"/>
      <c r="EC642" s="1754"/>
      <c r="ED642" s="1754"/>
      <c r="EE642" s="384"/>
      <c r="EF642" s="1750">
        <f t="shared" si="290"/>
        <v>0</v>
      </c>
      <c r="EG642" s="1751"/>
      <c r="EH642" s="1751"/>
      <c r="EI642" s="1751"/>
      <c r="EJ642" s="1752"/>
      <c r="EL642" s="1750">
        <f>EL630*8/12</f>
        <v>0</v>
      </c>
      <c r="EM642" s="1751"/>
      <c r="EN642" s="1751"/>
      <c r="EO642" s="1751"/>
      <c r="EP642" s="1752"/>
      <c r="ER642" s="1750">
        <f t="shared" si="291"/>
        <v>0</v>
      </c>
      <c r="ES642" s="1751"/>
      <c r="ET642" s="1751"/>
      <c r="EU642" s="1751"/>
      <c r="EV642" s="1752"/>
      <c r="EX642" s="1750">
        <f>IF(BE642&gt;0,Einstrahlung!$K$18*Kalkulation!$P$62/100*$AY$29*POWER((100-$P$64)/100,BD642-1),0)</f>
        <v>0</v>
      </c>
      <c r="EY642" s="1751"/>
      <c r="EZ642" s="1751"/>
      <c r="FA642" s="1751"/>
      <c r="FB642" s="1752"/>
      <c r="FD642" s="1804">
        <f t="shared" si="280"/>
        <v>0</v>
      </c>
      <c r="FE642" s="1805"/>
      <c r="FF642" s="1805"/>
      <c r="FG642" s="1805"/>
      <c r="FH642" s="1806"/>
      <c r="FI642" s="785">
        <f t="shared" si="342"/>
        <v>1</v>
      </c>
      <c r="FJ642" s="380">
        <f t="shared" si="304"/>
        <v>0</v>
      </c>
      <c r="FK642" s="385"/>
      <c r="FL642" s="380">
        <f t="shared" si="343"/>
        <v>0</v>
      </c>
      <c r="FM642" s="385"/>
      <c r="FN642" s="380">
        <f t="shared" si="298"/>
        <v>0</v>
      </c>
      <c r="FO642" s="962">
        <f t="shared" si="302"/>
        <v>434</v>
      </c>
      <c r="FP642" s="956">
        <f t="shared" si="292"/>
        <v>0.4</v>
      </c>
      <c r="FQ642" s="380">
        <f t="shared" si="311"/>
        <v>0</v>
      </c>
      <c r="FR642" s="626">
        <f t="shared" si="344"/>
        <v>1</v>
      </c>
      <c r="FT642" s="1819">
        <f t="shared" si="303"/>
        <v>0</v>
      </c>
      <c r="FU642" s="1820"/>
      <c r="FV642" s="1820"/>
      <c r="FW642" s="1820"/>
      <c r="FX642" s="1821"/>
      <c r="FY642" s="1819">
        <f t="shared" si="299"/>
        <v>0</v>
      </c>
      <c r="FZ642" s="1820"/>
      <c r="GA642" s="1820"/>
      <c r="GB642" s="1821"/>
      <c r="GC642" s="1825">
        <f t="shared" si="320"/>
        <v>0</v>
      </c>
      <c r="GD642" s="1826"/>
      <c r="GE642" s="1826"/>
      <c r="GF642" s="1827"/>
      <c r="GH642" s="1750">
        <f t="shared" si="300"/>
        <v>0</v>
      </c>
      <c r="GI642" s="1751"/>
      <c r="GJ642" s="1751"/>
      <c r="GK642" s="1752"/>
      <c r="GL642" s="1750">
        <f t="shared" si="301"/>
        <v>0</v>
      </c>
      <c r="GM642" s="1751"/>
      <c r="GN642" s="1751"/>
      <c r="GO642" s="1752"/>
      <c r="GP642" s="385"/>
      <c r="GQ642" s="1750">
        <f t="shared" si="345"/>
        <v>0</v>
      </c>
      <c r="GR642" s="1751"/>
      <c r="GS642" s="1751"/>
      <c r="GT642" s="1752"/>
      <c r="GU642" s="192">
        <f t="shared" si="307"/>
        <v>1</v>
      </c>
      <c r="GV642" s="192">
        <f>SUM($GU$337:GU642)</f>
        <v>298</v>
      </c>
      <c r="GW642" s="318"/>
      <c r="HU642" s="380">
        <f t="shared" si="341"/>
        <v>0</v>
      </c>
      <c r="HX642" s="380"/>
    </row>
    <row r="643" spans="4:232">
      <c r="D643" s="409"/>
      <c r="E643" s="318"/>
      <c r="F643" s="1568"/>
      <c r="G643" s="1568"/>
      <c r="H643" s="1568"/>
      <c r="I643" s="1568"/>
      <c r="J643" s="1568"/>
      <c r="K643" s="1568"/>
      <c r="L643" s="1568"/>
      <c r="M643" s="1568"/>
      <c r="N643" s="1568"/>
      <c r="O643" s="1568">
        <f>V643</f>
        <v>0</v>
      </c>
      <c r="P643" s="1568"/>
      <c r="Q643" s="1568"/>
      <c r="R643" s="1568"/>
      <c r="S643" s="1568"/>
      <c r="T643" s="1568"/>
      <c r="U643" s="247"/>
      <c r="V643" s="1568">
        <f>IF(D275&gt;0,V638+(G275+J275)-(O275+Q275+S275+T275+V275)+Y275,0)</f>
        <v>0</v>
      </c>
      <c r="W643" s="1568"/>
      <c r="X643" s="1568"/>
      <c r="Y643" s="523">
        <f>IF(D275&gt;0,IF(V643&gt;0,0,1),0)</f>
        <v>1</v>
      </c>
      <c r="AP643" s="458"/>
      <c r="AQ643" s="458"/>
      <c r="AR643" s="458"/>
      <c r="AS643" s="458"/>
      <c r="AT643" s="458"/>
      <c r="BD643" s="387">
        <f t="shared" si="338"/>
        <v>25</v>
      </c>
      <c r="BE643" s="382">
        <f>IF(BD643&gt;0,306,0)</f>
        <v>306</v>
      </c>
      <c r="BG643" s="383">
        <f>IF($BE643&gt;$R$66-3+($BR$335*12),306,0)</f>
        <v>306</v>
      </c>
      <c r="BH643" s="1754">
        <f t="shared" si="339"/>
        <v>0</v>
      </c>
      <c r="BI643" s="1754"/>
      <c r="BJ643" s="1754"/>
      <c r="BK643" s="1754"/>
      <c r="BL643" s="1754">
        <f t="shared" si="293"/>
        <v>0</v>
      </c>
      <c r="BM643" s="1754"/>
      <c r="BN643" s="1754"/>
      <c r="BO643" s="1754">
        <f t="shared" si="285"/>
        <v>0</v>
      </c>
      <c r="BP643" s="1754"/>
      <c r="BQ643" s="1754"/>
      <c r="BR643" s="1754">
        <f t="shared" si="340"/>
        <v>0</v>
      </c>
      <c r="BS643" s="1754"/>
      <c r="BT643" s="1754"/>
      <c r="BU643" s="1754"/>
      <c r="BW643" s="383">
        <f>IF($BE643&gt;$R$66-3+($CH$335*12),306,0)</f>
        <v>306</v>
      </c>
      <c r="BX643" s="1754">
        <f t="shared" si="273"/>
        <v>0</v>
      </c>
      <c r="BY643" s="1754"/>
      <c r="BZ643" s="1754"/>
      <c r="CA643" s="1754"/>
      <c r="CB643" s="1754">
        <f t="shared" si="294"/>
        <v>0</v>
      </c>
      <c r="CC643" s="1754"/>
      <c r="CD643" s="1754"/>
      <c r="CE643" s="1754">
        <f t="shared" si="286"/>
        <v>0</v>
      </c>
      <c r="CF643" s="1754"/>
      <c r="CG643" s="1754"/>
      <c r="CH643" s="1754">
        <f t="shared" si="287"/>
        <v>0</v>
      </c>
      <c r="CI643" s="1754"/>
      <c r="CJ643" s="1754"/>
      <c r="CK643" s="1754"/>
      <c r="CM643" s="383">
        <f>IF($BE643&gt;$R$66-3+($CX$335*12),306,0)</f>
        <v>306</v>
      </c>
      <c r="CN643" s="1754">
        <f t="shared" si="274"/>
        <v>0</v>
      </c>
      <c r="CO643" s="1754"/>
      <c r="CP643" s="1754"/>
      <c r="CQ643" s="1754"/>
      <c r="CR643" s="1754">
        <f t="shared" si="295"/>
        <v>0</v>
      </c>
      <c r="CS643" s="1754"/>
      <c r="CT643" s="1754"/>
      <c r="CU643" s="1754">
        <f t="shared" si="288"/>
        <v>0</v>
      </c>
      <c r="CV643" s="1754"/>
      <c r="CW643" s="1754"/>
      <c r="CX643" s="1754">
        <f t="shared" si="289"/>
        <v>0</v>
      </c>
      <c r="CY643" s="1754"/>
      <c r="CZ643" s="1754"/>
      <c r="DA643" s="1754"/>
      <c r="DC643" s="383">
        <f>IF($BE643&gt;$R$66-3,306,0)</f>
        <v>306</v>
      </c>
      <c r="DD643" s="1754">
        <f t="shared" si="275"/>
        <v>0</v>
      </c>
      <c r="DE643" s="1754"/>
      <c r="DF643" s="1754"/>
      <c r="DG643" s="1754"/>
      <c r="DH643" s="1754">
        <f t="shared" si="296"/>
        <v>0</v>
      </c>
      <c r="DI643" s="1754"/>
      <c r="DJ643" s="1754"/>
      <c r="DK643" s="1754">
        <f t="shared" si="325"/>
        <v>0</v>
      </c>
      <c r="DL643" s="1754"/>
      <c r="DM643" s="1754"/>
      <c r="DN643" s="1754"/>
      <c r="DP643" s="383">
        <f t="shared" si="297"/>
        <v>306</v>
      </c>
      <c r="DQ643" s="1754">
        <f t="shared" si="305"/>
        <v>0</v>
      </c>
      <c r="DR643" s="1754"/>
      <c r="DS643" s="1754"/>
      <c r="DT643" s="1754"/>
      <c r="DU643" s="1754">
        <f t="shared" si="306"/>
        <v>0</v>
      </c>
      <c r="DV643" s="1754"/>
      <c r="DW643" s="1754"/>
      <c r="DX643" s="1754">
        <f t="shared" si="317"/>
        <v>0</v>
      </c>
      <c r="DY643" s="1754"/>
      <c r="DZ643" s="1754"/>
      <c r="EA643" s="1754">
        <f t="shared" si="318"/>
        <v>0</v>
      </c>
      <c r="EB643" s="1754"/>
      <c r="EC643" s="1754"/>
      <c r="ED643" s="1754"/>
      <c r="EE643" s="384"/>
      <c r="EF643" s="1750">
        <f t="shared" si="290"/>
        <v>0</v>
      </c>
      <c r="EG643" s="1751"/>
      <c r="EH643" s="1751"/>
      <c r="EI643" s="1751"/>
      <c r="EJ643" s="1752"/>
      <c r="EL643" s="1750">
        <f>EL631*7/12</f>
        <v>0</v>
      </c>
      <c r="EM643" s="1751"/>
      <c r="EN643" s="1751"/>
      <c r="EO643" s="1751"/>
      <c r="EP643" s="1752"/>
      <c r="ER643" s="1750">
        <f t="shared" si="291"/>
        <v>0</v>
      </c>
      <c r="ES643" s="1751"/>
      <c r="ET643" s="1751"/>
      <c r="EU643" s="1751"/>
      <c r="EV643" s="1752"/>
      <c r="EX643" s="1750">
        <f>IF(BE643&gt;0,Einstrahlung!$K$20*Kalkulation!$P$62/100*$AY$29*POWER((100-$P$64)/100,BD643-1),0)</f>
        <v>0</v>
      </c>
      <c r="EY643" s="1751"/>
      <c r="EZ643" s="1751"/>
      <c r="FA643" s="1751"/>
      <c r="FB643" s="1752"/>
      <c r="FD643" s="1804">
        <f t="shared" si="280"/>
        <v>0</v>
      </c>
      <c r="FE643" s="1805"/>
      <c r="FF643" s="1805"/>
      <c r="FG643" s="1805"/>
      <c r="FH643" s="1806"/>
      <c r="FI643" s="785">
        <f t="shared" si="342"/>
        <v>1</v>
      </c>
      <c r="FJ643" s="380">
        <f t="shared" si="304"/>
        <v>0</v>
      </c>
      <c r="FK643" s="385"/>
      <c r="FL643" s="380">
        <f t="shared" si="343"/>
        <v>0</v>
      </c>
      <c r="FM643" s="385"/>
      <c r="FN643" s="380">
        <f t="shared" si="298"/>
        <v>0</v>
      </c>
      <c r="FO643" s="962">
        <f t="shared" si="302"/>
        <v>435</v>
      </c>
      <c r="FP643" s="956">
        <f t="shared" si="292"/>
        <v>0.4</v>
      </c>
      <c r="FQ643" s="380">
        <f t="shared" si="311"/>
        <v>0</v>
      </c>
      <c r="FR643" s="626">
        <f t="shared" si="344"/>
        <v>1</v>
      </c>
      <c r="FT643" s="1819">
        <f t="shared" si="303"/>
        <v>0</v>
      </c>
      <c r="FU643" s="1820"/>
      <c r="FV643" s="1820"/>
      <c r="FW643" s="1820"/>
      <c r="FX643" s="1821"/>
      <c r="FY643" s="1819">
        <f t="shared" si="299"/>
        <v>0</v>
      </c>
      <c r="FZ643" s="1820"/>
      <c r="GA643" s="1820"/>
      <c r="GB643" s="1821"/>
      <c r="GC643" s="1825">
        <f t="shared" si="320"/>
        <v>0</v>
      </c>
      <c r="GD643" s="1826"/>
      <c r="GE643" s="1826"/>
      <c r="GF643" s="1827"/>
      <c r="GH643" s="1750">
        <f t="shared" si="300"/>
        <v>0</v>
      </c>
      <c r="GI643" s="1751"/>
      <c r="GJ643" s="1751"/>
      <c r="GK643" s="1752"/>
      <c r="GL643" s="1750">
        <f t="shared" si="301"/>
        <v>0</v>
      </c>
      <c r="GM643" s="1751"/>
      <c r="GN643" s="1751"/>
      <c r="GO643" s="1752"/>
      <c r="GP643" s="385"/>
      <c r="GQ643" s="1750">
        <f t="shared" si="345"/>
        <v>0</v>
      </c>
      <c r="GR643" s="1751"/>
      <c r="GS643" s="1751"/>
      <c r="GT643" s="1752"/>
      <c r="GU643" s="192">
        <f t="shared" si="307"/>
        <v>1</v>
      </c>
      <c r="GV643" s="192">
        <f>SUM($GU$337:GU643)</f>
        <v>299</v>
      </c>
      <c r="GW643" s="318"/>
      <c r="HU643" s="380">
        <f t="shared" si="341"/>
        <v>0</v>
      </c>
      <c r="HX643" s="380"/>
    </row>
    <row r="644" spans="4:232">
      <c r="D644" s="409"/>
      <c r="E644" s="318"/>
      <c r="F644" s="1568"/>
      <c r="G644" s="1568"/>
      <c r="H644" s="1568"/>
      <c r="I644" s="1568"/>
      <c r="J644" s="1568"/>
      <c r="K644" s="1568"/>
      <c r="L644" s="1568"/>
      <c r="M644" s="1568"/>
      <c r="N644" s="1568"/>
      <c r="O644" s="1568"/>
      <c r="P644" s="1568"/>
      <c r="Q644" s="1568"/>
      <c r="R644" s="1568"/>
      <c r="S644" s="1568"/>
      <c r="T644" s="1568"/>
      <c r="U644" s="247"/>
      <c r="V644" s="1568"/>
      <c r="W644" s="1568"/>
      <c r="X644" s="1568"/>
      <c r="Y644" s="523"/>
      <c r="AU644"/>
      <c r="BD644" s="387">
        <f t="shared" si="338"/>
        <v>25</v>
      </c>
      <c r="BE644" s="382">
        <f>IF(BD644&gt;0,307,0)</f>
        <v>307</v>
      </c>
      <c r="BG644" s="383">
        <f>IF($BE644&gt;$R$66-3+($BR$335*12),307,0)</f>
        <v>307</v>
      </c>
      <c r="BH644" s="1754">
        <f t="shared" si="339"/>
        <v>0</v>
      </c>
      <c r="BI644" s="1754"/>
      <c r="BJ644" s="1754"/>
      <c r="BK644" s="1754"/>
      <c r="BL644" s="1754">
        <f t="shared" si="293"/>
        <v>0</v>
      </c>
      <c r="BM644" s="1754"/>
      <c r="BN644" s="1754"/>
      <c r="BO644" s="1754">
        <f t="shared" si="285"/>
        <v>0</v>
      </c>
      <c r="BP644" s="1754"/>
      <c r="BQ644" s="1754"/>
      <c r="BR644" s="1754">
        <f t="shared" si="340"/>
        <v>0</v>
      </c>
      <c r="BS644" s="1754"/>
      <c r="BT644" s="1754"/>
      <c r="BU644" s="1754"/>
      <c r="BW644" s="383">
        <f>IF($BE644&gt;$R$66-3+($CH$335*12),307,0)</f>
        <v>307</v>
      </c>
      <c r="BX644" s="1754">
        <f t="shared" si="273"/>
        <v>0</v>
      </c>
      <c r="BY644" s="1754"/>
      <c r="BZ644" s="1754"/>
      <c r="CA644" s="1754"/>
      <c r="CB644" s="1754">
        <f t="shared" si="294"/>
        <v>0</v>
      </c>
      <c r="CC644" s="1754"/>
      <c r="CD644" s="1754"/>
      <c r="CE644" s="1754">
        <f t="shared" si="286"/>
        <v>0</v>
      </c>
      <c r="CF644" s="1754"/>
      <c r="CG644" s="1754"/>
      <c r="CH644" s="1754">
        <f t="shared" si="287"/>
        <v>0</v>
      </c>
      <c r="CI644" s="1754"/>
      <c r="CJ644" s="1754"/>
      <c r="CK644" s="1754"/>
      <c r="CM644" s="383">
        <f>IF($BE644&gt;$R$66-3+($CX$335*12),307,0)</f>
        <v>307</v>
      </c>
      <c r="CN644" s="1754">
        <f t="shared" si="274"/>
        <v>0</v>
      </c>
      <c r="CO644" s="1754"/>
      <c r="CP644" s="1754"/>
      <c r="CQ644" s="1754"/>
      <c r="CR644" s="1754">
        <f t="shared" si="295"/>
        <v>0</v>
      </c>
      <c r="CS644" s="1754"/>
      <c r="CT644" s="1754"/>
      <c r="CU644" s="1754">
        <f t="shared" si="288"/>
        <v>0</v>
      </c>
      <c r="CV644" s="1754"/>
      <c r="CW644" s="1754"/>
      <c r="CX644" s="1754">
        <f t="shared" si="289"/>
        <v>0</v>
      </c>
      <c r="CY644" s="1754"/>
      <c r="CZ644" s="1754"/>
      <c r="DA644" s="1754"/>
      <c r="DC644" s="383">
        <f>IF($BE644&gt;$R$66-3,307,0)</f>
        <v>307</v>
      </c>
      <c r="DD644" s="1754">
        <f t="shared" si="275"/>
        <v>0</v>
      </c>
      <c r="DE644" s="1754"/>
      <c r="DF644" s="1754"/>
      <c r="DG644" s="1754"/>
      <c r="DH644" s="1754">
        <f t="shared" si="296"/>
        <v>0</v>
      </c>
      <c r="DI644" s="1754"/>
      <c r="DJ644" s="1754"/>
      <c r="DK644" s="1754">
        <f t="shared" si="325"/>
        <v>0</v>
      </c>
      <c r="DL644" s="1754"/>
      <c r="DM644" s="1754"/>
      <c r="DN644" s="1754"/>
      <c r="DP644" s="383">
        <f t="shared" si="297"/>
        <v>307</v>
      </c>
      <c r="DQ644" s="1754">
        <f t="shared" si="305"/>
        <v>0</v>
      </c>
      <c r="DR644" s="1754"/>
      <c r="DS644" s="1754"/>
      <c r="DT644" s="1754"/>
      <c r="DU644" s="1754">
        <f t="shared" si="306"/>
        <v>0</v>
      </c>
      <c r="DV644" s="1754"/>
      <c r="DW644" s="1754"/>
      <c r="DX644" s="1754">
        <f t="shared" si="317"/>
        <v>0</v>
      </c>
      <c r="DY644" s="1754"/>
      <c r="DZ644" s="1754"/>
      <c r="EA644" s="1754">
        <f t="shared" si="318"/>
        <v>0</v>
      </c>
      <c r="EB644" s="1754"/>
      <c r="EC644" s="1754"/>
      <c r="ED644" s="1754"/>
      <c r="EE644" s="384"/>
      <c r="EF644" s="1750">
        <f t="shared" si="290"/>
        <v>0</v>
      </c>
      <c r="EG644" s="1751"/>
      <c r="EH644" s="1751"/>
      <c r="EI644" s="1751"/>
      <c r="EJ644" s="1752"/>
      <c r="EL644" s="1750">
        <f>EL632*6/12</f>
        <v>0</v>
      </c>
      <c r="EM644" s="1751"/>
      <c r="EN644" s="1751"/>
      <c r="EO644" s="1751"/>
      <c r="EP644" s="1752"/>
      <c r="ER644" s="1750">
        <f t="shared" si="291"/>
        <v>0</v>
      </c>
      <c r="ES644" s="1751"/>
      <c r="ET644" s="1751"/>
      <c r="EU644" s="1751"/>
      <c r="EV644" s="1752"/>
      <c r="EX644" s="1750">
        <f>IF(BE644&gt;0,Einstrahlung!$K$22*Kalkulation!$P$62/100*$AY$29*POWER((100-$P$64)/100,BD644-1),0)</f>
        <v>0</v>
      </c>
      <c r="EY644" s="1751"/>
      <c r="EZ644" s="1751"/>
      <c r="FA644" s="1751"/>
      <c r="FB644" s="1752"/>
      <c r="FD644" s="1804">
        <f t="shared" si="280"/>
        <v>0</v>
      </c>
      <c r="FE644" s="1805"/>
      <c r="FF644" s="1805"/>
      <c r="FG644" s="1805"/>
      <c r="FH644" s="1806"/>
      <c r="FI644" s="785">
        <f t="shared" si="342"/>
        <v>1</v>
      </c>
      <c r="FJ644" s="380">
        <f t="shared" si="304"/>
        <v>0</v>
      </c>
      <c r="FK644" s="385"/>
      <c r="FL644" s="380">
        <f t="shared" si="343"/>
        <v>0</v>
      </c>
      <c r="FM644" s="385"/>
      <c r="FN644" s="380">
        <f t="shared" si="298"/>
        <v>0</v>
      </c>
      <c r="FO644" s="962">
        <f t="shared" si="302"/>
        <v>436</v>
      </c>
      <c r="FP644" s="956">
        <f t="shared" si="292"/>
        <v>0.4</v>
      </c>
      <c r="FQ644" s="380">
        <f t="shared" si="311"/>
        <v>0</v>
      </c>
      <c r="FR644" s="626">
        <f t="shared" si="344"/>
        <v>1</v>
      </c>
      <c r="FT644" s="1819">
        <f t="shared" si="303"/>
        <v>0</v>
      </c>
      <c r="FU644" s="1820"/>
      <c r="FV644" s="1820"/>
      <c r="FW644" s="1820"/>
      <c r="FX644" s="1821"/>
      <c r="FY644" s="1819">
        <f t="shared" si="299"/>
        <v>0</v>
      </c>
      <c r="FZ644" s="1820"/>
      <c r="GA644" s="1820"/>
      <c r="GB644" s="1821"/>
      <c r="GC644" s="1825">
        <f t="shared" si="320"/>
        <v>0</v>
      </c>
      <c r="GD644" s="1826"/>
      <c r="GE644" s="1826"/>
      <c r="GF644" s="1827"/>
      <c r="GH644" s="1750">
        <f t="shared" si="300"/>
        <v>0</v>
      </c>
      <c r="GI644" s="1751"/>
      <c r="GJ644" s="1751"/>
      <c r="GK644" s="1752"/>
      <c r="GL644" s="1750">
        <f t="shared" si="301"/>
        <v>0</v>
      </c>
      <c r="GM644" s="1751"/>
      <c r="GN644" s="1751"/>
      <c r="GO644" s="1752"/>
      <c r="GP644" s="385"/>
      <c r="GQ644" s="1750">
        <f t="shared" si="345"/>
        <v>0</v>
      </c>
      <c r="GR644" s="1751"/>
      <c r="GS644" s="1751"/>
      <c r="GT644" s="1752"/>
      <c r="GU644" s="192">
        <f t="shared" si="307"/>
        <v>1</v>
      </c>
      <c r="GV644" s="192">
        <f>SUM($GU$337:GU644)</f>
        <v>300</v>
      </c>
      <c r="GW644" s="318"/>
      <c r="HU644" s="380">
        <f t="shared" si="341"/>
        <v>0</v>
      </c>
      <c r="HX644" s="380"/>
    </row>
    <row r="645" spans="4:232">
      <c r="D645" s="409">
        <v>16</v>
      </c>
      <c r="E645" s="318"/>
      <c r="F645" s="1568">
        <f>AH277</f>
        <v>0</v>
      </c>
      <c r="G645" s="1568"/>
      <c r="H645" s="1568"/>
      <c r="I645" s="1568"/>
      <c r="J645" s="1568"/>
      <c r="K645" s="1568"/>
      <c r="L645" s="1568"/>
      <c r="M645" s="1568"/>
      <c r="N645" s="1568"/>
      <c r="O645" s="1568"/>
      <c r="P645" s="1568"/>
      <c r="Q645" s="1568"/>
      <c r="R645" s="1568"/>
      <c r="S645" s="1568"/>
      <c r="T645" s="1568"/>
      <c r="U645" s="247"/>
      <c r="V645" s="1568"/>
      <c r="W645" s="1568"/>
      <c r="X645" s="1568"/>
      <c r="Y645" s="523"/>
      <c r="AP645" s="458"/>
      <c r="AQ645" s="458"/>
      <c r="AR645" s="458"/>
      <c r="AS645" s="458"/>
      <c r="AT645" s="458"/>
      <c r="BD645" s="387">
        <f t="shared" si="338"/>
        <v>25</v>
      </c>
      <c r="BE645" s="382">
        <f>IF(BD645&gt;0,308,0)</f>
        <v>308</v>
      </c>
      <c r="BG645" s="383">
        <f>IF($BE645&gt;$R$66-3+($BR$335*12),308,0)</f>
        <v>308</v>
      </c>
      <c r="BH645" s="1754">
        <f t="shared" si="339"/>
        <v>0</v>
      </c>
      <c r="BI645" s="1754"/>
      <c r="BJ645" s="1754"/>
      <c r="BK645" s="1754"/>
      <c r="BL645" s="1754">
        <f t="shared" si="293"/>
        <v>0</v>
      </c>
      <c r="BM645" s="1754"/>
      <c r="BN645" s="1754"/>
      <c r="BO645" s="1754">
        <f t="shared" si="285"/>
        <v>0</v>
      </c>
      <c r="BP645" s="1754"/>
      <c r="BQ645" s="1754"/>
      <c r="BR645" s="1754">
        <f t="shared" si="340"/>
        <v>0</v>
      </c>
      <c r="BS645" s="1754"/>
      <c r="BT645" s="1754"/>
      <c r="BU645" s="1754"/>
      <c r="BW645" s="383">
        <f>IF($BE645&gt;$R$66-3+($CH$335*12),308,0)</f>
        <v>308</v>
      </c>
      <c r="BX645" s="1754">
        <f t="shared" si="273"/>
        <v>0</v>
      </c>
      <c r="BY645" s="1754"/>
      <c r="BZ645" s="1754"/>
      <c r="CA645" s="1754"/>
      <c r="CB645" s="1754">
        <f t="shared" si="294"/>
        <v>0</v>
      </c>
      <c r="CC645" s="1754"/>
      <c r="CD645" s="1754"/>
      <c r="CE645" s="1754">
        <f t="shared" si="286"/>
        <v>0</v>
      </c>
      <c r="CF645" s="1754"/>
      <c r="CG645" s="1754"/>
      <c r="CH645" s="1754">
        <f t="shared" si="287"/>
        <v>0</v>
      </c>
      <c r="CI645" s="1754"/>
      <c r="CJ645" s="1754"/>
      <c r="CK645" s="1754"/>
      <c r="CM645" s="383">
        <f>IF($BE645&gt;$R$66-3+($CX$335*12),308,0)</f>
        <v>308</v>
      </c>
      <c r="CN645" s="1754">
        <f t="shared" si="274"/>
        <v>0</v>
      </c>
      <c r="CO645" s="1754"/>
      <c r="CP645" s="1754"/>
      <c r="CQ645" s="1754"/>
      <c r="CR645" s="1754">
        <f t="shared" si="295"/>
        <v>0</v>
      </c>
      <c r="CS645" s="1754"/>
      <c r="CT645" s="1754"/>
      <c r="CU645" s="1754">
        <f t="shared" si="288"/>
        <v>0</v>
      </c>
      <c r="CV645" s="1754"/>
      <c r="CW645" s="1754"/>
      <c r="CX645" s="1754">
        <f t="shared" si="289"/>
        <v>0</v>
      </c>
      <c r="CY645" s="1754"/>
      <c r="CZ645" s="1754"/>
      <c r="DA645" s="1754"/>
      <c r="DC645" s="383">
        <f>IF($BE645&gt;$R$66-3,308,0)</f>
        <v>308</v>
      </c>
      <c r="DD645" s="1754">
        <f t="shared" si="275"/>
        <v>0</v>
      </c>
      <c r="DE645" s="1754"/>
      <c r="DF645" s="1754"/>
      <c r="DG645" s="1754"/>
      <c r="DH645" s="1754">
        <f t="shared" si="296"/>
        <v>0</v>
      </c>
      <c r="DI645" s="1754"/>
      <c r="DJ645" s="1754"/>
      <c r="DK645" s="1754">
        <f t="shared" si="325"/>
        <v>0</v>
      </c>
      <c r="DL645" s="1754"/>
      <c r="DM645" s="1754"/>
      <c r="DN645" s="1754"/>
      <c r="DP645" s="383">
        <f t="shared" si="297"/>
        <v>308</v>
      </c>
      <c r="DQ645" s="1754">
        <f t="shared" si="305"/>
        <v>0</v>
      </c>
      <c r="DR645" s="1754"/>
      <c r="DS645" s="1754"/>
      <c r="DT645" s="1754"/>
      <c r="DU645" s="1754">
        <f t="shared" si="306"/>
        <v>0</v>
      </c>
      <c r="DV645" s="1754"/>
      <c r="DW645" s="1754"/>
      <c r="DX645" s="1754">
        <f t="shared" si="317"/>
        <v>0</v>
      </c>
      <c r="DY645" s="1754"/>
      <c r="DZ645" s="1754"/>
      <c r="EA645" s="1754">
        <f t="shared" si="318"/>
        <v>0</v>
      </c>
      <c r="EB645" s="1754"/>
      <c r="EC645" s="1754"/>
      <c r="ED645" s="1754"/>
      <c r="EE645" s="384"/>
      <c r="EF645" s="1750">
        <f t="shared" si="290"/>
        <v>0</v>
      </c>
      <c r="EG645" s="1751"/>
      <c r="EH645" s="1751"/>
      <c r="EI645" s="1751"/>
      <c r="EJ645" s="1752"/>
      <c r="EL645" s="1750">
        <f>EL633*5/12</f>
        <v>0</v>
      </c>
      <c r="EM645" s="1751"/>
      <c r="EN645" s="1751"/>
      <c r="EO645" s="1751"/>
      <c r="EP645" s="1752"/>
      <c r="ER645" s="1750">
        <f t="shared" si="291"/>
        <v>0</v>
      </c>
      <c r="ES645" s="1751"/>
      <c r="ET645" s="1751"/>
      <c r="EU645" s="1751"/>
      <c r="EV645" s="1752"/>
      <c r="EX645" s="1750">
        <f>IF(BE645&gt;0,Einstrahlung!$K$24*Kalkulation!$P$62/100*$AY$29*POWER((100-$P$64)/100,BD645-1),0)</f>
        <v>0</v>
      </c>
      <c r="EY645" s="1751"/>
      <c r="EZ645" s="1751"/>
      <c r="FA645" s="1751"/>
      <c r="FB645" s="1752"/>
      <c r="FD645" s="1804">
        <f t="shared" si="280"/>
        <v>0</v>
      </c>
      <c r="FE645" s="1805"/>
      <c r="FF645" s="1805"/>
      <c r="FG645" s="1805"/>
      <c r="FH645" s="1806"/>
      <c r="FI645" s="785">
        <f t="shared" si="342"/>
        <v>1</v>
      </c>
      <c r="FJ645" s="380">
        <f t="shared" si="304"/>
        <v>0</v>
      </c>
      <c r="FK645" s="385"/>
      <c r="FL645" s="380">
        <f t="shared" si="343"/>
        <v>0</v>
      </c>
      <c r="FM645" s="385"/>
      <c r="FN645" s="380">
        <f t="shared" si="298"/>
        <v>0</v>
      </c>
      <c r="FO645" s="962">
        <f t="shared" si="302"/>
        <v>437</v>
      </c>
      <c r="FP645" s="956">
        <f t="shared" si="292"/>
        <v>0.4</v>
      </c>
      <c r="FQ645" s="380">
        <f t="shared" si="311"/>
        <v>0</v>
      </c>
      <c r="FR645" s="626">
        <f t="shared" si="344"/>
        <v>1</v>
      </c>
      <c r="FT645" s="1819">
        <f t="shared" si="303"/>
        <v>0</v>
      </c>
      <c r="FU645" s="1820"/>
      <c r="FV645" s="1820"/>
      <c r="FW645" s="1820"/>
      <c r="FX645" s="1821"/>
      <c r="FY645" s="1819">
        <f t="shared" si="299"/>
        <v>0</v>
      </c>
      <c r="FZ645" s="1820"/>
      <c r="GA645" s="1820"/>
      <c r="GB645" s="1821"/>
      <c r="GC645" s="1825">
        <f t="shared" si="320"/>
        <v>0</v>
      </c>
      <c r="GD645" s="1826"/>
      <c r="GE645" s="1826"/>
      <c r="GF645" s="1827"/>
      <c r="GH645" s="1750">
        <f t="shared" si="300"/>
        <v>0</v>
      </c>
      <c r="GI645" s="1751"/>
      <c r="GJ645" s="1751"/>
      <c r="GK645" s="1752"/>
      <c r="GL645" s="1750">
        <f t="shared" si="301"/>
        <v>0</v>
      </c>
      <c r="GM645" s="1751"/>
      <c r="GN645" s="1751"/>
      <c r="GO645" s="1752"/>
      <c r="GP645" s="385"/>
      <c r="GQ645" s="1750">
        <f t="shared" si="345"/>
        <v>0</v>
      </c>
      <c r="GR645" s="1751"/>
      <c r="GS645" s="1751"/>
      <c r="GT645" s="1752"/>
      <c r="GU645" s="192">
        <f t="shared" si="307"/>
        <v>1</v>
      </c>
      <c r="GV645" s="192">
        <f>SUM($GU$337:GU645)</f>
        <v>301</v>
      </c>
      <c r="GW645" s="318"/>
      <c r="HU645" s="380">
        <f t="shared" si="341"/>
        <v>0</v>
      </c>
      <c r="HX645" s="380"/>
    </row>
    <row r="646" spans="4:232">
      <c r="D646" s="409"/>
      <c r="E646" s="318"/>
      <c r="F646" s="1568"/>
      <c r="G646" s="1568"/>
      <c r="H646" s="1568"/>
      <c r="I646" s="1568">
        <f>F645</f>
        <v>0</v>
      </c>
      <c r="J646" s="1568"/>
      <c r="K646" s="1568"/>
      <c r="L646" s="1568"/>
      <c r="M646" s="1568"/>
      <c r="N646" s="1568"/>
      <c r="O646" s="1568"/>
      <c r="P646" s="1568"/>
      <c r="Q646" s="1568"/>
      <c r="R646" s="1568"/>
      <c r="S646" s="1568"/>
      <c r="T646" s="1568"/>
      <c r="U646" s="247"/>
      <c r="V646" s="1568"/>
      <c r="W646" s="1568"/>
      <c r="X646" s="1568"/>
      <c r="Y646" s="523"/>
      <c r="AU646"/>
      <c r="BD646" s="387">
        <f t="shared" si="338"/>
        <v>25</v>
      </c>
      <c r="BE646" s="382">
        <f>IF(BD646&gt;0,309,0)</f>
        <v>309</v>
      </c>
      <c r="BG646" s="383">
        <f>IF($BE646&gt;$R$66-3+($BR$335*12),309,0)</f>
        <v>309</v>
      </c>
      <c r="BH646" s="1754">
        <f t="shared" si="339"/>
        <v>0</v>
      </c>
      <c r="BI646" s="1754"/>
      <c r="BJ646" s="1754"/>
      <c r="BK646" s="1754"/>
      <c r="BL646" s="1754">
        <f t="shared" si="293"/>
        <v>0</v>
      </c>
      <c r="BM646" s="1754"/>
      <c r="BN646" s="1754"/>
      <c r="BO646" s="1754">
        <f t="shared" si="285"/>
        <v>0</v>
      </c>
      <c r="BP646" s="1754"/>
      <c r="BQ646" s="1754"/>
      <c r="BR646" s="1754">
        <f t="shared" si="340"/>
        <v>0</v>
      </c>
      <c r="BS646" s="1754"/>
      <c r="BT646" s="1754"/>
      <c r="BU646" s="1754"/>
      <c r="BW646" s="383">
        <f>IF($BE646&gt;$R$66-3+($CH$335*12),309,0)</f>
        <v>309</v>
      </c>
      <c r="BX646" s="1754">
        <f>IF(CH645&lt;=0,0,CH645)</f>
        <v>0</v>
      </c>
      <c r="BY646" s="1754"/>
      <c r="BZ646" s="1754"/>
      <c r="CA646" s="1754"/>
      <c r="CB646" s="1754">
        <f t="shared" si="294"/>
        <v>0</v>
      </c>
      <c r="CC646" s="1754"/>
      <c r="CD646" s="1754"/>
      <c r="CE646" s="1754">
        <f t="shared" si="286"/>
        <v>0</v>
      </c>
      <c r="CF646" s="1754"/>
      <c r="CG646" s="1754"/>
      <c r="CH646" s="1754">
        <f t="shared" si="287"/>
        <v>0</v>
      </c>
      <c r="CI646" s="1754"/>
      <c r="CJ646" s="1754"/>
      <c r="CK646" s="1754"/>
      <c r="CM646" s="383">
        <f>IF($BE646&gt;$R$66-3+($CX$335*12),309,0)</f>
        <v>309</v>
      </c>
      <c r="CN646" s="1754">
        <f>IF(CX645&lt;=0,0,CX645)</f>
        <v>0</v>
      </c>
      <c r="CO646" s="1754"/>
      <c r="CP646" s="1754"/>
      <c r="CQ646" s="1754"/>
      <c r="CR646" s="1754">
        <f t="shared" si="295"/>
        <v>0</v>
      </c>
      <c r="CS646" s="1754"/>
      <c r="CT646" s="1754"/>
      <c r="CU646" s="1754">
        <f t="shared" si="288"/>
        <v>0</v>
      </c>
      <c r="CV646" s="1754"/>
      <c r="CW646" s="1754"/>
      <c r="CX646" s="1754">
        <f t="shared" si="289"/>
        <v>0</v>
      </c>
      <c r="CY646" s="1754"/>
      <c r="CZ646" s="1754"/>
      <c r="DA646" s="1754"/>
      <c r="DC646" s="383">
        <f>IF($BE646&gt;$R$66-3,309,0)</f>
        <v>309</v>
      </c>
      <c r="DD646" s="1754">
        <f>IF(DK645&lt;=0,0,DK645)</f>
        <v>0</v>
      </c>
      <c r="DE646" s="1754"/>
      <c r="DF646" s="1754"/>
      <c r="DG646" s="1754"/>
      <c r="DH646" s="1754">
        <f t="shared" si="296"/>
        <v>0</v>
      </c>
      <c r="DI646" s="1754"/>
      <c r="DJ646" s="1754"/>
      <c r="DK646" s="1754">
        <f t="shared" si="325"/>
        <v>0</v>
      </c>
      <c r="DL646" s="1754"/>
      <c r="DM646" s="1754"/>
      <c r="DN646" s="1754"/>
      <c r="DP646" s="383">
        <f t="shared" si="297"/>
        <v>309</v>
      </c>
      <c r="DQ646" s="1754">
        <f t="shared" si="305"/>
        <v>0</v>
      </c>
      <c r="DR646" s="1754"/>
      <c r="DS646" s="1754"/>
      <c r="DT646" s="1754"/>
      <c r="DU646" s="1754">
        <f t="shared" si="306"/>
        <v>0</v>
      </c>
      <c r="DV646" s="1754"/>
      <c r="DW646" s="1754"/>
      <c r="DX646" s="1754">
        <f t="shared" si="317"/>
        <v>0</v>
      </c>
      <c r="DY646" s="1754"/>
      <c r="DZ646" s="1754"/>
      <c r="EA646" s="1754">
        <f t="shared" si="318"/>
        <v>0</v>
      </c>
      <c r="EB646" s="1754"/>
      <c r="EC646" s="1754"/>
      <c r="ED646" s="1754"/>
      <c r="EE646" s="384"/>
      <c r="EF646" s="1750">
        <f t="shared" si="290"/>
        <v>0</v>
      </c>
      <c r="EG646" s="1751"/>
      <c r="EH646" s="1751"/>
      <c r="EI646" s="1751"/>
      <c r="EJ646" s="1752"/>
      <c r="EL646" s="1750">
        <f>EL634*4/12</f>
        <v>0</v>
      </c>
      <c r="EM646" s="1751"/>
      <c r="EN646" s="1751"/>
      <c r="EO646" s="1751"/>
      <c r="EP646" s="1752"/>
      <c r="ER646" s="1750">
        <f t="shared" si="291"/>
        <v>0</v>
      </c>
      <c r="ES646" s="1751"/>
      <c r="ET646" s="1751"/>
      <c r="EU646" s="1751"/>
      <c r="EV646" s="1752"/>
      <c r="EX646" s="1750">
        <f>IF(BE646&gt;0,Einstrahlung!$K$26*Kalkulation!$P$62/100*$AY$29*POWER((100-$P$64)/100,BD646-1),0)</f>
        <v>0</v>
      </c>
      <c r="EY646" s="1751"/>
      <c r="EZ646" s="1751"/>
      <c r="FA646" s="1751"/>
      <c r="FB646" s="1752"/>
      <c r="FD646" s="1804">
        <f t="shared" si="280"/>
        <v>0</v>
      </c>
      <c r="FE646" s="1805"/>
      <c r="FF646" s="1805"/>
      <c r="FG646" s="1805"/>
      <c r="FH646" s="1806"/>
      <c r="FI646" s="785">
        <f t="shared" si="342"/>
        <v>1</v>
      </c>
      <c r="FJ646" s="380">
        <f t="shared" si="304"/>
        <v>0</v>
      </c>
      <c r="FK646" s="385"/>
      <c r="FL646" s="380">
        <f t="shared" si="343"/>
        <v>0</v>
      </c>
      <c r="FM646" s="385"/>
      <c r="FN646" s="380">
        <f t="shared" si="298"/>
        <v>0</v>
      </c>
      <c r="FO646" s="962">
        <f t="shared" si="302"/>
        <v>438</v>
      </c>
      <c r="FP646" s="956">
        <f t="shared" si="292"/>
        <v>0.4</v>
      </c>
      <c r="FQ646" s="380">
        <f t="shared" si="311"/>
        <v>0</v>
      </c>
      <c r="FR646" s="626">
        <f t="shared" si="344"/>
        <v>1</v>
      </c>
      <c r="FT646" s="1819">
        <f t="shared" si="303"/>
        <v>0</v>
      </c>
      <c r="FU646" s="1820"/>
      <c r="FV646" s="1820"/>
      <c r="FW646" s="1820"/>
      <c r="FX646" s="1821"/>
      <c r="FY646" s="1819">
        <f t="shared" si="299"/>
        <v>0</v>
      </c>
      <c r="FZ646" s="1820"/>
      <c r="GA646" s="1820"/>
      <c r="GB646" s="1821"/>
      <c r="GC646" s="1825">
        <f t="shared" si="320"/>
        <v>0</v>
      </c>
      <c r="GD646" s="1826"/>
      <c r="GE646" s="1826"/>
      <c r="GF646" s="1827"/>
      <c r="GH646" s="1750">
        <f t="shared" si="300"/>
        <v>0</v>
      </c>
      <c r="GI646" s="1751"/>
      <c r="GJ646" s="1751"/>
      <c r="GK646" s="1752"/>
      <c r="GL646" s="1750">
        <f t="shared" si="301"/>
        <v>0</v>
      </c>
      <c r="GM646" s="1751"/>
      <c r="GN646" s="1751"/>
      <c r="GO646" s="1752"/>
      <c r="GP646" s="385"/>
      <c r="GQ646" s="1750">
        <f t="shared" si="345"/>
        <v>0</v>
      </c>
      <c r="GR646" s="1751"/>
      <c r="GS646" s="1751"/>
      <c r="GT646" s="1752"/>
      <c r="GU646" s="192">
        <f t="shared" si="307"/>
        <v>1</v>
      </c>
      <c r="GV646" s="192">
        <f>SUM($GU$337:GU646)</f>
        <v>302</v>
      </c>
      <c r="GW646" s="318"/>
      <c r="HU646" s="380">
        <f t="shared" si="341"/>
        <v>0</v>
      </c>
      <c r="HX646" s="380"/>
    </row>
    <row r="647" spans="4:232">
      <c r="D647" s="409"/>
      <c r="E647" s="318"/>
      <c r="F647" s="1568"/>
      <c r="G647" s="1568"/>
      <c r="H647" s="1568"/>
      <c r="I647" s="1568"/>
      <c r="J647" s="1568"/>
      <c r="K647" s="1568"/>
      <c r="L647" s="1568">
        <f>F645</f>
        <v>0</v>
      </c>
      <c r="M647" s="1568"/>
      <c r="N647" s="1568"/>
      <c r="O647" s="1568"/>
      <c r="P647" s="1568"/>
      <c r="Q647" s="1568"/>
      <c r="R647" s="1568"/>
      <c r="S647" s="1568"/>
      <c r="T647" s="1568"/>
      <c r="U647" s="247"/>
      <c r="V647" s="1568"/>
      <c r="W647" s="1568"/>
      <c r="X647" s="1568"/>
      <c r="Y647" s="523"/>
      <c r="AP647" s="458"/>
      <c r="AQ647" s="458"/>
      <c r="AR647" s="458"/>
      <c r="AS647" s="458"/>
      <c r="AT647" s="458"/>
      <c r="BD647" s="387">
        <f t="shared" si="338"/>
        <v>25</v>
      </c>
      <c r="BE647" s="382">
        <f>IF(BD647&gt;0,310,0)</f>
        <v>310</v>
      </c>
      <c r="BG647" s="383">
        <f>IF($BE647&gt;$R$66-3+($BR$335*12),310,0)</f>
        <v>310</v>
      </c>
      <c r="BH647" s="1754">
        <f t="shared" si="339"/>
        <v>0</v>
      </c>
      <c r="BI647" s="1754"/>
      <c r="BJ647" s="1754"/>
      <c r="BK647" s="1754"/>
      <c r="BL647" s="1754">
        <f t="shared" si="293"/>
        <v>0</v>
      </c>
      <c r="BM647" s="1754"/>
      <c r="BN647" s="1754"/>
      <c r="BO647" s="1754">
        <f t="shared" si="285"/>
        <v>0</v>
      </c>
      <c r="BP647" s="1754"/>
      <c r="BQ647" s="1754"/>
      <c r="BR647" s="1754">
        <f t="shared" si="340"/>
        <v>0</v>
      </c>
      <c r="BS647" s="1754"/>
      <c r="BT647" s="1754"/>
      <c r="BU647" s="1754"/>
      <c r="BW647" s="383">
        <f>IF($BE647&gt;$R$66-3+($CH$335*12),310,0)</f>
        <v>310</v>
      </c>
      <c r="BX647" s="1754">
        <f>IF(CH646&lt;=0,0,CH646)</f>
        <v>0</v>
      </c>
      <c r="BY647" s="1754"/>
      <c r="BZ647" s="1754"/>
      <c r="CA647" s="1754"/>
      <c r="CB647" s="1754">
        <f t="shared" si="294"/>
        <v>0</v>
      </c>
      <c r="CC647" s="1754"/>
      <c r="CD647" s="1754"/>
      <c r="CE647" s="1754">
        <f t="shared" si="286"/>
        <v>0</v>
      </c>
      <c r="CF647" s="1754"/>
      <c r="CG647" s="1754"/>
      <c r="CH647" s="1754">
        <f t="shared" si="287"/>
        <v>0</v>
      </c>
      <c r="CI647" s="1754"/>
      <c r="CJ647" s="1754"/>
      <c r="CK647" s="1754"/>
      <c r="CM647" s="383">
        <f>IF($BE647&gt;$R$66-3+($CX$335*12),310,0)</f>
        <v>310</v>
      </c>
      <c r="CN647" s="1754">
        <f>IF(CX646&lt;=0,0,CX646)</f>
        <v>0</v>
      </c>
      <c r="CO647" s="1754"/>
      <c r="CP647" s="1754"/>
      <c r="CQ647" s="1754"/>
      <c r="CR647" s="1754">
        <f t="shared" si="295"/>
        <v>0</v>
      </c>
      <c r="CS647" s="1754"/>
      <c r="CT647" s="1754"/>
      <c r="CU647" s="1754">
        <f t="shared" si="288"/>
        <v>0</v>
      </c>
      <c r="CV647" s="1754"/>
      <c r="CW647" s="1754"/>
      <c r="CX647" s="1754">
        <f t="shared" si="289"/>
        <v>0</v>
      </c>
      <c r="CY647" s="1754"/>
      <c r="CZ647" s="1754"/>
      <c r="DA647" s="1754"/>
      <c r="DC647" s="383">
        <f>IF($BE647&gt;$R$66-3,310,0)</f>
        <v>310</v>
      </c>
      <c r="DD647" s="1754">
        <f>IF(DK646&lt;=0,0,DK646)</f>
        <v>0</v>
      </c>
      <c r="DE647" s="1754"/>
      <c r="DF647" s="1754"/>
      <c r="DG647" s="1754"/>
      <c r="DH647" s="1754">
        <f t="shared" si="296"/>
        <v>0</v>
      </c>
      <c r="DI647" s="1754"/>
      <c r="DJ647" s="1754"/>
      <c r="DK647" s="1754">
        <f t="shared" si="325"/>
        <v>0</v>
      </c>
      <c r="DL647" s="1754"/>
      <c r="DM647" s="1754"/>
      <c r="DN647" s="1754"/>
      <c r="DP647" s="383">
        <f t="shared" si="297"/>
        <v>310</v>
      </c>
      <c r="DQ647" s="1754">
        <f t="shared" si="305"/>
        <v>0</v>
      </c>
      <c r="DR647" s="1754"/>
      <c r="DS647" s="1754"/>
      <c r="DT647" s="1754"/>
      <c r="DU647" s="1754">
        <f t="shared" si="306"/>
        <v>0</v>
      </c>
      <c r="DV647" s="1754"/>
      <c r="DW647" s="1754"/>
      <c r="DX647" s="1754">
        <f t="shared" si="317"/>
        <v>0</v>
      </c>
      <c r="DY647" s="1754"/>
      <c r="DZ647" s="1754"/>
      <c r="EA647" s="1754">
        <f t="shared" si="318"/>
        <v>0</v>
      </c>
      <c r="EB647" s="1754"/>
      <c r="EC647" s="1754"/>
      <c r="ED647" s="1754"/>
      <c r="EE647" s="384"/>
      <c r="EF647" s="1750">
        <f t="shared" si="290"/>
        <v>0</v>
      </c>
      <c r="EG647" s="1751"/>
      <c r="EH647" s="1751"/>
      <c r="EI647" s="1751"/>
      <c r="EJ647" s="1752"/>
      <c r="EL647" s="1750">
        <f>EL635*3/12</f>
        <v>0</v>
      </c>
      <c r="EM647" s="1751"/>
      <c r="EN647" s="1751"/>
      <c r="EO647" s="1751"/>
      <c r="EP647" s="1752"/>
      <c r="ER647" s="1750">
        <f t="shared" si="291"/>
        <v>0</v>
      </c>
      <c r="ES647" s="1751"/>
      <c r="ET647" s="1751"/>
      <c r="EU647" s="1751"/>
      <c r="EV647" s="1752"/>
      <c r="EX647" s="1750">
        <f>IF(BE647&gt;0,Einstrahlung!$K$28*Kalkulation!$P$62/100*$AY$29*POWER((100-$P$64)/100,BD647-1),0)</f>
        <v>0</v>
      </c>
      <c r="EY647" s="1751"/>
      <c r="EZ647" s="1751"/>
      <c r="FA647" s="1751"/>
      <c r="FB647" s="1752"/>
      <c r="FD647" s="1804">
        <f t="shared" si="280"/>
        <v>0</v>
      </c>
      <c r="FE647" s="1805"/>
      <c r="FF647" s="1805"/>
      <c r="FG647" s="1805"/>
      <c r="FH647" s="1806"/>
      <c r="FI647" s="785">
        <f t="shared" si="342"/>
        <v>1</v>
      </c>
      <c r="FJ647" s="380">
        <f t="shared" si="304"/>
        <v>0</v>
      </c>
      <c r="FK647" s="385"/>
      <c r="FL647" s="380">
        <f t="shared" si="343"/>
        <v>0</v>
      </c>
      <c r="FM647" s="385"/>
      <c r="FN647" s="380">
        <f t="shared" si="298"/>
        <v>0</v>
      </c>
      <c r="FO647" s="962">
        <f t="shared" si="302"/>
        <v>439</v>
      </c>
      <c r="FP647" s="956">
        <f t="shared" si="292"/>
        <v>0.4</v>
      </c>
      <c r="FQ647" s="380">
        <f t="shared" si="311"/>
        <v>0</v>
      </c>
      <c r="FR647" s="626">
        <f t="shared" si="344"/>
        <v>1</v>
      </c>
      <c r="FT647" s="1819">
        <f t="shared" si="303"/>
        <v>0</v>
      </c>
      <c r="FU647" s="1820"/>
      <c r="FV647" s="1820"/>
      <c r="FW647" s="1820"/>
      <c r="FX647" s="1821"/>
      <c r="FY647" s="1819">
        <f t="shared" si="299"/>
        <v>0</v>
      </c>
      <c r="FZ647" s="1820"/>
      <c r="GA647" s="1820"/>
      <c r="GB647" s="1821"/>
      <c r="GC647" s="1825">
        <f t="shared" si="320"/>
        <v>0</v>
      </c>
      <c r="GD647" s="1826"/>
      <c r="GE647" s="1826"/>
      <c r="GF647" s="1827"/>
      <c r="GH647" s="1750">
        <f t="shared" si="300"/>
        <v>0</v>
      </c>
      <c r="GI647" s="1751"/>
      <c r="GJ647" s="1751"/>
      <c r="GK647" s="1752"/>
      <c r="GL647" s="1750">
        <f t="shared" si="301"/>
        <v>0</v>
      </c>
      <c r="GM647" s="1751"/>
      <c r="GN647" s="1751"/>
      <c r="GO647" s="1752"/>
      <c r="GP647" s="385"/>
      <c r="GQ647" s="1750">
        <f t="shared" si="345"/>
        <v>0</v>
      </c>
      <c r="GR647" s="1751"/>
      <c r="GS647" s="1751"/>
      <c r="GT647" s="1752"/>
      <c r="GU647" s="192">
        <f t="shared" si="307"/>
        <v>1</v>
      </c>
      <c r="GV647" s="192">
        <f>SUM($GU$337:GU647)</f>
        <v>303</v>
      </c>
      <c r="GW647" s="318"/>
      <c r="HU647" s="380">
        <f t="shared" si="341"/>
        <v>0</v>
      </c>
      <c r="HX647" s="380"/>
    </row>
    <row r="648" spans="4:232">
      <c r="D648" s="409"/>
      <c r="E648" s="318"/>
      <c r="F648" s="1568"/>
      <c r="G648" s="1568"/>
      <c r="H648" s="1568"/>
      <c r="I648" s="1568"/>
      <c r="J648" s="1568"/>
      <c r="K648" s="1568"/>
      <c r="L648" s="1568"/>
      <c r="M648" s="1568"/>
      <c r="N648" s="1568"/>
      <c r="O648" s="1568">
        <f>V648</f>
        <v>0</v>
      </c>
      <c r="P648" s="1568"/>
      <c r="Q648" s="1568"/>
      <c r="R648" s="1568"/>
      <c r="S648" s="1568"/>
      <c r="T648" s="1568"/>
      <c r="U648" s="247"/>
      <c r="V648" s="1568">
        <f>IF(D277&gt;0,V643+(G277+J277)-(O277+Q277+S277+T277+V277)+Y277,0)</f>
        <v>0</v>
      </c>
      <c r="W648" s="1568"/>
      <c r="X648" s="1568"/>
      <c r="Y648" s="523">
        <f>IF(D277&gt;0,IF(V648&gt;0,0,1),0)</f>
        <v>1</v>
      </c>
      <c r="AU648"/>
      <c r="BD648" s="387">
        <f t="shared" si="338"/>
        <v>25</v>
      </c>
      <c r="BE648" s="382">
        <f>IF(BD648&gt;0,311,0)</f>
        <v>311</v>
      </c>
      <c r="BG648" s="383">
        <f>IF($BE648&gt;$R$66-3+($BR$335*12),311,0)</f>
        <v>311</v>
      </c>
      <c r="BH648" s="1754">
        <f t="shared" si="339"/>
        <v>0</v>
      </c>
      <c r="BI648" s="1754"/>
      <c r="BJ648" s="1754"/>
      <c r="BK648" s="1754"/>
      <c r="BL648" s="1754">
        <f t="shared" si="293"/>
        <v>0</v>
      </c>
      <c r="BM648" s="1754"/>
      <c r="BN648" s="1754"/>
      <c r="BO648" s="1754">
        <f t="shared" si="285"/>
        <v>0</v>
      </c>
      <c r="BP648" s="1754"/>
      <c r="BQ648" s="1754"/>
      <c r="BR648" s="1754">
        <f t="shared" si="340"/>
        <v>0</v>
      </c>
      <c r="BS648" s="1754"/>
      <c r="BT648" s="1754"/>
      <c r="BU648" s="1754"/>
      <c r="BW648" s="383">
        <f>IF($BE648&gt;$R$66-3+($CH$335*12),311,0)</f>
        <v>311</v>
      </c>
      <c r="BX648" s="1754">
        <f>IF(CH647&lt;=0,0,CH647)</f>
        <v>0</v>
      </c>
      <c r="BY648" s="1754"/>
      <c r="BZ648" s="1754"/>
      <c r="CA648" s="1754"/>
      <c r="CB648" s="1754">
        <f t="shared" si="294"/>
        <v>0</v>
      </c>
      <c r="CC648" s="1754"/>
      <c r="CD648" s="1754"/>
      <c r="CE648" s="1754">
        <f t="shared" si="286"/>
        <v>0</v>
      </c>
      <c r="CF648" s="1754"/>
      <c r="CG648" s="1754"/>
      <c r="CH648" s="1754">
        <f t="shared" si="287"/>
        <v>0</v>
      </c>
      <c r="CI648" s="1754"/>
      <c r="CJ648" s="1754"/>
      <c r="CK648" s="1754"/>
      <c r="CM648" s="383">
        <f>IF($BE648&gt;$R$66-3+($CX$335*12),311,0)</f>
        <v>311</v>
      </c>
      <c r="CN648" s="1754">
        <f>IF(CX647&lt;=0,0,CX647)</f>
        <v>0</v>
      </c>
      <c r="CO648" s="1754"/>
      <c r="CP648" s="1754"/>
      <c r="CQ648" s="1754"/>
      <c r="CR648" s="1754">
        <f t="shared" si="295"/>
        <v>0</v>
      </c>
      <c r="CS648" s="1754"/>
      <c r="CT648" s="1754"/>
      <c r="CU648" s="1754">
        <f t="shared" si="288"/>
        <v>0</v>
      </c>
      <c r="CV648" s="1754"/>
      <c r="CW648" s="1754"/>
      <c r="CX648" s="1754">
        <f t="shared" si="289"/>
        <v>0</v>
      </c>
      <c r="CY648" s="1754"/>
      <c r="CZ648" s="1754"/>
      <c r="DA648" s="1754"/>
      <c r="DC648" s="383">
        <f>IF($BE648&gt;$R$66-3,311,0)</f>
        <v>311</v>
      </c>
      <c r="DD648" s="1754">
        <f>IF(DK647&lt;=0,0,DK647)</f>
        <v>0</v>
      </c>
      <c r="DE648" s="1754"/>
      <c r="DF648" s="1754"/>
      <c r="DG648" s="1754"/>
      <c r="DH648" s="1754">
        <f t="shared" si="296"/>
        <v>0</v>
      </c>
      <c r="DI648" s="1754"/>
      <c r="DJ648" s="1754"/>
      <c r="DK648" s="1754">
        <f t="shared" si="325"/>
        <v>0</v>
      </c>
      <c r="DL648" s="1754"/>
      <c r="DM648" s="1754"/>
      <c r="DN648" s="1754"/>
      <c r="DP648" s="383">
        <f t="shared" si="297"/>
        <v>311</v>
      </c>
      <c r="DQ648" s="1754">
        <f t="shared" si="305"/>
        <v>0</v>
      </c>
      <c r="DR648" s="1754"/>
      <c r="DS648" s="1754"/>
      <c r="DT648" s="1754"/>
      <c r="DU648" s="1754">
        <f t="shared" si="306"/>
        <v>0</v>
      </c>
      <c r="DV648" s="1754"/>
      <c r="DW648" s="1754"/>
      <c r="DX648" s="1754">
        <f t="shared" si="317"/>
        <v>0</v>
      </c>
      <c r="DY648" s="1754"/>
      <c r="DZ648" s="1754"/>
      <c r="EA648" s="1754">
        <f t="shared" si="318"/>
        <v>0</v>
      </c>
      <c r="EB648" s="1754"/>
      <c r="EC648" s="1754"/>
      <c r="ED648" s="1754"/>
      <c r="EE648" s="384"/>
      <c r="EF648" s="1750">
        <f t="shared" si="290"/>
        <v>0</v>
      </c>
      <c r="EG648" s="1751"/>
      <c r="EH648" s="1751"/>
      <c r="EI648" s="1751"/>
      <c r="EJ648" s="1752"/>
      <c r="EL648" s="1750">
        <f>EL636*2/12</f>
        <v>0</v>
      </c>
      <c r="EM648" s="1751"/>
      <c r="EN648" s="1751"/>
      <c r="EO648" s="1751"/>
      <c r="EP648" s="1752"/>
      <c r="ER648" s="1750">
        <f t="shared" si="291"/>
        <v>0</v>
      </c>
      <c r="ES648" s="1751"/>
      <c r="ET648" s="1751"/>
      <c r="EU648" s="1751"/>
      <c r="EV648" s="1752"/>
      <c r="EX648" s="1750">
        <f>IF(BE648&gt;0,Einstrahlung!$K$30*Kalkulation!$P$62/100*$AY$29*POWER((100-$P$64)/100,BD648-1),0)</f>
        <v>0</v>
      </c>
      <c r="EY648" s="1751"/>
      <c r="EZ648" s="1751"/>
      <c r="FA648" s="1751"/>
      <c r="FB648" s="1752"/>
      <c r="FD648" s="1804">
        <f t="shared" si="280"/>
        <v>0</v>
      </c>
      <c r="FE648" s="1805"/>
      <c r="FF648" s="1805"/>
      <c r="FG648" s="1805"/>
      <c r="FH648" s="1806"/>
      <c r="FI648" s="785">
        <f t="shared" si="342"/>
        <v>1</v>
      </c>
      <c r="FJ648" s="380">
        <f t="shared" si="304"/>
        <v>0</v>
      </c>
      <c r="FK648" s="385"/>
      <c r="FL648" s="380">
        <f t="shared" si="343"/>
        <v>0</v>
      </c>
      <c r="FM648" s="385"/>
      <c r="FN648" s="380">
        <f t="shared" si="298"/>
        <v>0</v>
      </c>
      <c r="FO648" s="962">
        <f t="shared" si="302"/>
        <v>440</v>
      </c>
      <c r="FP648" s="956">
        <f t="shared" si="292"/>
        <v>0.4</v>
      </c>
      <c r="FQ648" s="380">
        <f t="shared" si="311"/>
        <v>0</v>
      </c>
      <c r="FR648" s="626">
        <f t="shared" si="344"/>
        <v>1</v>
      </c>
      <c r="FT648" s="1819">
        <f t="shared" si="303"/>
        <v>0</v>
      </c>
      <c r="FU648" s="1820"/>
      <c r="FV648" s="1820"/>
      <c r="FW648" s="1820"/>
      <c r="FX648" s="1821"/>
      <c r="FY648" s="1819">
        <f t="shared" si="299"/>
        <v>0</v>
      </c>
      <c r="FZ648" s="1820"/>
      <c r="GA648" s="1820"/>
      <c r="GB648" s="1821"/>
      <c r="GC648" s="1825">
        <f t="shared" si="320"/>
        <v>0</v>
      </c>
      <c r="GD648" s="1826"/>
      <c r="GE648" s="1826"/>
      <c r="GF648" s="1827"/>
      <c r="GH648" s="1750">
        <f t="shared" si="300"/>
        <v>0</v>
      </c>
      <c r="GI648" s="1751"/>
      <c r="GJ648" s="1751"/>
      <c r="GK648" s="1752"/>
      <c r="GL648" s="1750">
        <f t="shared" si="301"/>
        <v>0</v>
      </c>
      <c r="GM648" s="1751"/>
      <c r="GN648" s="1751"/>
      <c r="GO648" s="1752"/>
      <c r="GP648" s="385"/>
      <c r="GQ648" s="1750">
        <f t="shared" si="345"/>
        <v>0</v>
      </c>
      <c r="GR648" s="1751"/>
      <c r="GS648" s="1751"/>
      <c r="GT648" s="1752"/>
      <c r="GU648" s="192">
        <f t="shared" si="307"/>
        <v>1</v>
      </c>
      <c r="GV648" s="192">
        <f>SUM($GU$337:GU648)</f>
        <v>304</v>
      </c>
      <c r="GW648" s="318"/>
      <c r="HU648" s="380">
        <f t="shared" si="341"/>
        <v>0</v>
      </c>
      <c r="HX648" s="380"/>
    </row>
    <row r="649" spans="4:232" ht="13.5" thickBot="1">
      <c r="D649" s="409"/>
      <c r="E649" s="318"/>
      <c r="F649" s="1568"/>
      <c r="G649" s="1568"/>
      <c r="H649" s="1568"/>
      <c r="I649" s="1568"/>
      <c r="J649" s="1568"/>
      <c r="K649" s="1568"/>
      <c r="L649" s="1568"/>
      <c r="M649" s="1568"/>
      <c r="N649" s="1568"/>
      <c r="O649" s="1568"/>
      <c r="P649" s="1568"/>
      <c r="Q649" s="1568"/>
      <c r="R649" s="1568"/>
      <c r="S649" s="1568"/>
      <c r="T649" s="1568"/>
      <c r="U649" s="247"/>
      <c r="V649" s="1568"/>
      <c r="W649" s="1568"/>
      <c r="X649" s="1568"/>
      <c r="Y649" s="523"/>
      <c r="AP649" s="458"/>
      <c r="AQ649" s="458"/>
      <c r="AR649" s="458"/>
      <c r="AS649" s="458"/>
      <c r="AT649" s="458"/>
      <c r="BD649" s="389">
        <f t="shared" si="338"/>
        <v>25</v>
      </c>
      <c r="BE649" s="390">
        <f>IF(BD649&gt;0,312,0)</f>
        <v>312</v>
      </c>
      <c r="BG649" s="391">
        <f>IF($BE649&gt;$R$66-3+($BR$335*12),312,0)</f>
        <v>312</v>
      </c>
      <c r="BH649" s="1753">
        <f t="shared" si="339"/>
        <v>0</v>
      </c>
      <c r="BI649" s="1753"/>
      <c r="BJ649" s="1753"/>
      <c r="BK649" s="1753"/>
      <c r="BL649" s="1753">
        <f t="shared" si="293"/>
        <v>0</v>
      </c>
      <c r="BM649" s="1753"/>
      <c r="BN649" s="1753"/>
      <c r="BO649" s="1753">
        <f t="shared" si="285"/>
        <v>0</v>
      </c>
      <c r="BP649" s="1753"/>
      <c r="BQ649" s="1753"/>
      <c r="BR649" s="1753">
        <f t="shared" si="340"/>
        <v>0</v>
      </c>
      <c r="BS649" s="1753"/>
      <c r="BT649" s="1753"/>
      <c r="BU649" s="1753"/>
      <c r="BW649" s="391">
        <f>IF($BE649&gt;$R$66-3+($CH$335*12),312,0)</f>
        <v>312</v>
      </c>
      <c r="BX649" s="1753">
        <f>IF(CH648&lt;=0,0,CH648)</f>
        <v>0</v>
      </c>
      <c r="BY649" s="1753"/>
      <c r="BZ649" s="1753"/>
      <c r="CA649" s="1753"/>
      <c r="CB649" s="1753">
        <f t="shared" si="294"/>
        <v>0</v>
      </c>
      <c r="CC649" s="1753"/>
      <c r="CD649" s="1753"/>
      <c r="CE649" s="1753">
        <f t="shared" si="286"/>
        <v>0</v>
      </c>
      <c r="CF649" s="1753"/>
      <c r="CG649" s="1753"/>
      <c r="CH649" s="1753">
        <f t="shared" si="287"/>
        <v>0</v>
      </c>
      <c r="CI649" s="1753"/>
      <c r="CJ649" s="1753"/>
      <c r="CK649" s="1753"/>
      <c r="CM649" s="391">
        <f>IF($BE649&gt;$R$66-3+($CX$335*12),312,0)</f>
        <v>312</v>
      </c>
      <c r="CN649" s="1753">
        <f>IF(CX648&lt;=0,0,CX648)</f>
        <v>0</v>
      </c>
      <c r="CO649" s="1753"/>
      <c r="CP649" s="1753"/>
      <c r="CQ649" s="1753"/>
      <c r="CR649" s="1753">
        <f t="shared" si="295"/>
        <v>0</v>
      </c>
      <c r="CS649" s="1753"/>
      <c r="CT649" s="1753"/>
      <c r="CU649" s="1753">
        <f t="shared" si="288"/>
        <v>0</v>
      </c>
      <c r="CV649" s="1753"/>
      <c r="CW649" s="1753"/>
      <c r="CX649" s="1753">
        <f t="shared" si="289"/>
        <v>0</v>
      </c>
      <c r="CY649" s="1753"/>
      <c r="CZ649" s="1753"/>
      <c r="DA649" s="1753"/>
      <c r="DC649" s="391">
        <f>IF($BE649&gt;$R$66-3,312,0)</f>
        <v>312</v>
      </c>
      <c r="DD649" s="1753">
        <f>IF(DK648&lt;=0,0,DK648)</f>
        <v>0</v>
      </c>
      <c r="DE649" s="1753"/>
      <c r="DF649" s="1753"/>
      <c r="DG649" s="1753"/>
      <c r="DH649" s="1753">
        <f t="shared" si="296"/>
        <v>0</v>
      </c>
      <c r="DI649" s="1753"/>
      <c r="DJ649" s="1753"/>
      <c r="DK649" s="1753">
        <f t="shared" si="325"/>
        <v>0</v>
      </c>
      <c r="DL649" s="1753"/>
      <c r="DM649" s="1753"/>
      <c r="DN649" s="1753"/>
      <c r="DP649" s="391">
        <f t="shared" si="297"/>
        <v>312</v>
      </c>
      <c r="DQ649" s="1753">
        <f t="shared" si="305"/>
        <v>0</v>
      </c>
      <c r="DR649" s="1753"/>
      <c r="DS649" s="1753"/>
      <c r="DT649" s="1753"/>
      <c r="DU649" s="1753">
        <f t="shared" si="306"/>
        <v>0</v>
      </c>
      <c r="DV649" s="1753"/>
      <c r="DW649" s="1753"/>
      <c r="DX649" s="1753">
        <f t="shared" si="317"/>
        <v>0</v>
      </c>
      <c r="DY649" s="1753"/>
      <c r="DZ649" s="1753"/>
      <c r="EA649" s="1753">
        <f t="shared" si="318"/>
        <v>0</v>
      </c>
      <c r="EB649" s="1753"/>
      <c r="EC649" s="1753"/>
      <c r="ED649" s="1753"/>
      <c r="EE649" s="384"/>
      <c r="EF649" s="1744">
        <f t="shared" si="290"/>
        <v>0</v>
      </c>
      <c r="EG649" s="1745"/>
      <c r="EH649" s="1745"/>
      <c r="EI649" s="1745"/>
      <c r="EJ649" s="1746"/>
      <c r="EL649" s="1744">
        <f>EL637*1/12</f>
        <v>0</v>
      </c>
      <c r="EM649" s="1745"/>
      <c r="EN649" s="1745"/>
      <c r="EO649" s="1745"/>
      <c r="EP649" s="1746"/>
      <c r="ER649" s="1744">
        <f t="shared" si="291"/>
        <v>0</v>
      </c>
      <c r="ES649" s="1745"/>
      <c r="ET649" s="1745"/>
      <c r="EU649" s="1745"/>
      <c r="EV649" s="1746"/>
      <c r="EX649" s="1744">
        <f>IF(BE649&gt;0,Einstrahlung!$K$32*Kalkulation!$P$62/100*$AY$29*POWER((100-$P$64)/100,BD649-1),0)</f>
        <v>0</v>
      </c>
      <c r="EY649" s="1745"/>
      <c r="EZ649" s="1745"/>
      <c r="FA649" s="1745"/>
      <c r="FB649" s="1746"/>
      <c r="FD649" s="1807">
        <f t="shared" si="280"/>
        <v>0</v>
      </c>
      <c r="FE649" s="1808"/>
      <c r="FF649" s="1808"/>
      <c r="FG649" s="1808"/>
      <c r="FH649" s="1809"/>
      <c r="FI649" s="785">
        <f t="shared" si="342"/>
        <v>1</v>
      </c>
      <c r="FJ649" s="453">
        <f t="shared" si="304"/>
        <v>0</v>
      </c>
      <c r="FK649" s="385"/>
      <c r="FL649" s="453">
        <f t="shared" si="343"/>
        <v>0</v>
      </c>
      <c r="FM649" s="385"/>
      <c r="FN649" s="453">
        <f t="shared" si="298"/>
        <v>0</v>
      </c>
      <c r="FO649" s="962">
        <f t="shared" si="302"/>
        <v>441</v>
      </c>
      <c r="FP649" s="956">
        <f t="shared" si="292"/>
        <v>0.4</v>
      </c>
      <c r="FQ649" s="453">
        <f>FN649*FR649-(FL649*($FQ$337/100)*FP649)</f>
        <v>0</v>
      </c>
      <c r="FR649" s="957">
        <f>POWER(1+$FQ$333,FS649)</f>
        <v>1</v>
      </c>
      <c r="FS649" s="617">
        <f>FS637+1</f>
        <v>25</v>
      </c>
      <c r="FT649" s="1822">
        <f t="shared" si="303"/>
        <v>0</v>
      </c>
      <c r="FU649" s="1823"/>
      <c r="FV649" s="1823"/>
      <c r="FW649" s="1823"/>
      <c r="FX649" s="1824"/>
      <c r="FY649" s="1822">
        <f t="shared" si="299"/>
        <v>0</v>
      </c>
      <c r="FZ649" s="1823"/>
      <c r="GA649" s="1823"/>
      <c r="GB649" s="1824"/>
      <c r="GC649" s="1831">
        <f t="shared" si="320"/>
        <v>0</v>
      </c>
      <c r="GD649" s="1832"/>
      <c r="GE649" s="1832"/>
      <c r="GF649" s="1833"/>
      <c r="GH649" s="1744">
        <f t="shared" si="300"/>
        <v>0</v>
      </c>
      <c r="GI649" s="1745"/>
      <c r="GJ649" s="1745"/>
      <c r="GK649" s="1746"/>
      <c r="GL649" s="1744">
        <f t="shared" si="301"/>
        <v>0</v>
      </c>
      <c r="GM649" s="1745"/>
      <c r="GN649" s="1745"/>
      <c r="GO649" s="1746"/>
      <c r="GP649" s="385"/>
      <c r="GQ649" s="1744">
        <f t="shared" si="345"/>
        <v>0</v>
      </c>
      <c r="GR649" s="1745"/>
      <c r="GS649" s="1745"/>
      <c r="GT649" s="1746"/>
      <c r="GU649" s="192">
        <f t="shared" si="307"/>
        <v>1</v>
      </c>
      <c r="GV649" s="192">
        <f>SUM($GU$337:GU649)</f>
        <v>305</v>
      </c>
      <c r="GW649" s="318"/>
      <c r="HV649" s="380">
        <f>IF(GV649=312,SUM(GQ638:GT649),0)</f>
        <v>0</v>
      </c>
      <c r="HW649" s="385"/>
      <c r="HX649" s="380"/>
    </row>
    <row r="650" spans="4:232">
      <c r="D650" s="409">
        <v>17</v>
      </c>
      <c r="E650" s="318"/>
      <c r="F650" s="1568">
        <f>AH279</f>
        <v>0</v>
      </c>
      <c r="G650" s="1568"/>
      <c r="H650" s="1568"/>
      <c r="I650" s="1568"/>
      <c r="J650" s="1568"/>
      <c r="K650" s="1568"/>
      <c r="L650" s="1568"/>
      <c r="M650" s="1568"/>
      <c r="N650" s="1568"/>
      <c r="O650" s="1568"/>
      <c r="P650" s="1568"/>
      <c r="Q650" s="1568"/>
      <c r="R650" s="1568"/>
      <c r="S650" s="1568"/>
      <c r="T650" s="1568"/>
      <c r="U650" s="247"/>
      <c r="V650" s="1568"/>
      <c r="W650" s="1568"/>
      <c r="X650" s="1568"/>
      <c r="Y650" s="523"/>
      <c r="AU650"/>
      <c r="GU650" s="192">
        <v>1</v>
      </c>
      <c r="GV650" s="192">
        <f>SUM($GU$337:GU650)</f>
        <v>306</v>
      </c>
      <c r="HV650" s="380">
        <f t="shared" ref="HV650:HV660" si="346">IF(GV650=312,SUM(GQ639:GT650),0)</f>
        <v>0</v>
      </c>
      <c r="HW650" s="385"/>
    </row>
    <row r="651" spans="4:232">
      <c r="D651" s="409"/>
      <c r="E651" s="318"/>
      <c r="F651" s="1568"/>
      <c r="G651" s="1568"/>
      <c r="H651" s="1568"/>
      <c r="I651" s="1568">
        <f>F650</f>
        <v>0</v>
      </c>
      <c r="J651" s="1568"/>
      <c r="K651" s="1568"/>
      <c r="L651" s="1568"/>
      <c r="M651" s="1568"/>
      <c r="N651" s="1568"/>
      <c r="O651" s="1568"/>
      <c r="P651" s="1568"/>
      <c r="Q651" s="1568"/>
      <c r="R651" s="1568"/>
      <c r="S651" s="1568"/>
      <c r="T651" s="1568"/>
      <c r="U651" s="247"/>
      <c r="V651" s="1568"/>
      <c r="W651" s="1568"/>
      <c r="X651" s="1568"/>
      <c r="Y651" s="523"/>
      <c r="AP651" s="458"/>
      <c r="AQ651" s="458"/>
      <c r="AR651" s="458"/>
      <c r="AS651" s="458"/>
      <c r="AT651" s="458"/>
      <c r="GU651" s="192">
        <v>1</v>
      </c>
      <c r="GV651" s="192">
        <f>SUM($GU$337:GU651)</f>
        <v>307</v>
      </c>
      <c r="HV651" s="380">
        <f t="shared" si="346"/>
        <v>0</v>
      </c>
      <c r="HW651" s="385"/>
    </row>
    <row r="652" spans="4:232">
      <c r="D652" s="409"/>
      <c r="E652" s="318"/>
      <c r="F652" s="1568"/>
      <c r="G652" s="1568"/>
      <c r="H652" s="1568"/>
      <c r="I652" s="1568"/>
      <c r="J652" s="1568"/>
      <c r="K652" s="1568"/>
      <c r="L652" s="1568">
        <f>F650</f>
        <v>0</v>
      </c>
      <c r="M652" s="1568"/>
      <c r="N652" s="1568"/>
      <c r="O652" s="1568"/>
      <c r="P652" s="1568"/>
      <c r="Q652" s="1568"/>
      <c r="R652" s="1568"/>
      <c r="S652" s="1568"/>
      <c r="T652" s="1568"/>
      <c r="U652" s="247"/>
      <c r="V652" s="1568"/>
      <c r="W652" s="1568"/>
      <c r="X652" s="1568"/>
      <c r="Y652" s="523"/>
      <c r="AU652"/>
      <c r="FJ652" s="440"/>
      <c r="GU652" s="192">
        <v>1</v>
      </c>
      <c r="GV652" s="192">
        <f>SUM($GU$337:GU652)</f>
        <v>308</v>
      </c>
      <c r="HV652" s="380">
        <f t="shared" si="346"/>
        <v>0</v>
      </c>
      <c r="HW652" s="385"/>
    </row>
    <row r="653" spans="4:232">
      <c r="D653" s="409"/>
      <c r="E653" s="318"/>
      <c r="F653" s="1568"/>
      <c r="G653" s="1568"/>
      <c r="H653" s="1568"/>
      <c r="I653" s="1568"/>
      <c r="J653" s="1568"/>
      <c r="K653" s="1568"/>
      <c r="L653" s="1568"/>
      <c r="M653" s="1568"/>
      <c r="N653" s="1568"/>
      <c r="O653" s="1568">
        <f>V653</f>
        <v>0</v>
      </c>
      <c r="P653" s="1568"/>
      <c r="Q653" s="1568"/>
      <c r="R653" s="1568"/>
      <c r="S653" s="1568"/>
      <c r="T653" s="1568"/>
      <c r="U653" s="247"/>
      <c r="V653" s="1568">
        <f>IF(D279&gt;0,V648+(G279+J279)-(O279+Q279+S279+T279+V279)+Y279,0)</f>
        <v>0</v>
      </c>
      <c r="W653" s="1568"/>
      <c r="X653" s="1568"/>
      <c r="Y653" s="523">
        <f>IF(D279&gt;0,IF(V653&gt;0,0,1),0)</f>
        <v>1</v>
      </c>
      <c r="AP653" s="458"/>
      <c r="AQ653" s="458"/>
      <c r="AR653" s="458"/>
      <c r="AS653" s="458"/>
      <c r="AT653" s="458"/>
      <c r="GU653" s="192">
        <v>1</v>
      </c>
      <c r="GV653" s="192">
        <f>SUM($GU$337:GU653)</f>
        <v>309</v>
      </c>
      <c r="HV653" s="380">
        <f t="shared" si="346"/>
        <v>0</v>
      </c>
      <c r="HW653" s="385"/>
    </row>
    <row r="654" spans="4:232">
      <c r="D654" s="409"/>
      <c r="E654" s="318"/>
      <c r="F654" s="1568"/>
      <c r="G654" s="1568"/>
      <c r="H654" s="1568"/>
      <c r="I654" s="1568"/>
      <c r="J654" s="1568"/>
      <c r="K654" s="1568"/>
      <c r="L654" s="1568"/>
      <c r="M654" s="1568"/>
      <c r="N654" s="1568"/>
      <c r="O654" s="1568"/>
      <c r="P654" s="1568"/>
      <c r="Q654" s="1568"/>
      <c r="R654" s="1568"/>
      <c r="S654" s="1568"/>
      <c r="T654" s="1568"/>
      <c r="U654" s="247"/>
      <c r="V654" s="1568"/>
      <c r="W654" s="1568"/>
      <c r="X654" s="1568"/>
      <c r="Y654" s="523"/>
      <c r="AU654"/>
      <c r="GU654" s="192">
        <v>1</v>
      </c>
      <c r="GV654" s="192">
        <f>SUM($GU$337:GU654)</f>
        <v>310</v>
      </c>
      <c r="HV654" s="380">
        <f t="shared" si="346"/>
        <v>0</v>
      </c>
      <c r="HW654" s="385"/>
    </row>
    <row r="655" spans="4:232">
      <c r="D655" s="409">
        <v>18</v>
      </c>
      <c r="E655" s="318"/>
      <c r="F655" s="1568">
        <f>AH281</f>
        <v>0</v>
      </c>
      <c r="G655" s="1568"/>
      <c r="H655" s="1568"/>
      <c r="I655" s="1568"/>
      <c r="J655" s="1568"/>
      <c r="K655" s="1568"/>
      <c r="L655" s="1568"/>
      <c r="M655" s="1568"/>
      <c r="N655" s="1568"/>
      <c r="O655" s="1568"/>
      <c r="P655" s="1568"/>
      <c r="Q655" s="1568"/>
      <c r="R655" s="1568"/>
      <c r="S655" s="1568"/>
      <c r="T655" s="1568"/>
      <c r="U655" s="247"/>
      <c r="V655" s="1568"/>
      <c r="W655" s="1568"/>
      <c r="X655" s="1568"/>
      <c r="Y655" s="523"/>
      <c r="AP655" s="458"/>
      <c r="AQ655" s="458"/>
      <c r="AR655" s="458"/>
      <c r="AS655" s="458"/>
      <c r="AT655" s="458"/>
      <c r="GU655" s="192">
        <v>1</v>
      </c>
      <c r="GV655" s="192">
        <f>SUM($GU$337:GU655)</f>
        <v>311</v>
      </c>
      <c r="HV655" s="380">
        <f t="shared" si="346"/>
        <v>0</v>
      </c>
      <c r="HW655" s="385"/>
    </row>
    <row r="656" spans="4:232">
      <c r="D656" s="409"/>
      <c r="E656" s="318"/>
      <c r="F656" s="1568"/>
      <c r="G656" s="1568"/>
      <c r="H656" s="1568"/>
      <c r="I656" s="1568">
        <f>F655</f>
        <v>0</v>
      </c>
      <c r="J656" s="1568"/>
      <c r="K656" s="1568"/>
      <c r="L656" s="1568"/>
      <c r="M656" s="1568"/>
      <c r="N656" s="1568"/>
      <c r="O656" s="1568"/>
      <c r="P656" s="1568"/>
      <c r="Q656" s="1568"/>
      <c r="R656" s="1568"/>
      <c r="S656" s="1568"/>
      <c r="T656" s="1568"/>
      <c r="U656" s="247"/>
      <c r="V656" s="1568"/>
      <c r="W656" s="1568"/>
      <c r="X656" s="1568"/>
      <c r="Y656" s="523"/>
      <c r="AU656"/>
      <c r="GU656" s="192">
        <v>1</v>
      </c>
      <c r="GV656" s="192">
        <f>SUM($GU$337:GU656)</f>
        <v>312</v>
      </c>
      <c r="HV656" s="380">
        <f t="shared" si="346"/>
        <v>0</v>
      </c>
      <c r="HW656" s="385"/>
    </row>
    <row r="657" spans="4:231">
      <c r="D657" s="409"/>
      <c r="E657" s="318"/>
      <c r="F657" s="1568"/>
      <c r="G657" s="1568"/>
      <c r="H657" s="1568"/>
      <c r="I657" s="1568"/>
      <c r="J657" s="1568"/>
      <c r="K657" s="1568"/>
      <c r="L657" s="1568">
        <f>F655</f>
        <v>0</v>
      </c>
      <c r="M657" s="1568"/>
      <c r="N657" s="1568"/>
      <c r="O657" s="1568"/>
      <c r="P657" s="1568"/>
      <c r="Q657" s="1568"/>
      <c r="R657" s="1568"/>
      <c r="S657" s="1568"/>
      <c r="T657" s="1568"/>
      <c r="U657" s="247"/>
      <c r="V657" s="1568"/>
      <c r="W657" s="1568"/>
      <c r="X657" s="1568"/>
      <c r="Y657" s="523"/>
      <c r="AP657" s="460"/>
      <c r="AQ657" s="460"/>
      <c r="AR657" s="460"/>
      <c r="AS657" s="460"/>
      <c r="AT657" s="460"/>
      <c r="GU657" s="192">
        <v>1</v>
      </c>
      <c r="GV657" s="192">
        <f>SUM($GU$337:GU657)</f>
        <v>313</v>
      </c>
      <c r="HV657" s="380">
        <f t="shared" si="346"/>
        <v>0</v>
      </c>
      <c r="HW657" s="385"/>
    </row>
    <row r="658" spans="4:231">
      <c r="D658" s="409"/>
      <c r="E658" s="318"/>
      <c r="F658" s="1568"/>
      <c r="G658" s="1568"/>
      <c r="H658" s="1568"/>
      <c r="I658" s="1568"/>
      <c r="J658" s="1568"/>
      <c r="K658" s="1568"/>
      <c r="L658" s="1568"/>
      <c r="M658" s="1568"/>
      <c r="N658" s="1568"/>
      <c r="O658" s="1568">
        <f>V658</f>
        <v>0</v>
      </c>
      <c r="P658" s="1568"/>
      <c r="Q658" s="1568"/>
      <c r="R658" s="1568"/>
      <c r="S658" s="1568"/>
      <c r="T658" s="1568"/>
      <c r="U658" s="247"/>
      <c r="V658" s="1568">
        <f>IF(D281&gt;0,V653+(G281+J281)-(O281+Q281+S281+T281+V281)+Y281,0)</f>
        <v>0</v>
      </c>
      <c r="W658" s="1568"/>
      <c r="X658" s="1568"/>
      <c r="Y658" s="523">
        <f>IF(D281&gt;0,IF(V658&gt;0,0,1),0)</f>
        <v>1</v>
      </c>
      <c r="AU658"/>
      <c r="GU658" s="192">
        <v>1</v>
      </c>
      <c r="GV658" s="192">
        <f>SUM($GU$337:GU658)</f>
        <v>314</v>
      </c>
      <c r="HV658" s="380">
        <f t="shared" si="346"/>
        <v>0</v>
      </c>
      <c r="HW658" s="385"/>
    </row>
    <row r="659" spans="4:231">
      <c r="D659" s="409"/>
      <c r="E659" s="318"/>
      <c r="F659" s="1568"/>
      <c r="G659" s="1568"/>
      <c r="H659" s="1568"/>
      <c r="I659" s="1568"/>
      <c r="J659" s="1568"/>
      <c r="K659" s="1568"/>
      <c r="L659" s="1568"/>
      <c r="M659" s="1568"/>
      <c r="N659" s="1568"/>
      <c r="O659" s="1568"/>
      <c r="P659" s="1568"/>
      <c r="Q659" s="1568"/>
      <c r="R659" s="1568"/>
      <c r="S659" s="1568"/>
      <c r="T659" s="1568"/>
      <c r="U659" s="247"/>
      <c r="V659" s="1568"/>
      <c r="W659" s="1568"/>
      <c r="X659" s="1568"/>
      <c r="Y659" s="523"/>
      <c r="GU659" s="192">
        <v>1</v>
      </c>
      <c r="GV659" s="192">
        <f>SUM($GU$337:GU659)</f>
        <v>315</v>
      </c>
      <c r="HV659" s="380">
        <f t="shared" si="346"/>
        <v>0</v>
      </c>
      <c r="HW659" s="385"/>
    </row>
    <row r="660" spans="4:231">
      <c r="D660" s="409">
        <v>19</v>
      </c>
      <c r="E660" s="318"/>
      <c r="F660" s="1568">
        <f>AH283</f>
        <v>0</v>
      </c>
      <c r="G660" s="1568"/>
      <c r="H660" s="1568"/>
      <c r="I660" s="1568"/>
      <c r="J660" s="1568"/>
      <c r="K660" s="1568"/>
      <c r="L660" s="1568"/>
      <c r="M660" s="1568"/>
      <c r="N660" s="1568"/>
      <c r="O660" s="1568"/>
      <c r="P660" s="1568"/>
      <c r="Q660" s="1568"/>
      <c r="R660" s="1568"/>
      <c r="S660" s="1568"/>
      <c r="T660" s="1568"/>
      <c r="U660" s="247"/>
      <c r="V660" s="1568"/>
      <c r="W660" s="1568"/>
      <c r="X660" s="1568"/>
      <c r="Y660" s="523"/>
      <c r="GU660" s="192">
        <v>1</v>
      </c>
      <c r="GV660" s="192">
        <f>SUM($GU$337:GU660)</f>
        <v>316</v>
      </c>
      <c r="HV660" s="380">
        <f t="shared" si="346"/>
        <v>0</v>
      </c>
      <c r="HW660" s="385"/>
    </row>
    <row r="661" spans="4:231">
      <c r="D661" s="409"/>
      <c r="E661" s="318"/>
      <c r="F661" s="1568"/>
      <c r="G661" s="1568"/>
      <c r="H661" s="1568"/>
      <c r="I661" s="1568">
        <f>F660</f>
        <v>0</v>
      </c>
      <c r="J661" s="1568"/>
      <c r="K661" s="1568"/>
      <c r="L661" s="1568"/>
      <c r="M661" s="1568"/>
      <c r="N661" s="1568"/>
      <c r="O661" s="1568"/>
      <c r="P661" s="1568"/>
      <c r="Q661" s="1568"/>
      <c r="R661" s="1568"/>
      <c r="S661" s="1568"/>
      <c r="T661" s="1568"/>
      <c r="U661" s="247"/>
      <c r="V661" s="1568"/>
      <c r="W661" s="1568"/>
      <c r="X661" s="1568"/>
      <c r="Y661" s="523"/>
    </row>
    <row r="662" spans="4:231">
      <c r="D662" s="409"/>
      <c r="E662" s="318"/>
      <c r="F662" s="1568"/>
      <c r="G662" s="1568"/>
      <c r="H662" s="1568"/>
      <c r="I662" s="1568"/>
      <c r="J662" s="1568"/>
      <c r="K662" s="1568"/>
      <c r="L662" s="1568">
        <f>F660</f>
        <v>0</v>
      </c>
      <c r="M662" s="1568"/>
      <c r="N662" s="1568"/>
      <c r="O662" s="1568"/>
      <c r="P662" s="1568"/>
      <c r="Q662" s="1568"/>
      <c r="R662" s="1568"/>
      <c r="S662" s="1568"/>
      <c r="T662" s="1568"/>
      <c r="U662" s="247"/>
      <c r="V662" s="1568"/>
      <c r="W662" s="1568"/>
      <c r="X662" s="1568"/>
      <c r="Y662" s="523"/>
    </row>
    <row r="663" spans="4:231">
      <c r="D663" s="409"/>
      <c r="E663" s="318"/>
      <c r="F663" s="1568"/>
      <c r="G663" s="1568"/>
      <c r="H663" s="1568"/>
      <c r="I663" s="1568"/>
      <c r="J663" s="1568"/>
      <c r="K663" s="1568"/>
      <c r="L663" s="1568"/>
      <c r="M663" s="1568"/>
      <c r="N663" s="1568"/>
      <c r="O663" s="1568">
        <f>V663</f>
        <v>0</v>
      </c>
      <c r="P663" s="1568"/>
      <c r="Q663" s="1568"/>
      <c r="R663" s="1568"/>
      <c r="S663" s="1568"/>
      <c r="T663" s="1568"/>
      <c r="U663" s="247"/>
      <c r="V663" s="1568">
        <f>IF(D283&gt;0,V658+(G283+J283)-(O283+Q283+S283+T283+V283)+Y283,0)</f>
        <v>0</v>
      </c>
      <c r="W663" s="1568"/>
      <c r="X663" s="1568"/>
      <c r="Y663" s="523">
        <f>IF(D283&gt;0,IF(V663&gt;0,0,1),0)</f>
        <v>1</v>
      </c>
    </row>
    <row r="664" spans="4:231">
      <c r="D664" s="409"/>
      <c r="E664" s="318"/>
      <c r="F664" s="1568"/>
      <c r="G664" s="1568"/>
      <c r="H664" s="1568"/>
      <c r="I664" s="1568"/>
      <c r="J664" s="1568"/>
      <c r="K664" s="1568"/>
      <c r="L664" s="1568"/>
      <c r="M664" s="1568"/>
      <c r="N664" s="1568"/>
      <c r="O664" s="1568"/>
      <c r="P664" s="1568"/>
      <c r="Q664" s="1568"/>
      <c r="R664" s="1568"/>
      <c r="S664" s="1568"/>
      <c r="T664" s="1568"/>
      <c r="U664" s="247"/>
      <c r="V664" s="1568"/>
      <c r="W664" s="1568"/>
      <c r="X664" s="1568"/>
      <c r="Y664" s="523"/>
    </row>
    <row r="665" spans="4:231">
      <c r="D665" s="409">
        <v>20</v>
      </c>
      <c r="E665" s="318"/>
      <c r="F665" s="1568">
        <f>AH285</f>
        <v>0</v>
      </c>
      <c r="G665" s="1568"/>
      <c r="H665" s="1568"/>
      <c r="I665" s="1568"/>
      <c r="J665" s="1568"/>
      <c r="K665" s="1568"/>
      <c r="L665" s="1568"/>
      <c r="M665" s="1568"/>
      <c r="N665" s="1568"/>
      <c r="O665" s="1568"/>
      <c r="P665" s="1568"/>
      <c r="Q665" s="1568"/>
      <c r="R665" s="1568"/>
      <c r="S665" s="1568"/>
      <c r="T665" s="1568"/>
      <c r="U665" s="247"/>
      <c r="V665" s="1568"/>
      <c r="W665" s="1568"/>
      <c r="X665" s="1568"/>
      <c r="Y665" s="523"/>
    </row>
    <row r="666" spans="4:231">
      <c r="D666" s="409"/>
      <c r="E666" s="318"/>
      <c r="F666" s="1568"/>
      <c r="G666" s="1568"/>
      <c r="H666" s="1568"/>
      <c r="I666" s="1568">
        <f>F665</f>
        <v>0</v>
      </c>
      <c r="J666" s="1568"/>
      <c r="K666" s="1568"/>
      <c r="L666" s="1568"/>
      <c r="M666" s="1568"/>
      <c r="N666" s="1568"/>
      <c r="O666" s="1568"/>
      <c r="P666" s="1568"/>
      <c r="Q666" s="1568"/>
      <c r="R666" s="1568"/>
      <c r="S666" s="1568"/>
      <c r="T666" s="1568"/>
      <c r="U666" s="247"/>
      <c r="V666" s="1568"/>
      <c r="W666" s="1568"/>
      <c r="X666" s="1568"/>
      <c r="Y666" s="523"/>
    </row>
    <row r="667" spans="4:231">
      <c r="D667" s="409"/>
      <c r="E667" s="318"/>
      <c r="F667" s="1568"/>
      <c r="G667" s="1568"/>
      <c r="H667" s="1568"/>
      <c r="I667" s="1568"/>
      <c r="J667" s="1568"/>
      <c r="K667" s="1568"/>
      <c r="L667" s="1568">
        <f>F665</f>
        <v>0</v>
      </c>
      <c r="M667" s="1568"/>
      <c r="N667" s="1568"/>
      <c r="O667" s="1568"/>
      <c r="P667" s="1568"/>
      <c r="Q667" s="1568"/>
      <c r="R667" s="1568"/>
      <c r="S667" s="1568"/>
      <c r="T667" s="1568"/>
      <c r="U667" s="247"/>
      <c r="V667" s="1568"/>
      <c r="W667" s="1568"/>
      <c r="X667" s="1568"/>
      <c r="Y667" s="523"/>
    </row>
    <row r="668" spans="4:231">
      <c r="D668" s="409"/>
      <c r="E668" s="318"/>
      <c r="F668" s="1568"/>
      <c r="G668" s="1568"/>
      <c r="H668" s="1568"/>
      <c r="I668" s="1568"/>
      <c r="J668" s="1568"/>
      <c r="K668" s="1568"/>
      <c r="L668" s="1568"/>
      <c r="M668" s="1568"/>
      <c r="N668" s="1568"/>
      <c r="O668" s="1568">
        <f>V668</f>
        <v>0</v>
      </c>
      <c r="P668" s="1568"/>
      <c r="Q668" s="1568"/>
      <c r="R668" s="1568"/>
      <c r="S668" s="1568"/>
      <c r="T668" s="1568"/>
      <c r="U668" s="247"/>
      <c r="V668" s="1568">
        <f>IF(D285&gt;0,V663+(G285+J285)-(O285+Q285+S285+T285+V285)+Y285,0)</f>
        <v>0</v>
      </c>
      <c r="W668" s="1568"/>
      <c r="X668" s="1568"/>
      <c r="Y668" s="523">
        <f>IF(D285&gt;0,IF(V668&gt;0,0,1),0)</f>
        <v>1</v>
      </c>
    </row>
    <row r="669" spans="4:231">
      <c r="D669" s="409"/>
      <c r="E669" s="318"/>
      <c r="F669" s="1568"/>
      <c r="G669" s="1568"/>
      <c r="H669" s="1568"/>
      <c r="I669" s="1568"/>
      <c r="J669" s="1568"/>
      <c r="K669" s="1568"/>
      <c r="L669" s="1568"/>
      <c r="M669" s="1568"/>
      <c r="N669" s="1568"/>
      <c r="O669" s="1568"/>
      <c r="P669" s="1568"/>
      <c r="Q669" s="1568"/>
      <c r="R669" s="1568"/>
      <c r="S669" s="1568"/>
      <c r="T669" s="1568"/>
      <c r="U669" s="247"/>
      <c r="V669" s="1568"/>
      <c r="W669" s="1568"/>
      <c r="X669" s="1568"/>
      <c r="Y669" s="523"/>
    </row>
    <row r="670" spans="4:231">
      <c r="D670" s="409">
        <v>21</v>
      </c>
      <c r="E670" s="318"/>
      <c r="F670" s="1568">
        <f>AH287</f>
        <v>0</v>
      </c>
      <c r="G670" s="1568"/>
      <c r="H670" s="1568"/>
      <c r="I670" s="1568"/>
      <c r="J670" s="1568"/>
      <c r="K670" s="1568"/>
      <c r="L670" s="1568"/>
      <c r="M670" s="1568"/>
      <c r="N670" s="1568"/>
      <c r="O670" s="1568"/>
      <c r="P670" s="1568"/>
      <c r="Q670" s="1568"/>
      <c r="R670" s="1568"/>
      <c r="S670" s="1568"/>
      <c r="T670" s="1568"/>
      <c r="U670" s="247"/>
      <c r="V670" s="1568"/>
      <c r="W670" s="1568"/>
      <c r="X670" s="1568"/>
      <c r="Y670" s="523"/>
    </row>
    <row r="671" spans="4:231">
      <c r="D671" s="409"/>
      <c r="E671" s="318"/>
      <c r="F671" s="1568"/>
      <c r="G671" s="1568"/>
      <c r="H671" s="1568"/>
      <c r="I671" s="1568">
        <f>F670</f>
        <v>0</v>
      </c>
      <c r="J671" s="1568"/>
      <c r="K671" s="1568"/>
      <c r="L671" s="1568"/>
      <c r="M671" s="1568"/>
      <c r="N671" s="1568"/>
      <c r="O671" s="1568"/>
      <c r="P671" s="1568"/>
      <c r="Q671" s="1568"/>
      <c r="R671" s="1568"/>
      <c r="S671" s="1568"/>
      <c r="T671" s="1568"/>
      <c r="U671" s="247"/>
      <c r="V671" s="1568"/>
      <c r="W671" s="1568"/>
      <c r="X671" s="1568"/>
      <c r="Y671" s="523"/>
    </row>
    <row r="672" spans="4:231">
      <c r="D672" s="409"/>
      <c r="E672" s="318"/>
      <c r="F672" s="1568"/>
      <c r="G672" s="1568"/>
      <c r="H672" s="1568"/>
      <c r="I672" s="1568"/>
      <c r="J672" s="1568"/>
      <c r="K672" s="1568"/>
      <c r="L672" s="1568">
        <f>F670</f>
        <v>0</v>
      </c>
      <c r="M672" s="1568"/>
      <c r="N672" s="1568"/>
      <c r="O672" s="1568"/>
      <c r="P672" s="1568"/>
      <c r="Q672" s="1568"/>
      <c r="R672" s="1568"/>
      <c r="S672" s="1568"/>
      <c r="T672" s="1568"/>
      <c r="U672" s="247"/>
      <c r="V672" s="1568"/>
      <c r="W672" s="1568"/>
      <c r="X672" s="1568"/>
      <c r="Y672" s="523"/>
    </row>
    <row r="673" spans="4:25">
      <c r="D673" s="409"/>
      <c r="E673" s="318"/>
      <c r="F673" s="1568"/>
      <c r="G673" s="1568"/>
      <c r="H673" s="1568"/>
      <c r="I673" s="1568"/>
      <c r="J673" s="1568"/>
      <c r="K673" s="1568"/>
      <c r="L673" s="1568"/>
      <c r="M673" s="1568"/>
      <c r="N673" s="1568"/>
      <c r="O673" s="1568">
        <f>V673</f>
        <v>0</v>
      </c>
      <c r="P673" s="1568"/>
      <c r="Q673" s="1568"/>
      <c r="R673" s="1568"/>
      <c r="S673" s="1568"/>
      <c r="T673" s="1568"/>
      <c r="U673" s="247"/>
      <c r="V673" s="1568">
        <f>IF(D287&gt;0,V668+(G287+J287)-(O287+Q287+S287+T287+V287)+Y287,0)</f>
        <v>0</v>
      </c>
      <c r="W673" s="1568"/>
      <c r="X673" s="1568"/>
      <c r="Y673" s="523">
        <f>IF(D287&gt;0,IF(V673&gt;0,0,1),0)</f>
        <v>0</v>
      </c>
    </row>
    <row r="674" spans="4:25">
      <c r="D674" s="409"/>
      <c r="E674" s="318"/>
      <c r="F674" s="1568"/>
      <c r="G674" s="1568"/>
      <c r="H674" s="1568"/>
      <c r="I674" s="1568"/>
      <c r="J674" s="1568"/>
      <c r="K674" s="1568"/>
      <c r="L674" s="1568"/>
      <c r="M674" s="1568"/>
      <c r="N674" s="1568"/>
      <c r="O674" s="1568"/>
      <c r="P674" s="1568"/>
      <c r="Q674" s="1568"/>
      <c r="R674" s="1568"/>
      <c r="S674" s="1568"/>
      <c r="T674" s="1568"/>
      <c r="U674" s="247"/>
      <c r="V674" s="1568"/>
      <c r="W674" s="1568"/>
      <c r="X674" s="1568"/>
      <c r="Y674" s="523"/>
    </row>
    <row r="675" spans="4:25">
      <c r="D675" s="409">
        <v>22</v>
      </c>
      <c r="E675" s="318"/>
      <c r="F675" s="1568">
        <f>AH289</f>
        <v>0</v>
      </c>
      <c r="G675" s="1568"/>
      <c r="H675" s="1568"/>
      <c r="I675" s="1568"/>
      <c r="J675" s="1568"/>
      <c r="K675" s="1568"/>
      <c r="L675" s="1568"/>
      <c r="M675" s="1568"/>
      <c r="N675" s="1568"/>
      <c r="O675" s="1568"/>
      <c r="P675" s="1568"/>
      <c r="Q675" s="1568"/>
      <c r="R675" s="1568"/>
      <c r="S675" s="1568"/>
      <c r="T675" s="1568"/>
      <c r="U675" s="247"/>
      <c r="V675" s="1568"/>
      <c r="W675" s="1568"/>
      <c r="X675" s="1568"/>
      <c r="Y675" s="523"/>
    </row>
    <row r="676" spans="4:25">
      <c r="D676" s="409"/>
      <c r="E676" s="318"/>
      <c r="F676" s="1568"/>
      <c r="G676" s="1568"/>
      <c r="H676" s="1568"/>
      <c r="I676" s="1568">
        <f>F675</f>
        <v>0</v>
      </c>
      <c r="J676" s="1568"/>
      <c r="K676" s="1568"/>
      <c r="L676" s="1568"/>
      <c r="M676" s="1568"/>
      <c r="N676" s="1568"/>
      <c r="O676" s="1568"/>
      <c r="P676" s="1568"/>
      <c r="Q676" s="1568"/>
      <c r="R676" s="1568"/>
      <c r="S676" s="1568"/>
      <c r="T676" s="1568"/>
      <c r="U676" s="247"/>
      <c r="V676" s="1568"/>
      <c r="W676" s="1568"/>
      <c r="X676" s="1568"/>
      <c r="Y676" s="523"/>
    </row>
    <row r="677" spans="4:25">
      <c r="D677" s="409"/>
      <c r="E677" s="318"/>
      <c r="F677" s="1568"/>
      <c r="G677" s="1568"/>
      <c r="H677" s="1568"/>
      <c r="I677" s="1568"/>
      <c r="J677" s="1568"/>
      <c r="K677" s="1568"/>
      <c r="L677" s="1568">
        <f>F675</f>
        <v>0</v>
      </c>
      <c r="M677" s="1568"/>
      <c r="N677" s="1568"/>
      <c r="O677" s="1568"/>
      <c r="P677" s="1568"/>
      <c r="Q677" s="1568"/>
      <c r="R677" s="1568"/>
      <c r="S677" s="1568"/>
      <c r="T677" s="1568"/>
      <c r="U677" s="247"/>
      <c r="V677" s="1568"/>
      <c r="W677" s="1568"/>
      <c r="X677" s="1568"/>
      <c r="Y677" s="523"/>
    </row>
    <row r="678" spans="4:25">
      <c r="D678" s="409"/>
      <c r="E678" s="318"/>
      <c r="F678" s="1568"/>
      <c r="G678" s="1568"/>
      <c r="H678" s="1568"/>
      <c r="I678" s="1568"/>
      <c r="J678" s="1568"/>
      <c r="K678" s="1568"/>
      <c r="L678" s="1568"/>
      <c r="M678" s="1568"/>
      <c r="N678" s="1568"/>
      <c r="O678" s="1568">
        <f>V678</f>
        <v>0</v>
      </c>
      <c r="P678" s="1568"/>
      <c r="Q678" s="1568"/>
      <c r="R678" s="1568"/>
      <c r="S678" s="1568"/>
      <c r="T678" s="1568"/>
      <c r="U678" s="247"/>
      <c r="V678" s="1568">
        <f>IF(D289&gt;0,V673+(G289+J289)-(O289+Q289+S289+T289+V289)+Y289,0)</f>
        <v>0</v>
      </c>
      <c r="W678" s="1568"/>
      <c r="X678" s="1568"/>
      <c r="Y678" s="523">
        <f>IF(D289&gt;0,IF(V678&gt;0,0,1),0)</f>
        <v>0</v>
      </c>
    </row>
    <row r="679" spans="4:25">
      <c r="D679" s="409"/>
      <c r="E679" s="318"/>
      <c r="F679" s="1568"/>
      <c r="G679" s="1568"/>
      <c r="H679" s="1568"/>
      <c r="I679" s="1568"/>
      <c r="J679" s="1568"/>
      <c r="K679" s="1568"/>
      <c r="L679" s="1568"/>
      <c r="M679" s="1568"/>
      <c r="N679" s="1568"/>
      <c r="O679" s="1568"/>
      <c r="P679" s="1568"/>
      <c r="Q679" s="1568"/>
      <c r="R679" s="1568"/>
      <c r="S679" s="1568"/>
      <c r="T679" s="1568"/>
      <c r="U679" s="247"/>
      <c r="V679" s="1568"/>
      <c r="W679" s="1568"/>
      <c r="X679" s="1568"/>
      <c r="Y679" s="523"/>
    </row>
    <row r="680" spans="4:25">
      <c r="D680" s="409">
        <v>23</v>
      </c>
      <c r="E680" s="318"/>
      <c r="F680" s="1568">
        <f>AH291</f>
        <v>0</v>
      </c>
      <c r="G680" s="1568"/>
      <c r="H680" s="1568"/>
      <c r="I680" s="1568"/>
      <c r="J680" s="1568"/>
      <c r="K680" s="1568"/>
      <c r="L680" s="1568"/>
      <c r="M680" s="1568"/>
      <c r="N680" s="1568"/>
      <c r="O680" s="1568"/>
      <c r="P680" s="1568"/>
      <c r="Q680" s="1568"/>
      <c r="R680" s="1568"/>
      <c r="S680" s="1568"/>
      <c r="T680" s="1568"/>
      <c r="U680" s="247"/>
      <c r="V680" s="1568"/>
      <c r="W680" s="1568"/>
      <c r="X680" s="1568"/>
      <c r="Y680" s="523"/>
    </row>
    <row r="681" spans="4:25">
      <c r="D681" s="409"/>
      <c r="E681" s="318"/>
      <c r="F681" s="1568"/>
      <c r="G681" s="1568"/>
      <c r="H681" s="1568"/>
      <c r="I681" s="1568">
        <f>F680</f>
        <v>0</v>
      </c>
      <c r="J681" s="1568"/>
      <c r="K681" s="1568"/>
      <c r="L681" s="1568"/>
      <c r="M681" s="1568"/>
      <c r="N681" s="1568"/>
      <c r="O681" s="1568"/>
      <c r="P681" s="1568"/>
      <c r="Q681" s="1568"/>
      <c r="R681" s="1568"/>
      <c r="S681" s="1568"/>
      <c r="T681" s="1568"/>
      <c r="U681" s="247"/>
      <c r="V681" s="1568"/>
      <c r="W681" s="1568"/>
      <c r="X681" s="1568"/>
      <c r="Y681" s="523"/>
    </row>
    <row r="682" spans="4:25">
      <c r="D682" s="409"/>
      <c r="E682" s="318"/>
      <c r="F682" s="1568"/>
      <c r="G682" s="1568"/>
      <c r="H682" s="1568"/>
      <c r="I682" s="1568"/>
      <c r="J682" s="1568"/>
      <c r="K682" s="1568"/>
      <c r="L682" s="1568">
        <f>F680</f>
        <v>0</v>
      </c>
      <c r="M682" s="1568"/>
      <c r="N682" s="1568"/>
      <c r="O682" s="1568"/>
      <c r="P682" s="1568"/>
      <c r="Q682" s="1568"/>
      <c r="R682" s="1568"/>
      <c r="S682" s="1568"/>
      <c r="T682" s="1568"/>
      <c r="U682" s="247"/>
      <c r="V682" s="1568"/>
      <c r="W682" s="1568"/>
      <c r="X682" s="1568"/>
      <c r="Y682" s="523"/>
    </row>
    <row r="683" spans="4:25">
      <c r="D683" s="409"/>
      <c r="E683" s="318"/>
      <c r="F683" s="1568"/>
      <c r="G683" s="1568"/>
      <c r="H683" s="1568"/>
      <c r="I683" s="1568"/>
      <c r="J683" s="1568"/>
      <c r="K683" s="1568"/>
      <c r="L683" s="1568"/>
      <c r="M683" s="1568"/>
      <c r="N683" s="1568"/>
      <c r="O683" s="1568">
        <f>V683</f>
        <v>0</v>
      </c>
      <c r="P683" s="1568"/>
      <c r="Q683" s="1568"/>
      <c r="R683" s="1568"/>
      <c r="S683" s="1568"/>
      <c r="T683" s="1568"/>
      <c r="U683" s="247"/>
      <c r="V683" s="1568">
        <f>IF(D291&gt;0,V678+(G291+J291)-(O291+Q291+S291+T291+V291)+Y291,0)</f>
        <v>0</v>
      </c>
      <c r="W683" s="1568"/>
      <c r="X683" s="1568"/>
      <c r="Y683" s="523">
        <f>IF(D291&gt;0,IF(V683&gt;0,0,1),0)</f>
        <v>0</v>
      </c>
    </row>
    <row r="684" spans="4:25">
      <c r="D684" s="409"/>
      <c r="E684" s="318"/>
      <c r="F684" s="1568"/>
      <c r="G684" s="1568"/>
      <c r="H684" s="1568"/>
      <c r="I684" s="1568"/>
      <c r="J684" s="1568"/>
      <c r="K684" s="1568"/>
      <c r="L684" s="1568"/>
      <c r="M684" s="1568"/>
      <c r="N684" s="1568"/>
      <c r="O684" s="1568"/>
      <c r="P684" s="1568"/>
      <c r="Q684" s="1568"/>
      <c r="R684" s="1568"/>
      <c r="S684" s="1568"/>
      <c r="T684" s="1568"/>
      <c r="U684" s="247"/>
      <c r="V684" s="1568"/>
      <c r="W684" s="1568"/>
      <c r="X684" s="1568"/>
      <c r="Y684" s="523"/>
    </row>
    <row r="685" spans="4:25">
      <c r="D685" s="409">
        <v>24</v>
      </c>
      <c r="E685" s="318"/>
      <c r="F685" s="1568">
        <f>AH293</f>
        <v>0</v>
      </c>
      <c r="G685" s="1568"/>
      <c r="H685" s="1568"/>
      <c r="I685" s="1568"/>
      <c r="J685" s="1568"/>
      <c r="K685" s="1568"/>
      <c r="L685" s="1568"/>
      <c r="M685" s="1568"/>
      <c r="N685" s="1568"/>
      <c r="O685" s="1568"/>
      <c r="P685" s="1568"/>
      <c r="Q685" s="1568"/>
      <c r="R685" s="1568"/>
      <c r="S685" s="1568"/>
      <c r="T685" s="1568"/>
      <c r="U685" s="247"/>
      <c r="V685" s="1568"/>
      <c r="W685" s="1568"/>
      <c r="X685" s="1568"/>
      <c r="Y685" s="523"/>
    </row>
    <row r="686" spans="4:25">
      <c r="D686" s="409"/>
      <c r="E686" s="318"/>
      <c r="F686" s="1568"/>
      <c r="G686" s="1568"/>
      <c r="H686" s="1568"/>
      <c r="I686" s="1568">
        <f>F685</f>
        <v>0</v>
      </c>
      <c r="J686" s="1568"/>
      <c r="K686" s="1568"/>
      <c r="L686" s="1568"/>
      <c r="M686" s="1568"/>
      <c r="N686" s="1568"/>
      <c r="O686" s="1568"/>
      <c r="P686" s="1568"/>
      <c r="Q686" s="1568"/>
      <c r="R686" s="1568"/>
      <c r="S686" s="1568"/>
      <c r="T686" s="1568"/>
      <c r="U686" s="247"/>
      <c r="V686" s="1568"/>
      <c r="W686" s="1568"/>
      <c r="X686" s="1568"/>
      <c r="Y686" s="523"/>
    </row>
    <row r="687" spans="4:25">
      <c r="D687" s="409"/>
      <c r="E687" s="318"/>
      <c r="F687" s="1568"/>
      <c r="G687" s="1568"/>
      <c r="H687" s="1568"/>
      <c r="I687" s="1568"/>
      <c r="J687" s="1568"/>
      <c r="K687" s="1568"/>
      <c r="L687" s="1568">
        <f>F685</f>
        <v>0</v>
      </c>
      <c r="M687" s="1568"/>
      <c r="N687" s="1568"/>
      <c r="O687" s="1568"/>
      <c r="P687" s="1568"/>
      <c r="Q687" s="1568"/>
      <c r="R687" s="1568"/>
      <c r="S687" s="1568"/>
      <c r="T687" s="1568"/>
      <c r="U687" s="247"/>
      <c r="V687" s="1568"/>
      <c r="W687" s="1568"/>
      <c r="X687" s="1568"/>
      <c r="Y687" s="523"/>
    </row>
    <row r="688" spans="4:25">
      <c r="D688" s="409"/>
      <c r="E688" s="318"/>
      <c r="F688" s="1568"/>
      <c r="G688" s="1568"/>
      <c r="H688" s="1568"/>
      <c r="I688" s="1568"/>
      <c r="J688" s="1568"/>
      <c r="K688" s="1568"/>
      <c r="L688" s="1568"/>
      <c r="M688" s="1568"/>
      <c r="N688" s="1568"/>
      <c r="O688" s="1568">
        <f>V688</f>
        <v>0</v>
      </c>
      <c r="P688" s="1568"/>
      <c r="Q688" s="1568"/>
      <c r="R688" s="1568"/>
      <c r="S688" s="1568"/>
      <c r="T688" s="1568"/>
      <c r="U688" s="247"/>
      <c r="V688" s="1568">
        <f>IF(D293&gt;0,V683+(G293+J293)-(O293+Q293+S293+T293+V293)+Y293,0)</f>
        <v>0</v>
      </c>
      <c r="W688" s="1568"/>
      <c r="X688" s="1568"/>
      <c r="Y688" s="523">
        <f>IF(D293&gt;0,IF(V688&gt;0,0,1),0)</f>
        <v>0</v>
      </c>
    </row>
    <row r="689" spans="4:46">
      <c r="D689" s="409"/>
      <c r="E689" s="318"/>
      <c r="F689" s="1568"/>
      <c r="G689" s="1568"/>
      <c r="H689" s="1568"/>
      <c r="I689" s="1568"/>
      <c r="J689" s="1568"/>
      <c r="K689" s="1568"/>
      <c r="L689" s="1568"/>
      <c r="M689" s="1568"/>
      <c r="N689" s="1568"/>
      <c r="O689" s="1568"/>
      <c r="P689" s="1568"/>
      <c r="Q689" s="1568"/>
      <c r="R689" s="1568"/>
      <c r="S689" s="1568"/>
      <c r="T689" s="1568"/>
      <c r="U689" s="247"/>
      <c r="V689" s="1568"/>
      <c r="W689" s="1568"/>
      <c r="X689" s="1568"/>
      <c r="Y689" s="523"/>
    </row>
    <row r="690" spans="4:46">
      <c r="D690" s="409">
        <v>25</v>
      </c>
      <c r="E690" s="318"/>
      <c r="F690" s="1568">
        <f>AH295</f>
        <v>0</v>
      </c>
      <c r="G690" s="1568"/>
      <c r="H690" s="1568"/>
      <c r="I690" s="1568"/>
      <c r="J690" s="1568"/>
      <c r="K690" s="1568"/>
      <c r="L690" s="1568"/>
      <c r="M690" s="1568"/>
      <c r="N690" s="1568"/>
      <c r="O690" s="1568"/>
      <c r="P690" s="1568"/>
      <c r="Q690" s="1568"/>
      <c r="R690" s="1568"/>
      <c r="S690" s="1568"/>
      <c r="T690" s="1568"/>
      <c r="U690" s="247"/>
      <c r="V690" s="1568"/>
      <c r="W690" s="1568"/>
      <c r="X690" s="1568"/>
      <c r="Y690" s="523"/>
    </row>
    <row r="691" spans="4:46">
      <c r="D691" s="409"/>
      <c r="E691" s="318"/>
      <c r="F691" s="1568"/>
      <c r="G691" s="1568"/>
      <c r="H691" s="1568"/>
      <c r="I691" s="1568">
        <f>F690</f>
        <v>0</v>
      </c>
      <c r="J691" s="1568"/>
      <c r="K691" s="1568"/>
      <c r="L691" s="1568"/>
      <c r="M691" s="1568"/>
      <c r="N691" s="1568"/>
      <c r="O691" s="1568"/>
      <c r="P691" s="1568"/>
      <c r="Q691" s="1568"/>
      <c r="R691" s="1568"/>
      <c r="S691" s="1568"/>
      <c r="T691" s="1568"/>
      <c r="U691" s="247"/>
      <c r="V691" s="1568"/>
      <c r="W691" s="1568"/>
      <c r="X691" s="1568"/>
      <c r="Y691" s="523"/>
    </row>
    <row r="692" spans="4:46">
      <c r="D692" s="409"/>
      <c r="E692" s="318"/>
      <c r="F692" s="1568"/>
      <c r="G692" s="1568"/>
      <c r="H692" s="1568"/>
      <c r="I692" s="1568"/>
      <c r="J692" s="1568"/>
      <c r="K692" s="1568"/>
      <c r="L692" s="1568">
        <f>F690</f>
        <v>0</v>
      </c>
      <c r="M692" s="1568"/>
      <c r="N692" s="1568"/>
      <c r="O692" s="1568"/>
      <c r="P692" s="1568"/>
      <c r="Q692" s="1568"/>
      <c r="R692" s="1568"/>
      <c r="S692" s="1568"/>
      <c r="T692" s="1568"/>
      <c r="U692" s="247"/>
      <c r="V692" s="1568"/>
      <c r="W692" s="1568"/>
      <c r="X692" s="1568"/>
      <c r="Y692" s="523"/>
    </row>
    <row r="693" spans="4:46">
      <c r="D693" s="409"/>
      <c r="E693" s="318"/>
      <c r="F693" s="1568"/>
      <c r="G693" s="1568"/>
      <c r="H693" s="1568"/>
      <c r="I693" s="1568"/>
      <c r="J693" s="1568"/>
      <c r="K693" s="1568"/>
      <c r="L693" s="1568"/>
      <c r="M693" s="1568"/>
      <c r="N693" s="1568"/>
      <c r="O693" s="1568">
        <f>V693</f>
        <v>0</v>
      </c>
      <c r="P693" s="1568"/>
      <c r="Q693" s="1568"/>
      <c r="R693" s="1568"/>
      <c r="S693" s="1568"/>
      <c r="T693" s="1568"/>
      <c r="U693" s="247"/>
      <c r="V693" s="1568">
        <f>IF(D295&gt;0,V688+(G295+J295)-(O295+Q295+S295+T295+V295)+Y295,0)</f>
        <v>0</v>
      </c>
      <c r="W693" s="1568"/>
      <c r="X693" s="1568"/>
      <c r="Y693" s="523">
        <f>IF(D295&gt;0,IF(V693&gt;0,0,1),0)</f>
        <v>0</v>
      </c>
    </row>
    <row r="694" spans="4:46">
      <c r="D694" s="415"/>
      <c r="E694" s="388"/>
      <c r="F694" s="1598"/>
      <c r="G694" s="1598"/>
      <c r="H694" s="1598"/>
      <c r="I694" s="1598"/>
      <c r="J694" s="1598"/>
      <c r="K694" s="1598"/>
      <c r="L694" s="1598"/>
      <c r="M694" s="1598"/>
      <c r="N694" s="1598"/>
      <c r="O694" s="1598"/>
      <c r="P694" s="1598"/>
      <c r="Q694" s="1598"/>
      <c r="R694" s="1598"/>
      <c r="S694" s="1598"/>
      <c r="T694" s="1598"/>
      <c r="U694" s="402"/>
      <c r="V694" s="1598"/>
      <c r="W694" s="1598"/>
      <c r="X694" s="1598"/>
      <c r="Y694" s="524"/>
    </row>
    <row r="695" spans="4:46">
      <c r="Y695" s="525">
        <f>SUM(Y573:Y694)</f>
        <v>20</v>
      </c>
    </row>
    <row r="696" spans="4:46">
      <c r="U696" s="459"/>
    </row>
    <row r="697" spans="4:46">
      <c r="D697" s="653" t="s">
        <v>705</v>
      </c>
      <c r="U697" s="459"/>
    </row>
    <row r="699" spans="4:46">
      <c r="G699" s="653" t="s">
        <v>188</v>
      </c>
      <c r="K699" s="653" t="s">
        <v>708</v>
      </c>
      <c r="P699" s="653" t="s">
        <v>791</v>
      </c>
      <c r="S699" s="653" t="s">
        <v>709</v>
      </c>
      <c r="W699" s="842" t="s">
        <v>710</v>
      </c>
      <c r="AT699" s="653" t="s">
        <v>17</v>
      </c>
    </row>
    <row r="700" spans="4:46">
      <c r="G700" s="653" t="s">
        <v>706</v>
      </c>
      <c r="K700" s="1596"/>
      <c r="L700" s="1596"/>
      <c r="M700" s="1596"/>
      <c r="N700" s="1596"/>
      <c r="P700" s="653" t="s">
        <v>792</v>
      </c>
      <c r="W700" s="519" t="s">
        <v>391</v>
      </c>
      <c r="X700" s="397"/>
      <c r="Y700" s="397"/>
      <c r="Z700" s="847" t="s">
        <v>786</v>
      </c>
      <c r="AA700" s="397"/>
      <c r="AB700" s="398"/>
      <c r="AC700" s="398"/>
      <c r="AD700" s="397"/>
      <c r="AE700" s="847" t="s">
        <v>787</v>
      </c>
      <c r="AF700" s="847"/>
      <c r="AG700" s="397"/>
      <c r="AH700" s="397"/>
      <c r="AI700" s="397"/>
      <c r="AJ700" s="397"/>
      <c r="AK700" s="847" t="s">
        <v>188</v>
      </c>
      <c r="AL700" s="847"/>
      <c r="AM700" s="397"/>
      <c r="AN700" s="397"/>
      <c r="AO700" s="399"/>
      <c r="AT700" s="653" t="s">
        <v>786</v>
      </c>
    </row>
    <row r="701" spans="4:46">
      <c r="D701" s="840" t="s">
        <v>707</v>
      </c>
      <c r="E701" s="841"/>
      <c r="F701" s="841"/>
      <c r="G701" s="1588">
        <f>N436</f>
        <v>0</v>
      </c>
      <c r="H701" s="1588"/>
      <c r="I701" s="1588"/>
      <c r="J701" s="1588"/>
      <c r="K701" s="1588">
        <f>G701</f>
        <v>0</v>
      </c>
      <c r="L701" s="1588"/>
      <c r="M701" s="1588"/>
      <c r="N701" s="1588"/>
      <c r="P701" s="1585">
        <f>ROUNDUP(SUM(P702:R727),1)</f>
        <v>0</v>
      </c>
      <c r="Q701" s="1586"/>
      <c r="R701" s="1587"/>
      <c r="S701" s="1585">
        <f>ROUNDUP(SUM(S702:U727),1)</f>
        <v>0.5</v>
      </c>
      <c r="T701" s="1586"/>
      <c r="U701" s="1587"/>
      <c r="W701" s="639" t="s">
        <v>789</v>
      </c>
      <c r="X701" s="1566">
        <f>-K729</f>
        <v>0</v>
      </c>
      <c r="Y701" s="1566"/>
      <c r="Z701" s="1566"/>
      <c r="AA701" s="1566"/>
      <c r="AB701" s="1566"/>
      <c r="AC701" s="1879">
        <f>K701-X701</f>
        <v>0</v>
      </c>
      <c r="AD701" s="1879"/>
      <c r="AE701" s="1879"/>
      <c r="AF701" s="1879"/>
      <c r="AG701" s="1879"/>
      <c r="AH701" s="1879"/>
      <c r="AI701" s="1879"/>
      <c r="AJ701" s="1566">
        <f>4*AJ703</f>
        <v>0</v>
      </c>
      <c r="AK701" s="1622"/>
      <c r="AL701" s="1622"/>
      <c r="AM701" s="1622"/>
      <c r="AN701" s="1622"/>
      <c r="AO701" s="853"/>
    </row>
    <row r="702" spans="4:46">
      <c r="D702" s="1597">
        <v>0</v>
      </c>
      <c r="E702" s="1597"/>
      <c r="F702" s="1597"/>
      <c r="G702" s="1583">
        <f>IF($V$21&gt;=0,(G245+J245+L245)-(Q245+S245+T245+V245)+Y245,0)</f>
        <v>0</v>
      </c>
      <c r="H702" s="1583"/>
      <c r="I702" s="1583"/>
      <c r="J702" s="1583"/>
      <c r="K702" s="1583">
        <f t="shared" ref="K702:K727" si="347">K701+G702</f>
        <v>0</v>
      </c>
      <c r="L702" s="1583"/>
      <c r="M702" s="1583"/>
      <c r="N702" s="1583"/>
      <c r="P702" s="1584">
        <f>IF(AC701&lt;0,IF((AC701*-1)&gt;G702,S702,(AC701*-1)/G702),0)</f>
        <v>0</v>
      </c>
      <c r="Q702" s="1584"/>
      <c r="R702" s="1584"/>
      <c r="S702" s="1584">
        <f>(12-R66+1)/12</f>
        <v>0.41666666666666669</v>
      </c>
      <c r="T702" s="1584"/>
      <c r="U702" s="1584"/>
      <c r="W702" s="411" t="s">
        <v>67</v>
      </c>
      <c r="X702" s="1566">
        <f>IF(AT702&lt;=0,AT702,0)</f>
        <v>0</v>
      </c>
      <c r="Y702" s="1566"/>
      <c r="Z702" s="1566"/>
      <c r="AA702" s="1566"/>
      <c r="AB702" s="1566"/>
      <c r="AC702" s="1879">
        <f t="shared" ref="AC702:AC727" si="348">IF((K702-X702)&lt;=0,K702-X702,0)</f>
        <v>0</v>
      </c>
      <c r="AD702" s="1879"/>
      <c r="AE702" s="1879"/>
      <c r="AF702" s="1879"/>
      <c r="AG702" s="1879"/>
      <c r="AH702" s="1879"/>
      <c r="AI702" s="1879"/>
      <c r="AJ702" s="1566">
        <f>IF((X702+AC702)&lt;0,G702,0)</f>
        <v>0</v>
      </c>
      <c r="AK702" s="1622"/>
      <c r="AL702" s="1622"/>
      <c r="AM702" s="1622"/>
      <c r="AN702" s="1622"/>
      <c r="AO702" s="314"/>
      <c r="AT702" s="852">
        <f t="shared" ref="AT702:AT727" si="349">IF(K702&lt;(-$K$729),-$K$729,K702)</f>
        <v>0</v>
      </c>
    </row>
    <row r="703" spans="4:46">
      <c r="D703" s="1597">
        <v>1</v>
      </c>
      <c r="E703" s="1597"/>
      <c r="F703" s="1597"/>
      <c r="G703" s="1583">
        <f>IF(D247&gt;0,(G247+J247+L247)-(Q247+S247+T247+V247)+Y247,0)</f>
        <v>0</v>
      </c>
      <c r="H703" s="1583"/>
      <c r="I703" s="1583"/>
      <c r="J703" s="1583"/>
      <c r="K703" s="1583">
        <f t="shared" si="347"/>
        <v>0</v>
      </c>
      <c r="L703" s="1583"/>
      <c r="M703" s="1583"/>
      <c r="N703" s="1583"/>
      <c r="P703" s="1584">
        <f>IF(AC702&lt;0,IF((AC702*-1)&gt;G703,1,(AC702*-1)/G703),0)</f>
        <v>0</v>
      </c>
      <c r="Q703" s="1584"/>
      <c r="R703" s="1584"/>
      <c r="S703" s="1584">
        <f t="shared" ref="S703:S727" si="350">IF(K702&lt;0,IF((K702*-1)&gt;G703,1,(K702*-1)/G703),0)</f>
        <v>0</v>
      </c>
      <c r="T703" s="1584"/>
      <c r="U703" s="1584"/>
      <c r="W703" s="409">
        <v>1</v>
      </c>
      <c r="X703" s="1566">
        <f t="shared" ref="X703:X727" si="351">IF(AT703&lt;=0,AT703,0)</f>
        <v>0</v>
      </c>
      <c r="Y703" s="1566"/>
      <c r="Z703" s="1566"/>
      <c r="AA703" s="1566"/>
      <c r="AB703" s="1566"/>
      <c r="AC703" s="1879">
        <f t="shared" si="348"/>
        <v>0</v>
      </c>
      <c r="AD703" s="1879"/>
      <c r="AE703" s="1879"/>
      <c r="AF703" s="1879"/>
      <c r="AG703" s="1879"/>
      <c r="AH703" s="1879"/>
      <c r="AI703" s="1879"/>
      <c r="AJ703" s="1566">
        <f t="shared" ref="AJ703:AJ727" si="352">IF((X703+AC703)&lt;0,G703,0)</f>
        <v>0</v>
      </c>
      <c r="AK703" s="1622"/>
      <c r="AL703" s="1622"/>
      <c r="AM703" s="1622"/>
      <c r="AN703" s="1622"/>
      <c r="AO703" s="314"/>
      <c r="AT703" s="852">
        <f t="shared" si="349"/>
        <v>0</v>
      </c>
    </row>
    <row r="704" spans="4:46">
      <c r="D704" s="1597">
        <v>2</v>
      </c>
      <c r="E704" s="1597"/>
      <c r="F704" s="1597"/>
      <c r="G704" s="1583">
        <f>IF(D249&gt;0,(G249+J249+L249)-(Q249+S249+T249+V249)+Y249,0)</f>
        <v>0</v>
      </c>
      <c r="H704" s="1583"/>
      <c r="I704" s="1583"/>
      <c r="J704" s="1583"/>
      <c r="K704" s="1583">
        <f t="shared" si="347"/>
        <v>0</v>
      </c>
      <c r="L704" s="1583"/>
      <c r="M704" s="1583"/>
      <c r="N704" s="1583"/>
      <c r="P704" s="1584">
        <f>IF(AC703&lt;0,IF((AC703*-1)&gt;G704,1,(AC703*-1)/G704),0)</f>
        <v>0</v>
      </c>
      <c r="Q704" s="1584"/>
      <c r="R704" s="1584"/>
      <c r="S704" s="1584">
        <f t="shared" si="350"/>
        <v>0</v>
      </c>
      <c r="T704" s="1584"/>
      <c r="U704" s="1584"/>
      <c r="W704" s="409">
        <v>2</v>
      </c>
      <c r="X704" s="1566">
        <f t="shared" si="351"/>
        <v>0</v>
      </c>
      <c r="Y704" s="1566"/>
      <c r="Z704" s="1566"/>
      <c r="AA704" s="1566"/>
      <c r="AB704" s="1566"/>
      <c r="AC704" s="1879">
        <f t="shared" si="348"/>
        <v>0</v>
      </c>
      <c r="AD704" s="1879"/>
      <c r="AE704" s="1879"/>
      <c r="AF704" s="1879"/>
      <c r="AG704" s="1879"/>
      <c r="AH704" s="1879"/>
      <c r="AI704" s="1879"/>
      <c r="AJ704" s="1566">
        <f t="shared" si="352"/>
        <v>0</v>
      </c>
      <c r="AK704" s="1622"/>
      <c r="AL704" s="1622"/>
      <c r="AM704" s="1622"/>
      <c r="AN704" s="1622"/>
      <c r="AO704" s="314"/>
      <c r="AT704" s="852">
        <f t="shared" si="349"/>
        <v>0</v>
      </c>
    </row>
    <row r="705" spans="4:46">
      <c r="D705" s="1597">
        <v>3</v>
      </c>
      <c r="E705" s="1597"/>
      <c r="F705" s="1597"/>
      <c r="G705" s="1583">
        <f>IF(D251&gt;0,(G251+J251+L251)-(Q251+S251+T251+V251)+Y251,0)</f>
        <v>0</v>
      </c>
      <c r="H705" s="1583"/>
      <c r="I705" s="1583"/>
      <c r="J705" s="1583"/>
      <c r="K705" s="1583">
        <f t="shared" si="347"/>
        <v>0</v>
      </c>
      <c r="L705" s="1583"/>
      <c r="M705" s="1583"/>
      <c r="N705" s="1583"/>
      <c r="P705" s="1584">
        <f>IF(AC704&lt;0,IF((AC704*-1)&gt;G705,1,(AC704*-1)/G705),0)</f>
        <v>0</v>
      </c>
      <c r="Q705" s="1584"/>
      <c r="R705" s="1584"/>
      <c r="S705" s="1584">
        <f t="shared" si="350"/>
        <v>0</v>
      </c>
      <c r="T705" s="1584"/>
      <c r="U705" s="1584"/>
      <c r="W705" s="409">
        <v>3</v>
      </c>
      <c r="X705" s="1566">
        <f t="shared" si="351"/>
        <v>0</v>
      </c>
      <c r="Y705" s="1566"/>
      <c r="Z705" s="1566"/>
      <c r="AA705" s="1566"/>
      <c r="AB705" s="1566"/>
      <c r="AC705" s="1879">
        <f t="shared" si="348"/>
        <v>0</v>
      </c>
      <c r="AD705" s="1879"/>
      <c r="AE705" s="1879"/>
      <c r="AF705" s="1879"/>
      <c r="AG705" s="1879"/>
      <c r="AH705" s="1879"/>
      <c r="AI705" s="1879"/>
      <c r="AJ705" s="1566">
        <f t="shared" si="352"/>
        <v>0</v>
      </c>
      <c r="AK705" s="1622"/>
      <c r="AL705" s="1622"/>
      <c r="AM705" s="1622"/>
      <c r="AN705" s="1622"/>
      <c r="AO705" s="314"/>
      <c r="AT705" s="852">
        <f t="shared" si="349"/>
        <v>0</v>
      </c>
    </row>
    <row r="706" spans="4:46">
      <c r="D706" s="1597">
        <v>4</v>
      </c>
      <c r="E706" s="1597"/>
      <c r="F706" s="1597"/>
      <c r="G706" s="1583">
        <f>IF(D253&gt;0,(G253+J253+L253)-(Q253+S253+T253+V253)+Y253,0)</f>
        <v>0</v>
      </c>
      <c r="H706" s="1583"/>
      <c r="I706" s="1583"/>
      <c r="J706" s="1583"/>
      <c r="K706" s="1583">
        <f t="shared" si="347"/>
        <v>0</v>
      </c>
      <c r="L706" s="1583"/>
      <c r="M706" s="1583"/>
      <c r="N706" s="1583"/>
      <c r="P706" s="1584">
        <f>IF(AC705&lt;0,IF((AC705*-1)&gt;G706,1,(AC705*-1)/G706),0)</f>
        <v>0</v>
      </c>
      <c r="Q706" s="1584"/>
      <c r="R706" s="1584"/>
      <c r="S706" s="1584">
        <f t="shared" si="350"/>
        <v>0</v>
      </c>
      <c r="T706" s="1584"/>
      <c r="U706" s="1584"/>
      <c r="W706" s="409">
        <v>4</v>
      </c>
      <c r="X706" s="1566">
        <f t="shared" si="351"/>
        <v>0</v>
      </c>
      <c r="Y706" s="1566"/>
      <c r="Z706" s="1566"/>
      <c r="AA706" s="1566"/>
      <c r="AB706" s="1566"/>
      <c r="AC706" s="1879">
        <f t="shared" si="348"/>
        <v>0</v>
      </c>
      <c r="AD706" s="1879"/>
      <c r="AE706" s="1879"/>
      <c r="AF706" s="1879"/>
      <c r="AG706" s="1879"/>
      <c r="AH706" s="1879"/>
      <c r="AI706" s="1879"/>
      <c r="AJ706" s="1566">
        <f t="shared" si="352"/>
        <v>0</v>
      </c>
      <c r="AK706" s="1622"/>
      <c r="AL706" s="1622"/>
      <c r="AM706" s="1622"/>
      <c r="AN706" s="1622"/>
      <c r="AO706" s="314"/>
      <c r="AT706" s="852">
        <f t="shared" si="349"/>
        <v>0</v>
      </c>
    </row>
    <row r="707" spans="4:46">
      <c r="D707" s="1597">
        <v>5</v>
      </c>
      <c r="E707" s="1597"/>
      <c r="F707" s="1597"/>
      <c r="G707" s="1583">
        <f>IF(D255&gt;0,(G255+J255+L255)-(Q255+S255+T255+V255)+Y255,0)</f>
        <v>0</v>
      </c>
      <c r="H707" s="1583"/>
      <c r="I707" s="1583"/>
      <c r="J707" s="1583"/>
      <c r="K707" s="1583">
        <f t="shared" si="347"/>
        <v>0</v>
      </c>
      <c r="L707" s="1583"/>
      <c r="M707" s="1583"/>
      <c r="N707" s="1583"/>
      <c r="P707" s="1584">
        <f>IF(AC706&lt;0,IF((AC706*-1)&gt;G707,1,(AC706*-1)/G707),0)</f>
        <v>0</v>
      </c>
      <c r="Q707" s="1584"/>
      <c r="R707" s="1584"/>
      <c r="S707" s="1584">
        <f t="shared" si="350"/>
        <v>0</v>
      </c>
      <c r="T707" s="1584"/>
      <c r="U707" s="1584"/>
      <c r="W707" s="409">
        <v>5</v>
      </c>
      <c r="X707" s="1566">
        <f t="shared" si="351"/>
        <v>0</v>
      </c>
      <c r="Y707" s="1566"/>
      <c r="Z707" s="1566"/>
      <c r="AA707" s="1566"/>
      <c r="AB707" s="1566"/>
      <c r="AC707" s="1879">
        <f t="shared" si="348"/>
        <v>0</v>
      </c>
      <c r="AD707" s="1879"/>
      <c r="AE707" s="1879"/>
      <c r="AF707" s="1879"/>
      <c r="AG707" s="1879"/>
      <c r="AH707" s="1879"/>
      <c r="AI707" s="1879"/>
      <c r="AJ707" s="1566">
        <f t="shared" si="352"/>
        <v>0</v>
      </c>
      <c r="AK707" s="1622"/>
      <c r="AL707" s="1622"/>
      <c r="AM707" s="1622"/>
      <c r="AN707" s="1622"/>
      <c r="AO707" s="314"/>
      <c r="AT707" s="852">
        <f t="shared" si="349"/>
        <v>0</v>
      </c>
    </row>
    <row r="708" spans="4:46">
      <c r="D708" s="1597">
        <v>6</v>
      </c>
      <c r="E708" s="1597"/>
      <c r="F708" s="1597"/>
      <c r="G708" s="1583">
        <f>IF(D257&gt;0,(G257+J257+L257)-(Q257+S257+T257+V257)+Y257,0)</f>
        <v>0</v>
      </c>
      <c r="H708" s="1583"/>
      <c r="I708" s="1583"/>
      <c r="J708" s="1583"/>
      <c r="K708" s="1583">
        <f t="shared" si="347"/>
        <v>0</v>
      </c>
      <c r="L708" s="1583"/>
      <c r="M708" s="1583"/>
      <c r="N708" s="1583"/>
      <c r="P708" s="1584">
        <f t="shared" ref="P708:P727" si="353">IF(AC707&lt;0,IF((AC707*-1)&gt;G708,1,(AC707*-1)/G708),0)</f>
        <v>0</v>
      </c>
      <c r="Q708" s="1584"/>
      <c r="R708" s="1584"/>
      <c r="S708" s="1584">
        <f t="shared" si="350"/>
        <v>0</v>
      </c>
      <c r="T708" s="1584"/>
      <c r="U708" s="1584"/>
      <c r="W708" s="409">
        <v>6</v>
      </c>
      <c r="X708" s="1566">
        <f t="shared" si="351"/>
        <v>0</v>
      </c>
      <c r="Y708" s="1566"/>
      <c r="Z708" s="1566"/>
      <c r="AA708" s="1566"/>
      <c r="AB708" s="1566"/>
      <c r="AC708" s="1879">
        <f t="shared" si="348"/>
        <v>0</v>
      </c>
      <c r="AD708" s="1879"/>
      <c r="AE708" s="1879"/>
      <c r="AF708" s="1879"/>
      <c r="AG708" s="1879"/>
      <c r="AH708" s="1879"/>
      <c r="AI708" s="1879"/>
      <c r="AJ708" s="1566">
        <f t="shared" si="352"/>
        <v>0</v>
      </c>
      <c r="AK708" s="1622"/>
      <c r="AL708" s="1622"/>
      <c r="AM708" s="1622"/>
      <c r="AN708" s="1622"/>
      <c r="AO708" s="314"/>
      <c r="AT708" s="852">
        <f t="shared" si="349"/>
        <v>0</v>
      </c>
    </row>
    <row r="709" spans="4:46">
      <c r="D709" s="1597">
        <v>7</v>
      </c>
      <c r="E709" s="1597"/>
      <c r="F709" s="1597"/>
      <c r="G709" s="1583">
        <f>IF(D259&gt;0,(G259+J259+L259)-(Q259+S259+T259+V259)+Y259,0)</f>
        <v>0</v>
      </c>
      <c r="H709" s="1583"/>
      <c r="I709" s="1583"/>
      <c r="J709" s="1583"/>
      <c r="K709" s="1583">
        <f t="shared" si="347"/>
        <v>0</v>
      </c>
      <c r="L709" s="1583"/>
      <c r="M709" s="1583"/>
      <c r="N709" s="1583"/>
      <c r="P709" s="1584">
        <f t="shared" si="353"/>
        <v>0</v>
      </c>
      <c r="Q709" s="1584"/>
      <c r="R709" s="1584"/>
      <c r="S709" s="1584">
        <f t="shared" si="350"/>
        <v>0</v>
      </c>
      <c r="T709" s="1584"/>
      <c r="U709" s="1584"/>
      <c r="W709" s="409">
        <v>7</v>
      </c>
      <c r="X709" s="1566">
        <f t="shared" si="351"/>
        <v>0</v>
      </c>
      <c r="Y709" s="1566"/>
      <c r="Z709" s="1566"/>
      <c r="AA709" s="1566"/>
      <c r="AB709" s="1566"/>
      <c r="AC709" s="1879">
        <f t="shared" si="348"/>
        <v>0</v>
      </c>
      <c r="AD709" s="1879"/>
      <c r="AE709" s="1879"/>
      <c r="AF709" s="1879"/>
      <c r="AG709" s="1879"/>
      <c r="AH709" s="1879"/>
      <c r="AI709" s="1879"/>
      <c r="AJ709" s="1566">
        <f t="shared" si="352"/>
        <v>0</v>
      </c>
      <c r="AK709" s="1622"/>
      <c r="AL709" s="1622"/>
      <c r="AM709" s="1622"/>
      <c r="AN709" s="1622"/>
      <c r="AO709" s="314"/>
      <c r="AT709" s="852">
        <f t="shared" si="349"/>
        <v>0</v>
      </c>
    </row>
    <row r="710" spans="4:46">
      <c r="D710" s="1597">
        <v>8</v>
      </c>
      <c r="E710" s="1597"/>
      <c r="F710" s="1597"/>
      <c r="G710" s="1583">
        <f>IF(D261&gt;0,(G261+J261+L261)-(Q261+S261+T261+V261)+Y261,0)</f>
        <v>0</v>
      </c>
      <c r="H710" s="1583"/>
      <c r="I710" s="1583"/>
      <c r="J710" s="1583"/>
      <c r="K710" s="1583">
        <f t="shared" si="347"/>
        <v>0</v>
      </c>
      <c r="L710" s="1583"/>
      <c r="M710" s="1583"/>
      <c r="N710" s="1583"/>
      <c r="P710" s="1584">
        <f t="shared" si="353"/>
        <v>0</v>
      </c>
      <c r="Q710" s="1584"/>
      <c r="R710" s="1584"/>
      <c r="S710" s="1584">
        <f t="shared" si="350"/>
        <v>0</v>
      </c>
      <c r="T710" s="1584"/>
      <c r="U710" s="1584"/>
      <c r="W710" s="409">
        <v>8</v>
      </c>
      <c r="X710" s="1566">
        <f t="shared" si="351"/>
        <v>0</v>
      </c>
      <c r="Y710" s="1566"/>
      <c r="Z710" s="1566"/>
      <c r="AA710" s="1566"/>
      <c r="AB710" s="1566"/>
      <c r="AC710" s="1879">
        <f t="shared" si="348"/>
        <v>0</v>
      </c>
      <c r="AD710" s="1879"/>
      <c r="AE710" s="1879"/>
      <c r="AF710" s="1879"/>
      <c r="AG710" s="1879"/>
      <c r="AH710" s="1879"/>
      <c r="AI710" s="1879"/>
      <c r="AJ710" s="1566">
        <f t="shared" si="352"/>
        <v>0</v>
      </c>
      <c r="AK710" s="1622"/>
      <c r="AL710" s="1622"/>
      <c r="AM710" s="1622"/>
      <c r="AN710" s="1622"/>
      <c r="AO710" s="314"/>
      <c r="AT710" s="852">
        <f t="shared" si="349"/>
        <v>0</v>
      </c>
    </row>
    <row r="711" spans="4:46">
      <c r="D711" s="1597">
        <v>9</v>
      </c>
      <c r="E711" s="1597"/>
      <c r="F711" s="1597"/>
      <c r="G711" s="1583">
        <f>IF(D263&gt;0,(G263+J263+L263)-(Q263+S263+T263+V263)+Y263,0)</f>
        <v>0</v>
      </c>
      <c r="H711" s="1583"/>
      <c r="I711" s="1583"/>
      <c r="J711" s="1583"/>
      <c r="K711" s="1583">
        <f t="shared" si="347"/>
        <v>0</v>
      </c>
      <c r="L711" s="1583"/>
      <c r="M711" s="1583"/>
      <c r="N711" s="1583"/>
      <c r="P711" s="1584">
        <f t="shared" si="353"/>
        <v>0</v>
      </c>
      <c r="Q711" s="1584"/>
      <c r="R711" s="1584"/>
      <c r="S711" s="1584">
        <f t="shared" si="350"/>
        <v>0</v>
      </c>
      <c r="T711" s="1584"/>
      <c r="U711" s="1584"/>
      <c r="W711" s="409">
        <v>9</v>
      </c>
      <c r="X711" s="1566">
        <f t="shared" si="351"/>
        <v>0</v>
      </c>
      <c r="Y711" s="1566"/>
      <c r="Z711" s="1566"/>
      <c r="AA711" s="1566"/>
      <c r="AB711" s="1566"/>
      <c r="AC711" s="1879">
        <f t="shared" si="348"/>
        <v>0</v>
      </c>
      <c r="AD711" s="1879"/>
      <c r="AE711" s="1879"/>
      <c r="AF711" s="1879"/>
      <c r="AG711" s="1879"/>
      <c r="AH711" s="1879"/>
      <c r="AI711" s="1879"/>
      <c r="AJ711" s="1566">
        <f t="shared" si="352"/>
        <v>0</v>
      </c>
      <c r="AK711" s="1622"/>
      <c r="AL711" s="1622"/>
      <c r="AM711" s="1622"/>
      <c r="AN711" s="1622"/>
      <c r="AO711" s="314"/>
      <c r="AT711" s="852">
        <f t="shared" si="349"/>
        <v>0</v>
      </c>
    </row>
    <row r="712" spans="4:46">
      <c r="D712" s="1597">
        <v>10</v>
      </c>
      <c r="E712" s="1597"/>
      <c r="F712" s="1597"/>
      <c r="G712" s="1583">
        <f>IF(D265&gt;0,(G265+J265+L265)-(Q265+S265+T265+V265)+Y265,0)</f>
        <v>0</v>
      </c>
      <c r="H712" s="1583"/>
      <c r="I712" s="1583"/>
      <c r="J712" s="1583"/>
      <c r="K712" s="1583">
        <f t="shared" si="347"/>
        <v>0</v>
      </c>
      <c r="L712" s="1583"/>
      <c r="M712" s="1583"/>
      <c r="N712" s="1583"/>
      <c r="P712" s="1584">
        <f t="shared" si="353"/>
        <v>0</v>
      </c>
      <c r="Q712" s="1584"/>
      <c r="R712" s="1584"/>
      <c r="S712" s="1584">
        <f t="shared" si="350"/>
        <v>0</v>
      </c>
      <c r="T712" s="1584"/>
      <c r="U712" s="1584"/>
      <c r="W712" s="409">
        <v>10</v>
      </c>
      <c r="X712" s="1566">
        <f t="shared" si="351"/>
        <v>0</v>
      </c>
      <c r="Y712" s="1566"/>
      <c r="Z712" s="1566"/>
      <c r="AA712" s="1566"/>
      <c r="AB712" s="1566"/>
      <c r="AC712" s="1879">
        <f t="shared" si="348"/>
        <v>0</v>
      </c>
      <c r="AD712" s="1879"/>
      <c r="AE712" s="1879"/>
      <c r="AF712" s="1879"/>
      <c r="AG712" s="1879"/>
      <c r="AH712" s="1879"/>
      <c r="AI712" s="1879"/>
      <c r="AJ712" s="1566">
        <f t="shared" si="352"/>
        <v>0</v>
      </c>
      <c r="AK712" s="1622"/>
      <c r="AL712" s="1622"/>
      <c r="AM712" s="1622"/>
      <c r="AN712" s="1622"/>
      <c r="AO712" s="314"/>
      <c r="AT712" s="852">
        <f t="shared" si="349"/>
        <v>0</v>
      </c>
    </row>
    <row r="713" spans="4:46">
      <c r="D713" s="1597">
        <v>11</v>
      </c>
      <c r="E713" s="1597"/>
      <c r="F713" s="1597"/>
      <c r="G713" s="1583">
        <f>IF(D267&gt;0,(G267+J267+L267)-(Q267+S267+T267+V267)+Y267,0)</f>
        <v>0</v>
      </c>
      <c r="H713" s="1583"/>
      <c r="I713" s="1583"/>
      <c r="J713" s="1583"/>
      <c r="K713" s="1583">
        <f t="shared" si="347"/>
        <v>0</v>
      </c>
      <c r="L713" s="1583"/>
      <c r="M713" s="1583"/>
      <c r="N713" s="1583"/>
      <c r="P713" s="1584">
        <f t="shared" si="353"/>
        <v>0</v>
      </c>
      <c r="Q713" s="1584"/>
      <c r="R713" s="1584"/>
      <c r="S713" s="1584">
        <f t="shared" si="350"/>
        <v>0</v>
      </c>
      <c r="T713" s="1584"/>
      <c r="U713" s="1584"/>
      <c r="W713" s="409">
        <v>11</v>
      </c>
      <c r="X713" s="1566">
        <f t="shared" si="351"/>
        <v>0</v>
      </c>
      <c r="Y713" s="1566"/>
      <c r="Z713" s="1566"/>
      <c r="AA713" s="1566"/>
      <c r="AB713" s="1566"/>
      <c r="AC713" s="1879">
        <f t="shared" si="348"/>
        <v>0</v>
      </c>
      <c r="AD713" s="1879"/>
      <c r="AE713" s="1879"/>
      <c r="AF713" s="1879"/>
      <c r="AG713" s="1879"/>
      <c r="AH713" s="1879"/>
      <c r="AI713" s="1879"/>
      <c r="AJ713" s="1566">
        <f t="shared" si="352"/>
        <v>0</v>
      </c>
      <c r="AK713" s="1622"/>
      <c r="AL713" s="1622"/>
      <c r="AM713" s="1622"/>
      <c r="AN713" s="1622"/>
      <c r="AO713" s="314"/>
      <c r="AT713" s="852">
        <f t="shared" si="349"/>
        <v>0</v>
      </c>
    </row>
    <row r="714" spans="4:46">
      <c r="D714" s="1597">
        <v>12</v>
      </c>
      <c r="E714" s="1597"/>
      <c r="F714" s="1597"/>
      <c r="G714" s="1583">
        <f>IF(D269&gt;0,(G269+J269+L269)-(Q269+S269+T269+V269)+Y269,0)</f>
        <v>0</v>
      </c>
      <c r="H714" s="1583"/>
      <c r="I714" s="1583"/>
      <c r="J714" s="1583"/>
      <c r="K714" s="1583">
        <f t="shared" si="347"/>
        <v>0</v>
      </c>
      <c r="L714" s="1583"/>
      <c r="M714" s="1583"/>
      <c r="N714" s="1583"/>
      <c r="P714" s="1584">
        <f t="shared" si="353"/>
        <v>0</v>
      </c>
      <c r="Q714" s="1584"/>
      <c r="R714" s="1584"/>
      <c r="S714" s="1584">
        <f t="shared" si="350"/>
        <v>0</v>
      </c>
      <c r="T714" s="1584"/>
      <c r="U714" s="1584"/>
      <c r="W714" s="409">
        <v>12</v>
      </c>
      <c r="X714" s="1566">
        <f t="shared" si="351"/>
        <v>0</v>
      </c>
      <c r="Y714" s="1566"/>
      <c r="Z714" s="1566"/>
      <c r="AA714" s="1566"/>
      <c r="AB714" s="1566"/>
      <c r="AC714" s="1879">
        <f t="shared" si="348"/>
        <v>0</v>
      </c>
      <c r="AD714" s="1879"/>
      <c r="AE714" s="1879"/>
      <c r="AF714" s="1879"/>
      <c r="AG714" s="1879"/>
      <c r="AH714" s="1879"/>
      <c r="AI714" s="1879"/>
      <c r="AJ714" s="1566">
        <f t="shared" si="352"/>
        <v>0</v>
      </c>
      <c r="AK714" s="1622"/>
      <c r="AL714" s="1622"/>
      <c r="AM714" s="1622"/>
      <c r="AN714" s="1622"/>
      <c r="AO714" s="314"/>
      <c r="AT714" s="852">
        <f t="shared" si="349"/>
        <v>0</v>
      </c>
    </row>
    <row r="715" spans="4:46">
      <c r="D715" s="1597">
        <v>13</v>
      </c>
      <c r="E715" s="1597"/>
      <c r="F715" s="1597"/>
      <c r="G715" s="1583">
        <f>IF(D271&gt;0,(G271+J271+L271)-(Q271+S271+T271+V271)+Y271,0)</f>
        <v>0</v>
      </c>
      <c r="H715" s="1583"/>
      <c r="I715" s="1583"/>
      <c r="J715" s="1583"/>
      <c r="K715" s="1583">
        <f t="shared" si="347"/>
        <v>0</v>
      </c>
      <c r="L715" s="1583"/>
      <c r="M715" s="1583"/>
      <c r="N715" s="1583"/>
      <c r="P715" s="1584">
        <f t="shared" si="353"/>
        <v>0</v>
      </c>
      <c r="Q715" s="1584"/>
      <c r="R715" s="1584"/>
      <c r="S715" s="1584">
        <f t="shared" si="350"/>
        <v>0</v>
      </c>
      <c r="T715" s="1584"/>
      <c r="U715" s="1584"/>
      <c r="W715" s="409">
        <v>13</v>
      </c>
      <c r="X715" s="1566">
        <f t="shared" si="351"/>
        <v>0</v>
      </c>
      <c r="Y715" s="1566"/>
      <c r="Z715" s="1566"/>
      <c r="AA715" s="1566"/>
      <c r="AB715" s="1566"/>
      <c r="AC715" s="1879">
        <f t="shared" si="348"/>
        <v>0</v>
      </c>
      <c r="AD715" s="1879"/>
      <c r="AE715" s="1879"/>
      <c r="AF715" s="1879"/>
      <c r="AG715" s="1879"/>
      <c r="AH715" s="1879"/>
      <c r="AI715" s="1879"/>
      <c r="AJ715" s="1566">
        <f t="shared" si="352"/>
        <v>0</v>
      </c>
      <c r="AK715" s="1622"/>
      <c r="AL715" s="1622"/>
      <c r="AM715" s="1622"/>
      <c r="AN715" s="1622"/>
      <c r="AO715" s="314"/>
      <c r="AT715" s="852">
        <f t="shared" si="349"/>
        <v>0</v>
      </c>
    </row>
    <row r="716" spans="4:46">
      <c r="D716" s="1597">
        <v>14</v>
      </c>
      <c r="E716" s="1597"/>
      <c r="F716" s="1597"/>
      <c r="G716" s="1583">
        <f>IF(D273&gt;0,(G273+J273+L273)-(Q273+S273+T273+V273)+Y273,0)</f>
        <v>0</v>
      </c>
      <c r="H716" s="1583"/>
      <c r="I716" s="1583"/>
      <c r="J716" s="1583"/>
      <c r="K716" s="1583">
        <f t="shared" si="347"/>
        <v>0</v>
      </c>
      <c r="L716" s="1583"/>
      <c r="M716" s="1583"/>
      <c r="N716" s="1583"/>
      <c r="P716" s="1584">
        <f t="shared" si="353"/>
        <v>0</v>
      </c>
      <c r="Q716" s="1584"/>
      <c r="R716" s="1584"/>
      <c r="S716" s="1584">
        <f t="shared" si="350"/>
        <v>0</v>
      </c>
      <c r="T716" s="1584"/>
      <c r="U716" s="1584"/>
      <c r="W716" s="409">
        <v>14</v>
      </c>
      <c r="X716" s="1566">
        <f t="shared" si="351"/>
        <v>0</v>
      </c>
      <c r="Y716" s="1566"/>
      <c r="Z716" s="1566"/>
      <c r="AA716" s="1566"/>
      <c r="AB716" s="1566"/>
      <c r="AC716" s="1879">
        <f t="shared" si="348"/>
        <v>0</v>
      </c>
      <c r="AD716" s="1879"/>
      <c r="AE716" s="1879"/>
      <c r="AF716" s="1879"/>
      <c r="AG716" s="1879"/>
      <c r="AH716" s="1879"/>
      <c r="AI716" s="1879"/>
      <c r="AJ716" s="1566">
        <f t="shared" si="352"/>
        <v>0</v>
      </c>
      <c r="AK716" s="1622"/>
      <c r="AL716" s="1622"/>
      <c r="AM716" s="1622"/>
      <c r="AN716" s="1622"/>
      <c r="AO716" s="314"/>
      <c r="AT716" s="852">
        <f t="shared" si="349"/>
        <v>0</v>
      </c>
    </row>
    <row r="717" spans="4:46">
      <c r="D717" s="1597">
        <v>15</v>
      </c>
      <c r="E717" s="1597"/>
      <c r="F717" s="1597"/>
      <c r="G717" s="1583">
        <f>IF(D275&gt;0,(G275+J275+L275)-(Q275+S275+T275+V275)+Y275,0)</f>
        <v>0</v>
      </c>
      <c r="H717" s="1583"/>
      <c r="I717" s="1583"/>
      <c r="J717" s="1583"/>
      <c r="K717" s="1583">
        <f t="shared" si="347"/>
        <v>0</v>
      </c>
      <c r="L717" s="1583"/>
      <c r="M717" s="1583"/>
      <c r="N717" s="1583"/>
      <c r="P717" s="1584">
        <f t="shared" si="353"/>
        <v>0</v>
      </c>
      <c r="Q717" s="1584"/>
      <c r="R717" s="1584"/>
      <c r="S717" s="1584">
        <f t="shared" si="350"/>
        <v>0</v>
      </c>
      <c r="T717" s="1584"/>
      <c r="U717" s="1584"/>
      <c r="W717" s="409">
        <v>15</v>
      </c>
      <c r="X717" s="1566">
        <f t="shared" si="351"/>
        <v>0</v>
      </c>
      <c r="Y717" s="1566"/>
      <c r="Z717" s="1566"/>
      <c r="AA717" s="1566"/>
      <c r="AB717" s="1566"/>
      <c r="AC717" s="1879">
        <f t="shared" si="348"/>
        <v>0</v>
      </c>
      <c r="AD717" s="1879"/>
      <c r="AE717" s="1879"/>
      <c r="AF717" s="1879"/>
      <c r="AG717" s="1879"/>
      <c r="AH717" s="1879"/>
      <c r="AI717" s="1879"/>
      <c r="AJ717" s="1566">
        <f t="shared" si="352"/>
        <v>0</v>
      </c>
      <c r="AK717" s="1622"/>
      <c r="AL717" s="1622"/>
      <c r="AM717" s="1622"/>
      <c r="AN717" s="1622"/>
      <c r="AO717" s="314"/>
      <c r="AT717" s="852">
        <f t="shared" si="349"/>
        <v>0</v>
      </c>
    </row>
    <row r="718" spans="4:46">
      <c r="D718" s="1597">
        <v>16</v>
      </c>
      <c r="E718" s="1597"/>
      <c r="F718" s="1597"/>
      <c r="G718" s="1583">
        <f>IF(D277&gt;0,(G277+J277+L277)-(Q277+S277+T277+V277)+Y277,0)</f>
        <v>0</v>
      </c>
      <c r="H718" s="1583"/>
      <c r="I718" s="1583"/>
      <c r="J718" s="1583"/>
      <c r="K718" s="1583">
        <f t="shared" si="347"/>
        <v>0</v>
      </c>
      <c r="L718" s="1583"/>
      <c r="M718" s="1583"/>
      <c r="N718" s="1583"/>
      <c r="P718" s="1584">
        <f t="shared" si="353"/>
        <v>0</v>
      </c>
      <c r="Q718" s="1584"/>
      <c r="R718" s="1584"/>
      <c r="S718" s="1584">
        <f t="shared" si="350"/>
        <v>0</v>
      </c>
      <c r="T718" s="1584"/>
      <c r="U718" s="1584"/>
      <c r="W718" s="409">
        <v>16</v>
      </c>
      <c r="X718" s="1566">
        <f t="shared" si="351"/>
        <v>0</v>
      </c>
      <c r="Y718" s="1566"/>
      <c r="Z718" s="1566"/>
      <c r="AA718" s="1566"/>
      <c r="AB718" s="1566"/>
      <c r="AC718" s="1879">
        <f t="shared" si="348"/>
        <v>0</v>
      </c>
      <c r="AD718" s="1879"/>
      <c r="AE718" s="1879"/>
      <c r="AF718" s="1879"/>
      <c r="AG718" s="1879"/>
      <c r="AH718" s="1879"/>
      <c r="AI718" s="1879"/>
      <c r="AJ718" s="1566">
        <f t="shared" si="352"/>
        <v>0</v>
      </c>
      <c r="AK718" s="1622"/>
      <c r="AL718" s="1622"/>
      <c r="AM718" s="1622"/>
      <c r="AN718" s="1622"/>
      <c r="AO718" s="314"/>
      <c r="AT718" s="852">
        <f t="shared" si="349"/>
        <v>0</v>
      </c>
    </row>
    <row r="719" spans="4:46">
      <c r="D719" s="1597">
        <v>17</v>
      </c>
      <c r="E719" s="1597"/>
      <c r="F719" s="1597"/>
      <c r="G719" s="1583">
        <f>IF(D279&gt;0,(G279+J279+L279)-(Q279+S279+T279+V279)+Y279,0)</f>
        <v>0</v>
      </c>
      <c r="H719" s="1583"/>
      <c r="I719" s="1583"/>
      <c r="J719" s="1583"/>
      <c r="K719" s="1583">
        <f t="shared" si="347"/>
        <v>0</v>
      </c>
      <c r="L719" s="1583"/>
      <c r="M719" s="1583"/>
      <c r="N719" s="1583"/>
      <c r="P719" s="1584">
        <f t="shared" si="353"/>
        <v>0</v>
      </c>
      <c r="Q719" s="1584"/>
      <c r="R719" s="1584"/>
      <c r="S719" s="1584">
        <f t="shared" si="350"/>
        <v>0</v>
      </c>
      <c r="T719" s="1584"/>
      <c r="U719" s="1584"/>
      <c r="W719" s="409">
        <v>17</v>
      </c>
      <c r="X719" s="1566">
        <f t="shared" si="351"/>
        <v>0</v>
      </c>
      <c r="Y719" s="1566"/>
      <c r="Z719" s="1566"/>
      <c r="AA719" s="1566"/>
      <c r="AB719" s="1566"/>
      <c r="AC719" s="1879">
        <f t="shared" si="348"/>
        <v>0</v>
      </c>
      <c r="AD719" s="1879"/>
      <c r="AE719" s="1879"/>
      <c r="AF719" s="1879"/>
      <c r="AG719" s="1879"/>
      <c r="AH719" s="1879"/>
      <c r="AI719" s="1879"/>
      <c r="AJ719" s="1566">
        <f t="shared" si="352"/>
        <v>0</v>
      </c>
      <c r="AK719" s="1622"/>
      <c r="AL719" s="1622"/>
      <c r="AM719" s="1622"/>
      <c r="AN719" s="1622"/>
      <c r="AO719" s="314"/>
      <c r="AT719" s="852">
        <f t="shared" si="349"/>
        <v>0</v>
      </c>
    </row>
    <row r="720" spans="4:46">
      <c r="D720" s="1597">
        <v>18</v>
      </c>
      <c r="E720" s="1597"/>
      <c r="F720" s="1597"/>
      <c r="G720" s="1583">
        <f>IF(D281&gt;0,(G281+J281+L281)-(Q281+S281+T281+V281)+Y281,0)</f>
        <v>0</v>
      </c>
      <c r="H720" s="1583"/>
      <c r="I720" s="1583"/>
      <c r="J720" s="1583"/>
      <c r="K720" s="1583">
        <f t="shared" si="347"/>
        <v>0</v>
      </c>
      <c r="L720" s="1583"/>
      <c r="M720" s="1583"/>
      <c r="N720" s="1583"/>
      <c r="P720" s="1584">
        <f t="shared" si="353"/>
        <v>0</v>
      </c>
      <c r="Q720" s="1584"/>
      <c r="R720" s="1584"/>
      <c r="S720" s="1584">
        <f t="shared" si="350"/>
        <v>0</v>
      </c>
      <c r="T720" s="1584"/>
      <c r="U720" s="1584"/>
      <c r="W720" s="409">
        <v>18</v>
      </c>
      <c r="X720" s="1566">
        <f t="shared" si="351"/>
        <v>0</v>
      </c>
      <c r="Y720" s="1566"/>
      <c r="Z720" s="1566"/>
      <c r="AA720" s="1566"/>
      <c r="AB720" s="1566"/>
      <c r="AC720" s="1879">
        <f t="shared" si="348"/>
        <v>0</v>
      </c>
      <c r="AD720" s="1879"/>
      <c r="AE720" s="1879"/>
      <c r="AF720" s="1879"/>
      <c r="AG720" s="1879"/>
      <c r="AH720" s="1879"/>
      <c r="AI720" s="1879"/>
      <c r="AJ720" s="1566">
        <f t="shared" si="352"/>
        <v>0</v>
      </c>
      <c r="AK720" s="1622"/>
      <c r="AL720" s="1622"/>
      <c r="AM720" s="1622"/>
      <c r="AN720" s="1622"/>
      <c r="AO720" s="314"/>
      <c r="AT720" s="852">
        <f t="shared" si="349"/>
        <v>0</v>
      </c>
    </row>
    <row r="721" spans="4:54">
      <c r="D721" s="1597">
        <v>19</v>
      </c>
      <c r="E721" s="1597"/>
      <c r="F721" s="1597"/>
      <c r="G721" s="1583">
        <f>IF(D283&gt;0,(G283+J283+L283)-(Q283+S283+T283+V283)+Y283,0)</f>
        <v>0</v>
      </c>
      <c r="H721" s="1583"/>
      <c r="I721" s="1583"/>
      <c r="J721" s="1583"/>
      <c r="K721" s="1583">
        <f t="shared" si="347"/>
        <v>0</v>
      </c>
      <c r="L721" s="1583"/>
      <c r="M721" s="1583"/>
      <c r="N721" s="1583"/>
      <c r="P721" s="1584">
        <f t="shared" si="353"/>
        <v>0</v>
      </c>
      <c r="Q721" s="1584"/>
      <c r="R721" s="1584"/>
      <c r="S721" s="1584">
        <f t="shared" si="350"/>
        <v>0</v>
      </c>
      <c r="T721" s="1584"/>
      <c r="U721" s="1584"/>
      <c r="W721" s="409">
        <v>19</v>
      </c>
      <c r="X721" s="1566">
        <f t="shared" si="351"/>
        <v>0</v>
      </c>
      <c r="Y721" s="1566"/>
      <c r="Z721" s="1566"/>
      <c r="AA721" s="1566"/>
      <c r="AB721" s="1566"/>
      <c r="AC721" s="1879">
        <f t="shared" si="348"/>
        <v>0</v>
      </c>
      <c r="AD721" s="1879"/>
      <c r="AE721" s="1879"/>
      <c r="AF721" s="1879"/>
      <c r="AG721" s="1879"/>
      <c r="AH721" s="1879"/>
      <c r="AI721" s="1879"/>
      <c r="AJ721" s="1566">
        <f t="shared" si="352"/>
        <v>0</v>
      </c>
      <c r="AK721" s="1622"/>
      <c r="AL721" s="1622"/>
      <c r="AM721" s="1622"/>
      <c r="AN721" s="1622"/>
      <c r="AO721" s="314"/>
      <c r="AT721" s="852">
        <f t="shared" si="349"/>
        <v>0</v>
      </c>
    </row>
    <row r="722" spans="4:54">
      <c r="D722" s="1597">
        <v>20</v>
      </c>
      <c r="E722" s="1597"/>
      <c r="F722" s="1597"/>
      <c r="G722" s="1583">
        <f>IF(D285&gt;0,(G285+J285+L285)-(Q285+S285+T285+V285)+Y285,0)</f>
        <v>0</v>
      </c>
      <c r="H722" s="1583"/>
      <c r="I722" s="1583"/>
      <c r="J722" s="1583"/>
      <c r="K722" s="1583">
        <f t="shared" si="347"/>
        <v>0</v>
      </c>
      <c r="L722" s="1583"/>
      <c r="M722" s="1583"/>
      <c r="N722" s="1583"/>
      <c r="P722" s="1584">
        <f t="shared" si="353"/>
        <v>0</v>
      </c>
      <c r="Q722" s="1584"/>
      <c r="R722" s="1584"/>
      <c r="S722" s="1584">
        <f t="shared" si="350"/>
        <v>0</v>
      </c>
      <c r="T722" s="1584"/>
      <c r="U722" s="1584"/>
      <c r="W722" s="409">
        <v>20</v>
      </c>
      <c r="X722" s="1566">
        <f t="shared" si="351"/>
        <v>0</v>
      </c>
      <c r="Y722" s="1566"/>
      <c r="Z722" s="1566"/>
      <c r="AA722" s="1566"/>
      <c r="AB722" s="1566"/>
      <c r="AC722" s="1879">
        <f t="shared" si="348"/>
        <v>0</v>
      </c>
      <c r="AD722" s="1879"/>
      <c r="AE722" s="1879"/>
      <c r="AF722" s="1879"/>
      <c r="AG722" s="1879"/>
      <c r="AH722" s="1879"/>
      <c r="AI722" s="1879"/>
      <c r="AJ722" s="1566">
        <f t="shared" si="352"/>
        <v>0</v>
      </c>
      <c r="AK722" s="1622"/>
      <c r="AL722" s="1622"/>
      <c r="AM722" s="1622"/>
      <c r="AN722" s="1622"/>
      <c r="AO722" s="314"/>
      <c r="AT722" s="852">
        <f t="shared" si="349"/>
        <v>0</v>
      </c>
      <c r="AX722" s="1878">
        <f>IF($V$21=20,X722+AC722,0)</f>
        <v>0</v>
      </c>
      <c r="AY722" s="1878"/>
      <c r="AZ722" s="1878"/>
      <c r="BA722" s="1878"/>
      <c r="BB722" s="1878"/>
    </row>
    <row r="723" spans="4:54">
      <c r="D723" s="1597">
        <v>21</v>
      </c>
      <c r="E723" s="1597"/>
      <c r="F723" s="1597"/>
      <c r="G723" s="1583">
        <f>IF(D287&gt;0,(G287+J287+L287)-(Q287+S287+T287+V287)+Y287,0)</f>
        <v>0</v>
      </c>
      <c r="H723" s="1583"/>
      <c r="I723" s="1583"/>
      <c r="J723" s="1583"/>
      <c r="K723" s="1583">
        <f t="shared" si="347"/>
        <v>0</v>
      </c>
      <c r="L723" s="1583"/>
      <c r="M723" s="1583"/>
      <c r="N723" s="1583"/>
      <c r="P723" s="1584">
        <f t="shared" si="353"/>
        <v>0</v>
      </c>
      <c r="Q723" s="1584"/>
      <c r="R723" s="1584"/>
      <c r="S723" s="1584">
        <f t="shared" si="350"/>
        <v>0</v>
      </c>
      <c r="T723" s="1584"/>
      <c r="U723" s="1584"/>
      <c r="W723" s="409">
        <v>21</v>
      </c>
      <c r="X723" s="1566">
        <f t="shared" si="351"/>
        <v>0</v>
      </c>
      <c r="Y723" s="1566"/>
      <c r="Z723" s="1566"/>
      <c r="AA723" s="1566"/>
      <c r="AB723" s="1566"/>
      <c r="AC723" s="1879">
        <f t="shared" si="348"/>
        <v>0</v>
      </c>
      <c r="AD723" s="1879"/>
      <c r="AE723" s="1879"/>
      <c r="AF723" s="1879"/>
      <c r="AG723" s="1879"/>
      <c r="AH723" s="1879"/>
      <c r="AI723" s="1879"/>
      <c r="AJ723" s="1566">
        <f t="shared" si="352"/>
        <v>0</v>
      </c>
      <c r="AK723" s="1622"/>
      <c r="AL723" s="1622"/>
      <c r="AM723" s="1622"/>
      <c r="AN723" s="1622"/>
      <c r="AO723" s="314"/>
      <c r="AT723" s="852">
        <f t="shared" si="349"/>
        <v>0</v>
      </c>
      <c r="AX723" s="1878">
        <f>IF($V$21=21,X723+AC723,0)</f>
        <v>0</v>
      </c>
      <c r="AY723" s="1878"/>
      <c r="AZ723" s="1878"/>
      <c r="BA723" s="1878"/>
      <c r="BB723" s="1878"/>
    </row>
    <row r="724" spans="4:54">
      <c r="D724" s="1597">
        <v>22</v>
      </c>
      <c r="E724" s="1597"/>
      <c r="F724" s="1597"/>
      <c r="G724" s="1583">
        <f>IF(D289&gt;0,(G289+J289+L289)-(Q289+S289+T289+V289)+Y289,0)</f>
        <v>0</v>
      </c>
      <c r="H724" s="1583"/>
      <c r="I724" s="1583"/>
      <c r="J724" s="1583"/>
      <c r="K724" s="1583">
        <f t="shared" si="347"/>
        <v>0</v>
      </c>
      <c r="L724" s="1583"/>
      <c r="M724" s="1583"/>
      <c r="N724" s="1583"/>
      <c r="P724" s="1584">
        <f t="shared" si="353"/>
        <v>0</v>
      </c>
      <c r="Q724" s="1584"/>
      <c r="R724" s="1584"/>
      <c r="S724" s="1584">
        <f t="shared" si="350"/>
        <v>0</v>
      </c>
      <c r="T724" s="1584"/>
      <c r="U724" s="1584"/>
      <c r="W724" s="409">
        <v>22</v>
      </c>
      <c r="X724" s="1566">
        <f t="shared" si="351"/>
        <v>0</v>
      </c>
      <c r="Y724" s="1566"/>
      <c r="Z724" s="1566"/>
      <c r="AA724" s="1566"/>
      <c r="AB724" s="1566"/>
      <c r="AC724" s="1879">
        <f t="shared" si="348"/>
        <v>0</v>
      </c>
      <c r="AD724" s="1879"/>
      <c r="AE724" s="1879"/>
      <c r="AF724" s="1879"/>
      <c r="AG724" s="1879"/>
      <c r="AH724" s="1879"/>
      <c r="AI724" s="1879"/>
      <c r="AJ724" s="1566">
        <f t="shared" si="352"/>
        <v>0</v>
      </c>
      <c r="AK724" s="1622"/>
      <c r="AL724" s="1622"/>
      <c r="AM724" s="1622"/>
      <c r="AN724" s="1622"/>
      <c r="AO724" s="314"/>
      <c r="AT724" s="852">
        <f t="shared" si="349"/>
        <v>0</v>
      </c>
      <c r="AX724" s="1878">
        <f>IF($V$21=22,X724+AC724,0)</f>
        <v>0</v>
      </c>
      <c r="AY724" s="1878"/>
      <c r="AZ724" s="1878"/>
      <c r="BA724" s="1878"/>
      <c r="BB724" s="1878"/>
    </row>
    <row r="725" spans="4:54">
      <c r="D725" s="1597">
        <v>23</v>
      </c>
      <c r="E725" s="1597"/>
      <c r="F725" s="1597"/>
      <c r="G725" s="1583">
        <f>IF(D291&gt;0,(G291+J291+L291)-(Q291+S291+T291+V291)+Y291,0)</f>
        <v>0</v>
      </c>
      <c r="H725" s="1583"/>
      <c r="I725" s="1583"/>
      <c r="J725" s="1583"/>
      <c r="K725" s="1583">
        <f t="shared" si="347"/>
        <v>0</v>
      </c>
      <c r="L725" s="1583"/>
      <c r="M725" s="1583"/>
      <c r="N725" s="1583"/>
      <c r="P725" s="1584">
        <f t="shared" si="353"/>
        <v>0</v>
      </c>
      <c r="Q725" s="1584"/>
      <c r="R725" s="1584"/>
      <c r="S725" s="1584">
        <f t="shared" si="350"/>
        <v>0</v>
      </c>
      <c r="T725" s="1584"/>
      <c r="U725" s="1584"/>
      <c r="W725" s="409">
        <v>23</v>
      </c>
      <c r="X725" s="1566">
        <f t="shared" si="351"/>
        <v>0</v>
      </c>
      <c r="Y725" s="1566"/>
      <c r="Z725" s="1566"/>
      <c r="AA725" s="1566"/>
      <c r="AB725" s="1566"/>
      <c r="AC725" s="1879">
        <f t="shared" si="348"/>
        <v>0</v>
      </c>
      <c r="AD725" s="1879"/>
      <c r="AE725" s="1879"/>
      <c r="AF725" s="1879"/>
      <c r="AG725" s="1879"/>
      <c r="AH725" s="1879"/>
      <c r="AI725" s="1879"/>
      <c r="AJ725" s="1566">
        <f t="shared" si="352"/>
        <v>0</v>
      </c>
      <c r="AK725" s="1622"/>
      <c r="AL725" s="1622"/>
      <c r="AM725" s="1622"/>
      <c r="AN725" s="1622"/>
      <c r="AO725" s="314"/>
      <c r="AT725" s="852">
        <f t="shared" si="349"/>
        <v>0</v>
      </c>
      <c r="AX725" s="1878">
        <f>IF($V$21=230,X725+AC725,0)</f>
        <v>0</v>
      </c>
      <c r="AY725" s="1878"/>
      <c r="AZ725" s="1878"/>
      <c r="BA725" s="1878"/>
      <c r="BB725" s="1878"/>
    </row>
    <row r="726" spans="4:54">
      <c r="D726" s="1597">
        <v>24</v>
      </c>
      <c r="E726" s="1597"/>
      <c r="F726" s="1597"/>
      <c r="G726" s="1583">
        <f>IF(D293&gt;0,(G293+J293+L293)-(Q293+S293+T293+V293)+Y293,0)</f>
        <v>0</v>
      </c>
      <c r="H726" s="1583"/>
      <c r="I726" s="1583"/>
      <c r="J726" s="1583"/>
      <c r="K726" s="1583">
        <f t="shared" si="347"/>
        <v>0</v>
      </c>
      <c r="L726" s="1583"/>
      <c r="M726" s="1583"/>
      <c r="N726" s="1583"/>
      <c r="P726" s="1584">
        <f t="shared" si="353"/>
        <v>0</v>
      </c>
      <c r="Q726" s="1584"/>
      <c r="R726" s="1584"/>
      <c r="S726" s="1584">
        <f t="shared" si="350"/>
        <v>0</v>
      </c>
      <c r="T726" s="1584"/>
      <c r="U726" s="1584"/>
      <c r="W726" s="409">
        <v>24</v>
      </c>
      <c r="X726" s="1566">
        <f t="shared" si="351"/>
        <v>0</v>
      </c>
      <c r="Y726" s="1566"/>
      <c r="Z726" s="1566"/>
      <c r="AA726" s="1566"/>
      <c r="AB726" s="1566"/>
      <c r="AC726" s="1879">
        <f t="shared" si="348"/>
        <v>0</v>
      </c>
      <c r="AD726" s="1879"/>
      <c r="AE726" s="1879"/>
      <c r="AF726" s="1879"/>
      <c r="AG726" s="1879"/>
      <c r="AH726" s="1879"/>
      <c r="AI726" s="1879"/>
      <c r="AJ726" s="1566">
        <f t="shared" si="352"/>
        <v>0</v>
      </c>
      <c r="AK726" s="1622"/>
      <c r="AL726" s="1622"/>
      <c r="AM726" s="1622"/>
      <c r="AN726" s="1622"/>
      <c r="AO726" s="314"/>
      <c r="AT726" s="852">
        <f t="shared" si="349"/>
        <v>0</v>
      </c>
      <c r="AX726" s="1878">
        <f>IF($V$21=24,X726+AC726,0)</f>
        <v>0</v>
      </c>
      <c r="AY726" s="1878"/>
      <c r="AZ726" s="1878"/>
      <c r="BA726" s="1878"/>
      <c r="BB726" s="1878"/>
    </row>
    <row r="727" spans="4:54">
      <c r="D727" s="1597">
        <v>25</v>
      </c>
      <c r="E727" s="1597"/>
      <c r="F727" s="1597"/>
      <c r="G727" s="1583">
        <f>IF(D295&gt;0,(G295+J295+L295)-(Q295+S295+T295+V295)+Y295,0)</f>
        <v>0</v>
      </c>
      <c r="H727" s="1583"/>
      <c r="I727" s="1583"/>
      <c r="J727" s="1583"/>
      <c r="K727" s="1583">
        <f t="shared" si="347"/>
        <v>0</v>
      </c>
      <c r="L727" s="1583"/>
      <c r="M727" s="1583"/>
      <c r="N727" s="1583"/>
      <c r="P727" s="1584">
        <f t="shared" si="353"/>
        <v>0</v>
      </c>
      <c r="Q727" s="1584"/>
      <c r="R727" s="1584"/>
      <c r="S727" s="1584">
        <f t="shared" si="350"/>
        <v>0</v>
      </c>
      <c r="T727" s="1584"/>
      <c r="U727" s="1584"/>
      <c r="W727" s="415">
        <v>25</v>
      </c>
      <c r="X727" s="1595">
        <f t="shared" si="351"/>
        <v>0</v>
      </c>
      <c r="Y727" s="1595"/>
      <c r="Z727" s="1595"/>
      <c r="AA727" s="1595"/>
      <c r="AB727" s="1595"/>
      <c r="AC727" s="1893">
        <f t="shared" si="348"/>
        <v>0</v>
      </c>
      <c r="AD727" s="1893"/>
      <c r="AE727" s="1893"/>
      <c r="AF727" s="1893"/>
      <c r="AG727" s="1893"/>
      <c r="AH727" s="1893"/>
      <c r="AI727" s="1893"/>
      <c r="AJ727" s="1595">
        <f t="shared" si="352"/>
        <v>0</v>
      </c>
      <c r="AK727" s="1781"/>
      <c r="AL727" s="1781"/>
      <c r="AM727" s="1781"/>
      <c r="AN727" s="1781"/>
      <c r="AO727" s="528"/>
      <c r="AT727" s="852">
        <f t="shared" si="349"/>
        <v>0</v>
      </c>
      <c r="AX727" s="1878">
        <f>IF($V$21=25,X727+AC727,0)</f>
        <v>0</v>
      </c>
      <c r="AY727" s="1878"/>
      <c r="AZ727" s="1878"/>
      <c r="BA727" s="1878"/>
      <c r="BB727" s="1878"/>
    </row>
    <row r="728" spans="4:54">
      <c r="AX728" s="1878">
        <f>SUM(AX722:BB727)</f>
        <v>0</v>
      </c>
      <c r="AY728" s="1878"/>
      <c r="AZ728" s="1878"/>
      <c r="BA728" s="1878"/>
      <c r="BB728" s="1878"/>
    </row>
    <row r="729" spans="4:54">
      <c r="D729" s="653" t="s">
        <v>790</v>
      </c>
      <c r="K729" s="1583">
        <f>T82-AA84</f>
        <v>0</v>
      </c>
      <c r="L729" s="1583"/>
      <c r="M729" s="1583"/>
      <c r="N729" s="1583"/>
    </row>
  </sheetData>
  <sheetProtection algorithmName="SHA-512" hashValue="skxT+JaX7XterdemYLG1utj+0/PH7I0TgtZoUbXTfAbq1nXURhjFNzKYaBX27XMsSy0P9T3mnVIxPxbSDAUMRw==" saltValue="YtFBHQNRNOPthy/DFHLakg==" spinCount="100000" sheet="1" objects="1" scenarios="1"/>
  <mergeCells count="11497">
    <mergeCell ref="J17:X17"/>
    <mergeCell ref="L19:U19"/>
    <mergeCell ref="AX728:BB728"/>
    <mergeCell ref="L197:R197"/>
    <mergeCell ref="T174:U174"/>
    <mergeCell ref="T189:V189"/>
    <mergeCell ref="X201:Y201"/>
    <mergeCell ref="L256:M256"/>
    <mergeCell ref="O256:P256"/>
    <mergeCell ref="J251:K251"/>
    <mergeCell ref="BS157:BU157"/>
    <mergeCell ref="BS159:BU159"/>
    <mergeCell ref="AZ159:BA159"/>
    <mergeCell ref="AL147:AN147"/>
    <mergeCell ref="K729:N729"/>
    <mergeCell ref="AC702:AI702"/>
    <mergeCell ref="AC703:AI703"/>
    <mergeCell ref="AC704:AI704"/>
    <mergeCell ref="AC705:AI705"/>
    <mergeCell ref="AC706:AI706"/>
    <mergeCell ref="AC707:AI707"/>
    <mergeCell ref="AC708:AI708"/>
    <mergeCell ref="P708:R708"/>
    <mergeCell ref="AC709:AI709"/>
    <mergeCell ref="AJ709:AN709"/>
    <mergeCell ref="AJ710:AN710"/>
    <mergeCell ref="AJ711:AN711"/>
    <mergeCell ref="AC727:AI727"/>
    <mergeCell ref="AC718:AI718"/>
    <mergeCell ref="AC719:AI719"/>
    <mergeCell ref="AC720:AI720"/>
    <mergeCell ref="AC723:AI723"/>
    <mergeCell ref="AC724:AI724"/>
    <mergeCell ref="AC722:AI722"/>
    <mergeCell ref="AJ707:AN707"/>
    <mergeCell ref="AJ708:AN708"/>
    <mergeCell ref="AJ727:AN727"/>
    <mergeCell ref="AJ725:AN725"/>
    <mergeCell ref="AC715:AI715"/>
    <mergeCell ref="AC716:AI716"/>
    <mergeCell ref="AJ726:AN726"/>
    <mergeCell ref="AJ724:AN724"/>
    <mergeCell ref="AJ723:AN723"/>
    <mergeCell ref="AJ721:AN721"/>
    <mergeCell ref="AJ706:AN706"/>
    <mergeCell ref="AC713:AI713"/>
    <mergeCell ref="AC714:AI714"/>
    <mergeCell ref="AC725:AI725"/>
    <mergeCell ref="AC726:AI726"/>
    <mergeCell ref="AC721:AI721"/>
    <mergeCell ref="AJ713:AN713"/>
    <mergeCell ref="AJ714:AN714"/>
    <mergeCell ref="AJ722:AN722"/>
    <mergeCell ref="AC717:AI717"/>
    <mergeCell ref="AJ717:AN717"/>
    <mergeCell ref="AJ718:AN718"/>
    <mergeCell ref="AJ719:AN719"/>
    <mergeCell ref="AJ720:AN720"/>
    <mergeCell ref="AJ715:AN715"/>
    <mergeCell ref="AJ716:AN716"/>
    <mergeCell ref="AJ705:AN705"/>
    <mergeCell ref="AJ712:AN712"/>
    <mergeCell ref="AJ702:AN702"/>
    <mergeCell ref="AJ703:AN703"/>
    <mergeCell ref="AJ704:AN704"/>
    <mergeCell ref="P704:R704"/>
    <mergeCell ref="P705:R705"/>
    <mergeCell ref="P706:R706"/>
    <mergeCell ref="P707:R707"/>
    <mergeCell ref="C378:C380"/>
    <mergeCell ref="AX722:BB722"/>
    <mergeCell ref="AX723:BB723"/>
    <mergeCell ref="AX724:BB724"/>
    <mergeCell ref="AX725:BB725"/>
    <mergeCell ref="AC701:AI701"/>
    <mergeCell ref="AC710:AI710"/>
    <mergeCell ref="AC711:AI711"/>
    <mergeCell ref="AC712:AI712"/>
    <mergeCell ref="AV193:AW193"/>
    <mergeCell ref="AH269:AN269"/>
    <mergeCell ref="AH260:AN260"/>
    <mergeCell ref="AH256:AN256"/>
    <mergeCell ref="AH289:AN289"/>
    <mergeCell ref="AH257:AN257"/>
    <mergeCell ref="AH286:AN286"/>
    <mergeCell ref="AH278:AN278"/>
    <mergeCell ref="AH280:AN280"/>
    <mergeCell ref="AH252:AN252"/>
    <mergeCell ref="AX726:BB726"/>
    <mergeCell ref="AX727:BB727"/>
    <mergeCell ref="BA166:BC166"/>
    <mergeCell ref="BA168:BC168"/>
    <mergeCell ref="BA170:BC170"/>
    <mergeCell ref="BA182:BC182"/>
    <mergeCell ref="AY191:BA191"/>
    <mergeCell ref="AU437:AX437"/>
    <mergeCell ref="AU445:AX445"/>
    <mergeCell ref="AU436:AX436"/>
    <mergeCell ref="AP197:AT199"/>
    <mergeCell ref="AJ701:AN701"/>
    <mergeCell ref="AH255:AN255"/>
    <mergeCell ref="AH259:AN259"/>
    <mergeCell ref="AH271:AN271"/>
    <mergeCell ref="AP184:AT185"/>
    <mergeCell ref="AP178:AT178"/>
    <mergeCell ref="V273:W273"/>
    <mergeCell ref="V282:W282"/>
    <mergeCell ref="V274:W274"/>
    <mergeCell ref="V278:W278"/>
    <mergeCell ref="V277:W277"/>
    <mergeCell ref="V276:W276"/>
    <mergeCell ref="C185:C187"/>
    <mergeCell ref="AP169:AT172"/>
    <mergeCell ref="D163:D182"/>
    <mergeCell ref="L242:M242"/>
    <mergeCell ref="L246:M246"/>
    <mergeCell ref="O244:P244"/>
    <mergeCell ref="T193:V193"/>
    <mergeCell ref="C164:C166"/>
    <mergeCell ref="Y254:Z254"/>
    <mergeCell ref="D257:F257"/>
    <mergeCell ref="L253:M253"/>
    <mergeCell ref="L250:M250"/>
    <mergeCell ref="Q256:R256"/>
    <mergeCell ref="J246:K246"/>
    <mergeCell ref="O246:P246"/>
    <mergeCell ref="Q248:R248"/>
    <mergeCell ref="O249:P249"/>
    <mergeCell ref="C208:C210"/>
    <mergeCell ref="C235:C237"/>
    <mergeCell ref="C223:C225"/>
    <mergeCell ref="W203:Y203"/>
    <mergeCell ref="AA245:AG245"/>
    <mergeCell ref="X141:Z141"/>
    <mergeCell ref="AE143:AJ143"/>
    <mergeCell ref="AB168:AJ168"/>
    <mergeCell ref="AB170:AJ170"/>
    <mergeCell ref="AH247:AN247"/>
    <mergeCell ref="AA258:AG258"/>
    <mergeCell ref="AH249:AN249"/>
    <mergeCell ref="AA266:AG266"/>
    <mergeCell ref="T147:U147"/>
    <mergeCell ref="T149:U149"/>
    <mergeCell ref="AE139:AJ139"/>
    <mergeCell ref="AK116:AN116"/>
    <mergeCell ref="AA253:AG253"/>
    <mergeCell ref="AH250:AN250"/>
    <mergeCell ref="AH243:AN243"/>
    <mergeCell ref="AA248:AG248"/>
    <mergeCell ref="AA250:AG250"/>
    <mergeCell ref="AA249:AG249"/>
    <mergeCell ref="AA251:AG251"/>
    <mergeCell ref="AH245:AN245"/>
    <mergeCell ref="AH246:AN246"/>
    <mergeCell ref="AH251:AN251"/>
    <mergeCell ref="Y258:Z258"/>
    <mergeCell ref="Y260:Z260"/>
    <mergeCell ref="AA259:AG259"/>
    <mergeCell ref="Y259:Z259"/>
    <mergeCell ref="AA261:AG261"/>
    <mergeCell ref="AA246:AG246"/>
    <mergeCell ref="AA247:AG247"/>
    <mergeCell ref="AH248:AN248"/>
    <mergeCell ref="AE147:AJ147"/>
    <mergeCell ref="AE137:AJ137"/>
    <mergeCell ref="AE149:AJ149"/>
    <mergeCell ref="AE141:AJ141"/>
    <mergeCell ref="AB191:AJ191"/>
    <mergeCell ref="T141:U141"/>
    <mergeCell ref="T143:U143"/>
    <mergeCell ref="T157:U157"/>
    <mergeCell ref="T250:U250"/>
    <mergeCell ref="Y261:Z261"/>
    <mergeCell ref="W226:AH226"/>
    <mergeCell ref="AB182:AJ182"/>
    <mergeCell ref="T153:W153"/>
    <mergeCell ref="Q168:T168"/>
    <mergeCell ref="Y257:Z257"/>
    <mergeCell ref="V255:W255"/>
    <mergeCell ref="Y256:Z256"/>
    <mergeCell ref="V253:W253"/>
    <mergeCell ref="Y255:Z255"/>
    <mergeCell ref="AH244:AN244"/>
    <mergeCell ref="AB197:AJ197"/>
    <mergeCell ref="AD238:AF238"/>
    <mergeCell ref="AB153:AJ153"/>
    <mergeCell ref="AB164:AJ164"/>
    <mergeCell ref="L195:R195"/>
    <mergeCell ref="T191:V191"/>
    <mergeCell ref="T185:V185"/>
    <mergeCell ref="AB208:AJ208"/>
    <mergeCell ref="AB203:AJ203"/>
    <mergeCell ref="AB205:AJ205"/>
    <mergeCell ref="Y253:Z253"/>
    <mergeCell ref="GQ648:GT648"/>
    <mergeCell ref="GQ649:GT649"/>
    <mergeCell ref="GQ643:GT643"/>
    <mergeCell ref="GQ644:GT644"/>
    <mergeCell ref="GQ645:GT645"/>
    <mergeCell ref="GQ646:GT646"/>
    <mergeCell ref="GQ647:GT647"/>
    <mergeCell ref="GQ635:GT635"/>
    <mergeCell ref="GQ633:GT633"/>
    <mergeCell ref="GQ625:GT625"/>
    <mergeCell ref="GQ626:GT626"/>
    <mergeCell ref="GQ615:GT615"/>
    <mergeCell ref="GQ619:GT619"/>
    <mergeCell ref="GQ630:GT630"/>
    <mergeCell ref="GQ620:GT620"/>
    <mergeCell ref="GQ642:GT642"/>
    <mergeCell ref="DC334:DD334"/>
    <mergeCell ref="GQ636:GT636"/>
    <mergeCell ref="GQ616:GT616"/>
    <mergeCell ref="GQ617:GT617"/>
    <mergeCell ref="GQ597:GT597"/>
    <mergeCell ref="GQ598:GT598"/>
    <mergeCell ref="GQ599:GT599"/>
    <mergeCell ref="GQ600:GT600"/>
    <mergeCell ref="GQ614:GT614"/>
    <mergeCell ref="GQ603:GT603"/>
    <mergeCell ref="GQ604:GT604"/>
    <mergeCell ref="GQ605:GT605"/>
    <mergeCell ref="GQ606:GT606"/>
    <mergeCell ref="GQ607:GT607"/>
    <mergeCell ref="GQ608:GT608"/>
    <mergeCell ref="GQ609:GT609"/>
    <mergeCell ref="GQ610:GT610"/>
    <mergeCell ref="GQ611:GT611"/>
    <mergeCell ref="GQ553:GT553"/>
    <mergeCell ref="GQ554:GT554"/>
    <mergeCell ref="GQ543:GT543"/>
    <mergeCell ref="GQ544:GT544"/>
    <mergeCell ref="GQ545:GT545"/>
    <mergeCell ref="GQ546:GT546"/>
    <mergeCell ref="GQ547:GT547"/>
    <mergeCell ref="GQ548:GT548"/>
    <mergeCell ref="GQ549:GT549"/>
    <mergeCell ref="GQ550:GT550"/>
    <mergeCell ref="GQ551:GT551"/>
    <mergeCell ref="GQ552:GT552"/>
    <mergeCell ref="GQ565:GT565"/>
    <mergeCell ref="GQ566:GT566"/>
    <mergeCell ref="GQ555:GT555"/>
    <mergeCell ref="GQ556:GT556"/>
    <mergeCell ref="GQ557:GT557"/>
    <mergeCell ref="GQ558:GT558"/>
    <mergeCell ref="GQ639:GT639"/>
    <mergeCell ref="GQ627:GT627"/>
    <mergeCell ref="GQ628:GT628"/>
    <mergeCell ref="GQ629:GT629"/>
    <mergeCell ref="GQ612:GT612"/>
    <mergeCell ref="GQ577:GT577"/>
    <mergeCell ref="GQ578:GT578"/>
    <mergeCell ref="GQ567:GT567"/>
    <mergeCell ref="GQ568:GT568"/>
    <mergeCell ref="GQ569:GT569"/>
    <mergeCell ref="DC332:DF332"/>
    <mergeCell ref="AH292:AN292"/>
    <mergeCell ref="GQ641:GT641"/>
    <mergeCell ref="DE335:DF335"/>
    <mergeCell ref="DM335:DN335"/>
    <mergeCell ref="DC333:DF333"/>
    <mergeCell ref="GQ618:GT618"/>
    <mergeCell ref="DK332:DN332"/>
    <mergeCell ref="GQ613:GT613"/>
    <mergeCell ref="W556:Z556"/>
    <mergeCell ref="Q544:S544"/>
    <mergeCell ref="EX335:FB335"/>
    <mergeCell ref="GQ631:GT631"/>
    <mergeCell ref="GQ632:GT632"/>
    <mergeCell ref="GQ621:GT621"/>
    <mergeCell ref="GQ622:GT622"/>
    <mergeCell ref="GQ623:GT623"/>
    <mergeCell ref="GQ624:GT624"/>
    <mergeCell ref="GQ634:GT634"/>
    <mergeCell ref="GQ640:GT640"/>
    <mergeCell ref="GQ637:GT637"/>
    <mergeCell ref="GQ638:GT638"/>
    <mergeCell ref="O277:P277"/>
    <mergeCell ref="AA280:AG280"/>
    <mergeCell ref="T553:V553"/>
    <mergeCell ref="Y276:Z276"/>
    <mergeCell ref="W547:Z547"/>
    <mergeCell ref="Q550:S550"/>
    <mergeCell ref="Q559:S559"/>
    <mergeCell ref="T559:V559"/>
    <mergeCell ref="W553:Z553"/>
    <mergeCell ref="W559:Z559"/>
    <mergeCell ref="T556:V556"/>
    <mergeCell ref="W543:Z543"/>
    <mergeCell ref="T550:V550"/>
    <mergeCell ref="Q553:S553"/>
    <mergeCell ref="W550:Z550"/>
    <mergeCell ref="Q543:S543"/>
    <mergeCell ref="GQ589:GT589"/>
    <mergeCell ref="GQ590:GT590"/>
    <mergeCell ref="GQ579:GT579"/>
    <mergeCell ref="GQ580:GT580"/>
    <mergeCell ref="GQ581:GT581"/>
    <mergeCell ref="GQ582:GT582"/>
    <mergeCell ref="GQ583:GT583"/>
    <mergeCell ref="GQ584:GT584"/>
    <mergeCell ref="GQ585:GT585"/>
    <mergeCell ref="GQ586:GT586"/>
    <mergeCell ref="GQ587:GT587"/>
    <mergeCell ref="GQ588:GT588"/>
    <mergeCell ref="GQ601:GT601"/>
    <mergeCell ref="GQ602:GT602"/>
    <mergeCell ref="GQ591:GT591"/>
    <mergeCell ref="GQ592:GT592"/>
    <mergeCell ref="GQ593:GT593"/>
    <mergeCell ref="GQ594:GT594"/>
    <mergeCell ref="GQ595:GT595"/>
    <mergeCell ref="GQ596:GT596"/>
    <mergeCell ref="GQ559:GT559"/>
    <mergeCell ref="GQ560:GT560"/>
    <mergeCell ref="GQ561:GT561"/>
    <mergeCell ref="GQ562:GT562"/>
    <mergeCell ref="GQ563:GT563"/>
    <mergeCell ref="GQ564:GT564"/>
    <mergeCell ref="GQ572:GT572"/>
    <mergeCell ref="GQ573:GT573"/>
    <mergeCell ref="GQ574:GT574"/>
    <mergeCell ref="GQ575:GT575"/>
    <mergeCell ref="GQ576:GT576"/>
    <mergeCell ref="GQ517:GT517"/>
    <mergeCell ref="GQ518:GT518"/>
    <mergeCell ref="GQ507:GT507"/>
    <mergeCell ref="GQ508:GT508"/>
    <mergeCell ref="GQ509:GT509"/>
    <mergeCell ref="GQ510:GT510"/>
    <mergeCell ref="GQ511:GT511"/>
    <mergeCell ref="GQ512:GT512"/>
    <mergeCell ref="GQ513:GT513"/>
    <mergeCell ref="GQ514:GT514"/>
    <mergeCell ref="GQ515:GT515"/>
    <mergeCell ref="GQ516:GT516"/>
    <mergeCell ref="GQ529:GT529"/>
    <mergeCell ref="GQ530:GT530"/>
    <mergeCell ref="GQ519:GT519"/>
    <mergeCell ref="GQ520:GT520"/>
    <mergeCell ref="GQ521:GT521"/>
    <mergeCell ref="GQ522:GT522"/>
    <mergeCell ref="GQ523:GT523"/>
    <mergeCell ref="GQ524:GT524"/>
    <mergeCell ref="GQ525:GT525"/>
    <mergeCell ref="GQ526:GT526"/>
    <mergeCell ref="GQ527:GT527"/>
    <mergeCell ref="GQ528:GT528"/>
    <mergeCell ref="GQ541:GT541"/>
    <mergeCell ref="GQ542:GT542"/>
    <mergeCell ref="GQ531:GT531"/>
    <mergeCell ref="GQ532:GT532"/>
    <mergeCell ref="GQ533:GT533"/>
    <mergeCell ref="GQ534:GT534"/>
    <mergeCell ref="GQ535:GT535"/>
    <mergeCell ref="GQ536:GT536"/>
    <mergeCell ref="GQ537:GT537"/>
    <mergeCell ref="GQ538:GT538"/>
    <mergeCell ref="GQ539:GT539"/>
    <mergeCell ref="GQ540:GT540"/>
    <mergeCell ref="GQ571:GT571"/>
    <mergeCell ref="GQ570:GT570"/>
    <mergeCell ref="GQ481:GT481"/>
    <mergeCell ref="GQ482:GT482"/>
    <mergeCell ref="GQ471:GT471"/>
    <mergeCell ref="GQ472:GT472"/>
    <mergeCell ref="GQ473:GT473"/>
    <mergeCell ref="GQ474:GT474"/>
    <mergeCell ref="GQ475:GT475"/>
    <mergeCell ref="GQ476:GT476"/>
    <mergeCell ref="GQ477:GT477"/>
    <mergeCell ref="GQ478:GT478"/>
    <mergeCell ref="GQ479:GT479"/>
    <mergeCell ref="GQ480:GT480"/>
    <mergeCell ref="GQ493:GT493"/>
    <mergeCell ref="GQ494:GT494"/>
    <mergeCell ref="GQ483:GT483"/>
    <mergeCell ref="GQ484:GT484"/>
    <mergeCell ref="GQ485:GT485"/>
    <mergeCell ref="GQ486:GT486"/>
    <mergeCell ref="GQ487:GT487"/>
    <mergeCell ref="GQ488:GT488"/>
    <mergeCell ref="GQ489:GT489"/>
    <mergeCell ref="GQ490:GT490"/>
    <mergeCell ref="GQ491:GT491"/>
    <mergeCell ref="GQ492:GT492"/>
    <mergeCell ref="GQ505:GT505"/>
    <mergeCell ref="GQ506:GT506"/>
    <mergeCell ref="GQ495:GT495"/>
    <mergeCell ref="GQ496:GT496"/>
    <mergeCell ref="GQ497:GT497"/>
    <mergeCell ref="GQ498:GT498"/>
    <mergeCell ref="GQ499:GT499"/>
    <mergeCell ref="GQ500:GT500"/>
    <mergeCell ref="GQ501:GT501"/>
    <mergeCell ref="GQ502:GT502"/>
    <mergeCell ref="GQ503:GT503"/>
    <mergeCell ref="GQ504:GT504"/>
    <mergeCell ref="GQ445:GT445"/>
    <mergeCell ref="GQ446:GT446"/>
    <mergeCell ref="GQ435:GT435"/>
    <mergeCell ref="GQ436:GT436"/>
    <mergeCell ref="GQ437:GT437"/>
    <mergeCell ref="GQ438:GT438"/>
    <mergeCell ref="GQ439:GT439"/>
    <mergeCell ref="GQ440:GT440"/>
    <mergeCell ref="GQ441:GT441"/>
    <mergeCell ref="GQ442:GT442"/>
    <mergeCell ref="GQ443:GT443"/>
    <mergeCell ref="GQ444:GT444"/>
    <mergeCell ref="GQ457:GT457"/>
    <mergeCell ref="GQ458:GT458"/>
    <mergeCell ref="GQ447:GT447"/>
    <mergeCell ref="GQ448:GT448"/>
    <mergeCell ref="GQ449:GT449"/>
    <mergeCell ref="GQ450:GT450"/>
    <mergeCell ref="GQ451:GT451"/>
    <mergeCell ref="GQ452:GT452"/>
    <mergeCell ref="GQ453:GT453"/>
    <mergeCell ref="GQ454:GT454"/>
    <mergeCell ref="GQ455:GT455"/>
    <mergeCell ref="GQ456:GT456"/>
    <mergeCell ref="GQ469:GT469"/>
    <mergeCell ref="GQ470:GT470"/>
    <mergeCell ref="GQ459:GT459"/>
    <mergeCell ref="GQ460:GT460"/>
    <mergeCell ref="GQ461:GT461"/>
    <mergeCell ref="GQ462:GT462"/>
    <mergeCell ref="GQ463:GT463"/>
    <mergeCell ref="GQ464:GT464"/>
    <mergeCell ref="GQ465:GT465"/>
    <mergeCell ref="GQ466:GT466"/>
    <mergeCell ref="GQ467:GT467"/>
    <mergeCell ref="GQ468:GT468"/>
    <mergeCell ref="GQ410:GT410"/>
    <mergeCell ref="GQ399:GT399"/>
    <mergeCell ref="GQ400:GT400"/>
    <mergeCell ref="GQ401:GT401"/>
    <mergeCell ref="GQ402:GT402"/>
    <mergeCell ref="GQ403:GT403"/>
    <mergeCell ref="GQ404:GT404"/>
    <mergeCell ref="GQ405:GT405"/>
    <mergeCell ref="GQ406:GT406"/>
    <mergeCell ref="GQ407:GT407"/>
    <mergeCell ref="GQ408:GT408"/>
    <mergeCell ref="GQ421:GT421"/>
    <mergeCell ref="GQ422:GT422"/>
    <mergeCell ref="GQ411:GT411"/>
    <mergeCell ref="GQ412:GT412"/>
    <mergeCell ref="GQ413:GT413"/>
    <mergeCell ref="GQ414:GT414"/>
    <mergeCell ref="GQ415:GT415"/>
    <mergeCell ref="GQ416:GT416"/>
    <mergeCell ref="GQ417:GT417"/>
    <mergeCell ref="GQ418:GT418"/>
    <mergeCell ref="GQ419:GT419"/>
    <mergeCell ref="GQ420:GT420"/>
    <mergeCell ref="GQ433:GT433"/>
    <mergeCell ref="GQ434:GT434"/>
    <mergeCell ref="GQ423:GT423"/>
    <mergeCell ref="GQ424:GT424"/>
    <mergeCell ref="GQ425:GT425"/>
    <mergeCell ref="GQ426:GT426"/>
    <mergeCell ref="GQ427:GT427"/>
    <mergeCell ref="GQ428:GT428"/>
    <mergeCell ref="GQ429:GT429"/>
    <mergeCell ref="GQ430:GT430"/>
    <mergeCell ref="GQ431:GT431"/>
    <mergeCell ref="GQ432:GT432"/>
    <mergeCell ref="GQ365:GT365"/>
    <mergeCell ref="GQ366:GT366"/>
    <mergeCell ref="GQ367:GT367"/>
    <mergeCell ref="GQ368:GT368"/>
    <mergeCell ref="GQ369:GT369"/>
    <mergeCell ref="GQ370:GT370"/>
    <mergeCell ref="GQ371:GT371"/>
    <mergeCell ref="GQ372:GT372"/>
    <mergeCell ref="GQ385:GT385"/>
    <mergeCell ref="GQ384:GT384"/>
    <mergeCell ref="GQ386:GT386"/>
    <mergeCell ref="GQ375:GT375"/>
    <mergeCell ref="GQ376:GT376"/>
    <mergeCell ref="GQ377:GT377"/>
    <mergeCell ref="GQ378:GT378"/>
    <mergeCell ref="GQ379:GT379"/>
    <mergeCell ref="GQ380:GT380"/>
    <mergeCell ref="GQ381:GT381"/>
    <mergeCell ref="GQ382:GT382"/>
    <mergeCell ref="GQ383:GT383"/>
    <mergeCell ref="GQ397:GT397"/>
    <mergeCell ref="GQ398:GT398"/>
    <mergeCell ref="GQ387:GT387"/>
    <mergeCell ref="GQ388:GT388"/>
    <mergeCell ref="GQ389:GT389"/>
    <mergeCell ref="GQ390:GT390"/>
    <mergeCell ref="GQ391:GT391"/>
    <mergeCell ref="GQ392:GT392"/>
    <mergeCell ref="GQ393:GT393"/>
    <mergeCell ref="GQ394:GT394"/>
    <mergeCell ref="GQ395:GT395"/>
    <mergeCell ref="GQ396:GT396"/>
    <mergeCell ref="GQ409:GT409"/>
    <mergeCell ref="DX639:DZ639"/>
    <mergeCell ref="EA639:ED639"/>
    <mergeCell ref="EA643:ED643"/>
    <mergeCell ref="DX638:DZ638"/>
    <mergeCell ref="EA638:ED638"/>
    <mergeCell ref="DX641:DZ641"/>
    <mergeCell ref="EA641:ED641"/>
    <mergeCell ref="DX640:DZ640"/>
    <mergeCell ref="EA640:ED640"/>
    <mergeCell ref="EA642:ED642"/>
    <mergeCell ref="DX649:DZ649"/>
    <mergeCell ref="EA649:ED649"/>
    <mergeCell ref="DQ648:DT648"/>
    <mergeCell ref="DX648:DZ648"/>
    <mergeCell ref="EA648:ED648"/>
    <mergeCell ref="DX647:DZ647"/>
    <mergeCell ref="EA647:ED647"/>
    <mergeCell ref="DQ649:DT649"/>
    <mergeCell ref="AA476:AD476"/>
    <mergeCell ref="AA477:AD477"/>
    <mergeCell ref="DX646:DZ646"/>
    <mergeCell ref="EA646:ED646"/>
    <mergeCell ref="DX645:DZ645"/>
    <mergeCell ref="EA645:ED645"/>
    <mergeCell ref="DX644:DZ644"/>
    <mergeCell ref="EA644:ED644"/>
    <mergeCell ref="DX643:DZ643"/>
    <mergeCell ref="DX642:DZ642"/>
    <mergeCell ref="GQ349:GT349"/>
    <mergeCell ref="GQ348:GT348"/>
    <mergeCell ref="BA172:BC172"/>
    <mergeCell ref="FQ333:FR333"/>
    <mergeCell ref="FH333:FI333"/>
    <mergeCell ref="DP333:DS333"/>
    <mergeCell ref="EA333:ED333"/>
    <mergeCell ref="BA189:BC189"/>
    <mergeCell ref="DX342:DZ342"/>
    <mergeCell ref="EA342:ED342"/>
    <mergeCell ref="GQ350:GT350"/>
    <mergeCell ref="GQ339:GT339"/>
    <mergeCell ref="GQ340:GT340"/>
    <mergeCell ref="GQ341:GT341"/>
    <mergeCell ref="GQ342:GT342"/>
    <mergeCell ref="GQ343:GT343"/>
    <mergeCell ref="GQ344:GT344"/>
    <mergeCell ref="GQ345:GT345"/>
    <mergeCell ref="GQ346:GT346"/>
    <mergeCell ref="GQ347:GT347"/>
    <mergeCell ref="GQ361:GT361"/>
    <mergeCell ref="GQ362:GT362"/>
    <mergeCell ref="GQ351:GT351"/>
    <mergeCell ref="GQ352:GT352"/>
    <mergeCell ref="GQ353:GT353"/>
    <mergeCell ref="GQ354:GT354"/>
    <mergeCell ref="GQ355:GT355"/>
    <mergeCell ref="GQ356:GT356"/>
    <mergeCell ref="GQ357:GT357"/>
    <mergeCell ref="GQ358:GT358"/>
    <mergeCell ref="GQ359:GT359"/>
    <mergeCell ref="GQ360:GT360"/>
    <mergeCell ref="GQ373:GT373"/>
    <mergeCell ref="GQ374:GT374"/>
    <mergeCell ref="GQ363:GT363"/>
    <mergeCell ref="GQ364:GT364"/>
    <mergeCell ref="DX621:DZ621"/>
    <mergeCell ref="EA621:ED621"/>
    <mergeCell ref="DX620:DZ620"/>
    <mergeCell ref="EA620:ED620"/>
    <mergeCell ref="DX619:DZ619"/>
    <mergeCell ref="EA619:ED619"/>
    <mergeCell ref="DX618:DZ618"/>
    <mergeCell ref="EA618:ED618"/>
    <mergeCell ref="DX625:DZ625"/>
    <mergeCell ref="EA625:ED625"/>
    <mergeCell ref="DX624:DZ624"/>
    <mergeCell ref="EA624:ED624"/>
    <mergeCell ref="DX623:DZ623"/>
    <mergeCell ref="EA623:ED623"/>
    <mergeCell ref="DX622:DZ622"/>
    <mergeCell ref="EA622:ED622"/>
    <mergeCell ref="DX629:DZ629"/>
    <mergeCell ref="EA629:ED629"/>
    <mergeCell ref="DX628:DZ628"/>
    <mergeCell ref="EA628:ED628"/>
    <mergeCell ref="DX627:DZ627"/>
    <mergeCell ref="EA627:ED627"/>
    <mergeCell ref="DX626:DZ626"/>
    <mergeCell ref="EA626:ED626"/>
    <mergeCell ref="DX633:DZ633"/>
    <mergeCell ref="EA633:ED633"/>
    <mergeCell ref="DX632:DZ632"/>
    <mergeCell ref="EA632:ED632"/>
    <mergeCell ref="DX631:DZ631"/>
    <mergeCell ref="EA631:ED631"/>
    <mergeCell ref="DX630:DZ630"/>
    <mergeCell ref="EA630:ED630"/>
    <mergeCell ref="DX637:DZ637"/>
    <mergeCell ref="EA637:ED637"/>
    <mergeCell ref="DX636:DZ636"/>
    <mergeCell ref="EA636:ED636"/>
    <mergeCell ref="DX635:DZ635"/>
    <mergeCell ref="EA635:ED635"/>
    <mergeCell ref="DX634:DZ634"/>
    <mergeCell ref="EA634:ED634"/>
    <mergeCell ref="DX601:DZ601"/>
    <mergeCell ref="EA601:ED601"/>
    <mergeCell ref="DX600:DZ600"/>
    <mergeCell ref="EA600:ED600"/>
    <mergeCell ref="DX599:DZ599"/>
    <mergeCell ref="EA599:ED599"/>
    <mergeCell ref="DX598:DZ598"/>
    <mergeCell ref="EA598:ED598"/>
    <mergeCell ref="DX605:DZ605"/>
    <mergeCell ref="EA605:ED605"/>
    <mergeCell ref="DX604:DZ604"/>
    <mergeCell ref="EA604:ED604"/>
    <mergeCell ref="DX603:DZ603"/>
    <mergeCell ref="EA603:ED603"/>
    <mergeCell ref="DX602:DZ602"/>
    <mergeCell ref="EA602:ED602"/>
    <mergeCell ref="DX609:DZ609"/>
    <mergeCell ref="EA609:ED609"/>
    <mergeCell ref="DX608:DZ608"/>
    <mergeCell ref="EA608:ED608"/>
    <mergeCell ref="DX607:DZ607"/>
    <mergeCell ref="EA607:ED607"/>
    <mergeCell ref="DX606:DZ606"/>
    <mergeCell ref="EA606:ED606"/>
    <mergeCell ref="DX613:DZ613"/>
    <mergeCell ref="EA613:ED613"/>
    <mergeCell ref="DX612:DZ612"/>
    <mergeCell ref="EA612:ED612"/>
    <mergeCell ref="DX611:DZ611"/>
    <mergeCell ref="EA611:ED611"/>
    <mergeCell ref="DX610:DZ610"/>
    <mergeCell ref="EA610:ED610"/>
    <mergeCell ref="DX617:DZ617"/>
    <mergeCell ref="EA617:ED617"/>
    <mergeCell ref="DX616:DZ616"/>
    <mergeCell ref="EA616:ED616"/>
    <mergeCell ref="DX615:DZ615"/>
    <mergeCell ref="EA615:ED615"/>
    <mergeCell ref="DX614:DZ614"/>
    <mergeCell ref="EA614:ED614"/>
    <mergeCell ref="DX581:DZ581"/>
    <mergeCell ref="EA581:ED581"/>
    <mergeCell ref="DX580:DZ580"/>
    <mergeCell ref="EA580:ED580"/>
    <mergeCell ref="DX579:DZ579"/>
    <mergeCell ref="EA579:ED579"/>
    <mergeCell ref="DX578:DZ578"/>
    <mergeCell ref="EA578:ED578"/>
    <mergeCell ref="DX585:DZ585"/>
    <mergeCell ref="EA585:ED585"/>
    <mergeCell ref="DX584:DZ584"/>
    <mergeCell ref="EA584:ED584"/>
    <mergeCell ref="DX583:DZ583"/>
    <mergeCell ref="EA583:ED583"/>
    <mergeCell ref="DX582:DZ582"/>
    <mergeCell ref="EA582:ED582"/>
    <mergeCell ref="DX589:DZ589"/>
    <mergeCell ref="EA589:ED589"/>
    <mergeCell ref="DX588:DZ588"/>
    <mergeCell ref="EA588:ED588"/>
    <mergeCell ref="DX587:DZ587"/>
    <mergeCell ref="EA587:ED587"/>
    <mergeCell ref="DX586:DZ586"/>
    <mergeCell ref="EA586:ED586"/>
    <mergeCell ref="DX593:DZ593"/>
    <mergeCell ref="EA593:ED593"/>
    <mergeCell ref="DX592:DZ592"/>
    <mergeCell ref="EA592:ED592"/>
    <mergeCell ref="DX591:DZ591"/>
    <mergeCell ref="EA591:ED591"/>
    <mergeCell ref="DX590:DZ590"/>
    <mergeCell ref="EA590:ED590"/>
    <mergeCell ref="DX597:DZ597"/>
    <mergeCell ref="EA597:ED597"/>
    <mergeCell ref="DX596:DZ596"/>
    <mergeCell ref="EA596:ED596"/>
    <mergeCell ref="DX595:DZ595"/>
    <mergeCell ref="EA595:ED595"/>
    <mergeCell ref="DX594:DZ594"/>
    <mergeCell ref="EA594:ED594"/>
    <mergeCell ref="DX561:DZ561"/>
    <mergeCell ref="EA561:ED561"/>
    <mergeCell ref="DX560:DZ560"/>
    <mergeCell ref="EA560:ED560"/>
    <mergeCell ref="DX559:DZ559"/>
    <mergeCell ref="EA559:ED559"/>
    <mergeCell ref="DX558:DZ558"/>
    <mergeCell ref="EA558:ED558"/>
    <mergeCell ref="DX565:DZ565"/>
    <mergeCell ref="EA565:ED565"/>
    <mergeCell ref="DX564:DZ564"/>
    <mergeCell ref="EA564:ED564"/>
    <mergeCell ref="DX563:DZ563"/>
    <mergeCell ref="EA563:ED563"/>
    <mergeCell ref="DX562:DZ562"/>
    <mergeCell ref="EA562:ED562"/>
    <mergeCell ref="DX569:DZ569"/>
    <mergeCell ref="EA569:ED569"/>
    <mergeCell ref="DX568:DZ568"/>
    <mergeCell ref="EA568:ED568"/>
    <mergeCell ref="DX567:DZ567"/>
    <mergeCell ref="EA567:ED567"/>
    <mergeCell ref="DX566:DZ566"/>
    <mergeCell ref="EA566:ED566"/>
    <mergeCell ref="DX573:DZ573"/>
    <mergeCell ref="EA573:ED573"/>
    <mergeCell ref="DX572:DZ572"/>
    <mergeCell ref="EA572:ED572"/>
    <mergeCell ref="DX571:DZ571"/>
    <mergeCell ref="EA571:ED571"/>
    <mergeCell ref="DX570:DZ570"/>
    <mergeCell ref="EA570:ED570"/>
    <mergeCell ref="DX577:DZ577"/>
    <mergeCell ref="EA577:ED577"/>
    <mergeCell ref="DX576:DZ576"/>
    <mergeCell ref="EA576:ED576"/>
    <mergeCell ref="DX575:DZ575"/>
    <mergeCell ref="EA575:ED575"/>
    <mergeCell ref="DX574:DZ574"/>
    <mergeCell ref="EA574:ED574"/>
    <mergeCell ref="DX541:DZ541"/>
    <mergeCell ref="EA541:ED541"/>
    <mergeCell ref="DX540:DZ540"/>
    <mergeCell ref="EA540:ED540"/>
    <mergeCell ref="DX539:DZ539"/>
    <mergeCell ref="EA539:ED539"/>
    <mergeCell ref="DX538:DZ538"/>
    <mergeCell ref="EA538:ED538"/>
    <mergeCell ref="DX545:DZ545"/>
    <mergeCell ref="EA545:ED545"/>
    <mergeCell ref="DX544:DZ544"/>
    <mergeCell ref="EA544:ED544"/>
    <mergeCell ref="DX543:DZ543"/>
    <mergeCell ref="EA543:ED543"/>
    <mergeCell ref="DX542:DZ542"/>
    <mergeCell ref="EA542:ED542"/>
    <mergeCell ref="DX549:DZ549"/>
    <mergeCell ref="EA549:ED549"/>
    <mergeCell ref="DX548:DZ548"/>
    <mergeCell ref="EA548:ED548"/>
    <mergeCell ref="DX547:DZ547"/>
    <mergeCell ref="EA547:ED547"/>
    <mergeCell ref="DX546:DZ546"/>
    <mergeCell ref="EA546:ED546"/>
    <mergeCell ref="DX553:DZ553"/>
    <mergeCell ref="EA553:ED553"/>
    <mergeCell ref="DX552:DZ552"/>
    <mergeCell ref="EA552:ED552"/>
    <mergeCell ref="DX551:DZ551"/>
    <mergeCell ref="EA551:ED551"/>
    <mergeCell ref="DX550:DZ550"/>
    <mergeCell ref="EA550:ED550"/>
    <mergeCell ref="DX557:DZ557"/>
    <mergeCell ref="EA557:ED557"/>
    <mergeCell ref="DX556:DZ556"/>
    <mergeCell ref="EA556:ED556"/>
    <mergeCell ref="DX555:DZ555"/>
    <mergeCell ref="EA555:ED555"/>
    <mergeCell ref="DX554:DZ554"/>
    <mergeCell ref="EA554:ED554"/>
    <mergeCell ref="DX521:DZ521"/>
    <mergeCell ref="EA521:ED521"/>
    <mergeCell ref="DX520:DZ520"/>
    <mergeCell ref="EA520:ED520"/>
    <mergeCell ref="DX519:DZ519"/>
    <mergeCell ref="EA519:ED519"/>
    <mergeCell ref="DX518:DZ518"/>
    <mergeCell ref="EA518:ED518"/>
    <mergeCell ref="DX525:DZ525"/>
    <mergeCell ref="EA525:ED525"/>
    <mergeCell ref="DX524:DZ524"/>
    <mergeCell ref="EA524:ED524"/>
    <mergeCell ref="DX523:DZ523"/>
    <mergeCell ref="EA523:ED523"/>
    <mergeCell ref="DX522:DZ522"/>
    <mergeCell ref="EA522:ED522"/>
    <mergeCell ref="DX529:DZ529"/>
    <mergeCell ref="EA529:ED529"/>
    <mergeCell ref="DX528:DZ528"/>
    <mergeCell ref="EA528:ED528"/>
    <mergeCell ref="DX527:DZ527"/>
    <mergeCell ref="EA527:ED527"/>
    <mergeCell ref="DX526:DZ526"/>
    <mergeCell ref="EA526:ED526"/>
    <mergeCell ref="DX533:DZ533"/>
    <mergeCell ref="EA533:ED533"/>
    <mergeCell ref="DX532:DZ532"/>
    <mergeCell ref="EA532:ED532"/>
    <mergeCell ref="DX531:DZ531"/>
    <mergeCell ref="EA531:ED531"/>
    <mergeCell ref="DX530:DZ530"/>
    <mergeCell ref="EA530:ED530"/>
    <mergeCell ref="DX537:DZ537"/>
    <mergeCell ref="EA537:ED537"/>
    <mergeCell ref="DX536:DZ536"/>
    <mergeCell ref="EA536:ED536"/>
    <mergeCell ref="DX535:DZ535"/>
    <mergeCell ref="EA535:ED535"/>
    <mergeCell ref="DX534:DZ534"/>
    <mergeCell ref="EA534:ED534"/>
    <mergeCell ref="DX501:DZ501"/>
    <mergeCell ref="EA501:ED501"/>
    <mergeCell ref="DX500:DZ500"/>
    <mergeCell ref="EA500:ED500"/>
    <mergeCell ref="DX499:DZ499"/>
    <mergeCell ref="EA499:ED499"/>
    <mergeCell ref="DX498:DZ498"/>
    <mergeCell ref="EA498:ED498"/>
    <mergeCell ref="DX505:DZ505"/>
    <mergeCell ref="EA505:ED505"/>
    <mergeCell ref="DX504:DZ504"/>
    <mergeCell ref="EA504:ED504"/>
    <mergeCell ref="DX503:DZ503"/>
    <mergeCell ref="EA503:ED503"/>
    <mergeCell ref="DX502:DZ502"/>
    <mergeCell ref="EA502:ED502"/>
    <mergeCell ref="DX509:DZ509"/>
    <mergeCell ref="EA509:ED509"/>
    <mergeCell ref="DX508:DZ508"/>
    <mergeCell ref="EA508:ED508"/>
    <mergeCell ref="DX507:DZ507"/>
    <mergeCell ref="EA507:ED507"/>
    <mergeCell ref="DX506:DZ506"/>
    <mergeCell ref="EA506:ED506"/>
    <mergeCell ref="DX513:DZ513"/>
    <mergeCell ref="EA513:ED513"/>
    <mergeCell ref="DX512:DZ512"/>
    <mergeCell ref="EA512:ED512"/>
    <mergeCell ref="DX511:DZ511"/>
    <mergeCell ref="EA511:ED511"/>
    <mergeCell ref="DX510:DZ510"/>
    <mergeCell ref="EA510:ED510"/>
    <mergeCell ref="DX517:DZ517"/>
    <mergeCell ref="EA517:ED517"/>
    <mergeCell ref="DX516:DZ516"/>
    <mergeCell ref="EA516:ED516"/>
    <mergeCell ref="DX515:DZ515"/>
    <mergeCell ref="EA515:ED515"/>
    <mergeCell ref="DX514:DZ514"/>
    <mergeCell ref="EA514:ED514"/>
    <mergeCell ref="DX481:DZ481"/>
    <mergeCell ref="EA481:ED481"/>
    <mergeCell ref="DX480:DZ480"/>
    <mergeCell ref="EA480:ED480"/>
    <mergeCell ref="DX479:DZ479"/>
    <mergeCell ref="EA479:ED479"/>
    <mergeCell ref="DX478:DZ478"/>
    <mergeCell ref="EA478:ED478"/>
    <mergeCell ref="DX485:DZ485"/>
    <mergeCell ref="EA485:ED485"/>
    <mergeCell ref="DX484:DZ484"/>
    <mergeCell ref="EA484:ED484"/>
    <mergeCell ref="DX483:DZ483"/>
    <mergeCell ref="EA483:ED483"/>
    <mergeCell ref="DX482:DZ482"/>
    <mergeCell ref="EA482:ED482"/>
    <mergeCell ref="DX489:DZ489"/>
    <mergeCell ref="EA489:ED489"/>
    <mergeCell ref="DX488:DZ488"/>
    <mergeCell ref="EA488:ED488"/>
    <mergeCell ref="DX487:DZ487"/>
    <mergeCell ref="EA487:ED487"/>
    <mergeCell ref="DX486:DZ486"/>
    <mergeCell ref="EA486:ED486"/>
    <mergeCell ref="DX493:DZ493"/>
    <mergeCell ref="EA493:ED493"/>
    <mergeCell ref="DX492:DZ492"/>
    <mergeCell ref="EA492:ED492"/>
    <mergeCell ref="DX491:DZ491"/>
    <mergeCell ref="EA491:ED491"/>
    <mergeCell ref="DX490:DZ490"/>
    <mergeCell ref="EA490:ED490"/>
    <mergeCell ref="DX497:DZ497"/>
    <mergeCell ref="EA497:ED497"/>
    <mergeCell ref="DX496:DZ496"/>
    <mergeCell ref="EA496:ED496"/>
    <mergeCell ref="DX495:DZ495"/>
    <mergeCell ref="EA495:ED495"/>
    <mergeCell ref="DX494:DZ494"/>
    <mergeCell ref="EA494:ED494"/>
    <mergeCell ref="DX461:DZ461"/>
    <mergeCell ref="EA461:ED461"/>
    <mergeCell ref="DX460:DZ460"/>
    <mergeCell ref="EA460:ED460"/>
    <mergeCell ref="DX459:DZ459"/>
    <mergeCell ref="EA459:ED459"/>
    <mergeCell ref="DX458:DZ458"/>
    <mergeCell ref="EA458:ED458"/>
    <mergeCell ref="DX465:DZ465"/>
    <mergeCell ref="EA465:ED465"/>
    <mergeCell ref="DX464:DZ464"/>
    <mergeCell ref="EA464:ED464"/>
    <mergeCell ref="DX463:DZ463"/>
    <mergeCell ref="EA463:ED463"/>
    <mergeCell ref="DX462:DZ462"/>
    <mergeCell ref="EA462:ED462"/>
    <mergeCell ref="DX469:DZ469"/>
    <mergeCell ref="EA469:ED469"/>
    <mergeCell ref="DX468:DZ468"/>
    <mergeCell ref="EA468:ED468"/>
    <mergeCell ref="DX467:DZ467"/>
    <mergeCell ref="EA467:ED467"/>
    <mergeCell ref="DX466:DZ466"/>
    <mergeCell ref="EA466:ED466"/>
    <mergeCell ref="DX473:DZ473"/>
    <mergeCell ref="EA473:ED473"/>
    <mergeCell ref="DX472:DZ472"/>
    <mergeCell ref="EA472:ED472"/>
    <mergeCell ref="DX471:DZ471"/>
    <mergeCell ref="EA471:ED471"/>
    <mergeCell ref="DX470:DZ470"/>
    <mergeCell ref="EA470:ED470"/>
    <mergeCell ref="DX477:DZ477"/>
    <mergeCell ref="EA477:ED477"/>
    <mergeCell ref="DX476:DZ476"/>
    <mergeCell ref="EA476:ED476"/>
    <mergeCell ref="DX475:DZ475"/>
    <mergeCell ref="EA475:ED475"/>
    <mergeCell ref="DX474:DZ474"/>
    <mergeCell ref="EA474:ED474"/>
    <mergeCell ref="DX441:DZ441"/>
    <mergeCell ref="EA441:ED441"/>
    <mergeCell ref="DX440:DZ440"/>
    <mergeCell ref="EA440:ED440"/>
    <mergeCell ref="DX439:DZ439"/>
    <mergeCell ref="EA439:ED439"/>
    <mergeCell ref="DX438:DZ438"/>
    <mergeCell ref="EA438:ED438"/>
    <mergeCell ref="DX445:DZ445"/>
    <mergeCell ref="EA445:ED445"/>
    <mergeCell ref="DX444:DZ444"/>
    <mergeCell ref="EA444:ED444"/>
    <mergeCell ref="DX443:DZ443"/>
    <mergeCell ref="EA443:ED443"/>
    <mergeCell ref="DX442:DZ442"/>
    <mergeCell ref="EA442:ED442"/>
    <mergeCell ref="DX449:DZ449"/>
    <mergeCell ref="EA449:ED449"/>
    <mergeCell ref="DX448:DZ448"/>
    <mergeCell ref="EA448:ED448"/>
    <mergeCell ref="DX447:DZ447"/>
    <mergeCell ref="EA447:ED447"/>
    <mergeCell ref="DX446:DZ446"/>
    <mergeCell ref="EA446:ED446"/>
    <mergeCell ref="DX453:DZ453"/>
    <mergeCell ref="EA453:ED453"/>
    <mergeCell ref="DX452:DZ452"/>
    <mergeCell ref="EA452:ED452"/>
    <mergeCell ref="DX451:DZ451"/>
    <mergeCell ref="EA451:ED451"/>
    <mergeCell ref="DX450:DZ450"/>
    <mergeCell ref="EA450:ED450"/>
    <mergeCell ref="DX457:DZ457"/>
    <mergeCell ref="EA457:ED457"/>
    <mergeCell ref="DX456:DZ456"/>
    <mergeCell ref="EA456:ED456"/>
    <mergeCell ref="DX455:DZ455"/>
    <mergeCell ref="EA455:ED455"/>
    <mergeCell ref="DX454:DZ454"/>
    <mergeCell ref="EA454:ED454"/>
    <mergeCell ref="DX421:DZ421"/>
    <mergeCell ref="EA421:ED421"/>
    <mergeCell ref="DX420:DZ420"/>
    <mergeCell ref="EA420:ED420"/>
    <mergeCell ref="DX419:DZ419"/>
    <mergeCell ref="EA419:ED419"/>
    <mergeCell ref="DX418:DZ418"/>
    <mergeCell ref="EA418:ED418"/>
    <mergeCell ref="DX425:DZ425"/>
    <mergeCell ref="EA425:ED425"/>
    <mergeCell ref="DX424:DZ424"/>
    <mergeCell ref="EA424:ED424"/>
    <mergeCell ref="DX423:DZ423"/>
    <mergeCell ref="EA423:ED423"/>
    <mergeCell ref="DX422:DZ422"/>
    <mergeCell ref="EA422:ED422"/>
    <mergeCell ref="DX429:DZ429"/>
    <mergeCell ref="EA429:ED429"/>
    <mergeCell ref="DX428:DZ428"/>
    <mergeCell ref="EA428:ED428"/>
    <mergeCell ref="DX427:DZ427"/>
    <mergeCell ref="EA427:ED427"/>
    <mergeCell ref="DX426:DZ426"/>
    <mergeCell ref="EA426:ED426"/>
    <mergeCell ref="DX433:DZ433"/>
    <mergeCell ref="EA433:ED433"/>
    <mergeCell ref="DX432:DZ432"/>
    <mergeCell ref="EA432:ED432"/>
    <mergeCell ref="DX431:DZ431"/>
    <mergeCell ref="EA431:ED431"/>
    <mergeCell ref="DX430:DZ430"/>
    <mergeCell ref="EA430:ED430"/>
    <mergeCell ref="DX437:DZ437"/>
    <mergeCell ref="EA437:ED437"/>
    <mergeCell ref="DX436:DZ436"/>
    <mergeCell ref="EA436:ED436"/>
    <mergeCell ref="DX435:DZ435"/>
    <mergeCell ref="EA435:ED435"/>
    <mergeCell ref="DX434:DZ434"/>
    <mergeCell ref="EA434:ED434"/>
    <mergeCell ref="DX401:DZ401"/>
    <mergeCell ref="EA401:ED401"/>
    <mergeCell ref="DX400:DZ400"/>
    <mergeCell ref="EA400:ED400"/>
    <mergeCell ref="DX399:DZ399"/>
    <mergeCell ref="EA399:ED399"/>
    <mergeCell ref="DX398:DZ398"/>
    <mergeCell ref="EA398:ED398"/>
    <mergeCell ref="DX405:DZ405"/>
    <mergeCell ref="EA405:ED405"/>
    <mergeCell ref="DX404:DZ404"/>
    <mergeCell ref="EA404:ED404"/>
    <mergeCell ref="DX403:DZ403"/>
    <mergeCell ref="EA403:ED403"/>
    <mergeCell ref="DX402:DZ402"/>
    <mergeCell ref="EA402:ED402"/>
    <mergeCell ref="DX409:DZ409"/>
    <mergeCell ref="EA409:ED409"/>
    <mergeCell ref="DX408:DZ408"/>
    <mergeCell ref="EA408:ED408"/>
    <mergeCell ref="DX407:DZ407"/>
    <mergeCell ref="EA407:ED407"/>
    <mergeCell ref="DX406:DZ406"/>
    <mergeCell ref="EA406:ED406"/>
    <mergeCell ref="DX413:DZ413"/>
    <mergeCell ref="EA413:ED413"/>
    <mergeCell ref="DX412:DZ412"/>
    <mergeCell ref="EA412:ED412"/>
    <mergeCell ref="DX411:DZ411"/>
    <mergeCell ref="EA411:ED411"/>
    <mergeCell ref="DX410:DZ410"/>
    <mergeCell ref="EA410:ED410"/>
    <mergeCell ref="DX417:DZ417"/>
    <mergeCell ref="EA417:ED417"/>
    <mergeCell ref="DX416:DZ416"/>
    <mergeCell ref="EA416:ED416"/>
    <mergeCell ref="DX415:DZ415"/>
    <mergeCell ref="EA415:ED415"/>
    <mergeCell ref="DX414:DZ414"/>
    <mergeCell ref="EA414:ED414"/>
    <mergeCell ref="DX381:DZ381"/>
    <mergeCell ref="EA381:ED381"/>
    <mergeCell ref="DX380:DZ380"/>
    <mergeCell ref="EA380:ED380"/>
    <mergeCell ref="DX379:DZ379"/>
    <mergeCell ref="EA379:ED379"/>
    <mergeCell ref="DX378:DZ378"/>
    <mergeCell ref="EA378:ED378"/>
    <mergeCell ref="DX385:DZ385"/>
    <mergeCell ref="EA385:ED385"/>
    <mergeCell ref="DX384:DZ384"/>
    <mergeCell ref="EA384:ED384"/>
    <mergeCell ref="DX383:DZ383"/>
    <mergeCell ref="EA383:ED383"/>
    <mergeCell ref="DX382:DZ382"/>
    <mergeCell ref="EA382:ED382"/>
    <mergeCell ref="DX389:DZ389"/>
    <mergeCell ref="EA389:ED389"/>
    <mergeCell ref="DX388:DZ388"/>
    <mergeCell ref="EA388:ED388"/>
    <mergeCell ref="DX387:DZ387"/>
    <mergeCell ref="EA387:ED387"/>
    <mergeCell ref="DX386:DZ386"/>
    <mergeCell ref="EA386:ED386"/>
    <mergeCell ref="DX393:DZ393"/>
    <mergeCell ref="EA393:ED393"/>
    <mergeCell ref="DX392:DZ392"/>
    <mergeCell ref="EA392:ED392"/>
    <mergeCell ref="DX391:DZ391"/>
    <mergeCell ref="EA391:ED391"/>
    <mergeCell ref="DX390:DZ390"/>
    <mergeCell ref="EA390:ED390"/>
    <mergeCell ref="DX397:DZ397"/>
    <mergeCell ref="EA397:ED397"/>
    <mergeCell ref="DX396:DZ396"/>
    <mergeCell ref="EA396:ED396"/>
    <mergeCell ref="DX395:DZ395"/>
    <mergeCell ref="EA395:ED395"/>
    <mergeCell ref="DX394:DZ394"/>
    <mergeCell ref="EA394:ED394"/>
    <mergeCell ref="DX361:DZ361"/>
    <mergeCell ref="EA361:ED361"/>
    <mergeCell ref="DX360:DZ360"/>
    <mergeCell ref="EA360:ED360"/>
    <mergeCell ref="DX359:DZ359"/>
    <mergeCell ref="EA359:ED359"/>
    <mergeCell ref="DX358:DZ358"/>
    <mergeCell ref="EA358:ED358"/>
    <mergeCell ref="DX365:DZ365"/>
    <mergeCell ref="EA365:ED365"/>
    <mergeCell ref="DX364:DZ364"/>
    <mergeCell ref="EA364:ED364"/>
    <mergeCell ref="DX363:DZ363"/>
    <mergeCell ref="EA363:ED363"/>
    <mergeCell ref="DX362:DZ362"/>
    <mergeCell ref="EA362:ED362"/>
    <mergeCell ref="DX369:DZ369"/>
    <mergeCell ref="EA369:ED369"/>
    <mergeCell ref="DX368:DZ368"/>
    <mergeCell ref="EA368:ED368"/>
    <mergeCell ref="DX367:DZ367"/>
    <mergeCell ref="EA367:ED367"/>
    <mergeCell ref="DX366:DZ366"/>
    <mergeCell ref="EA366:ED366"/>
    <mergeCell ref="DX373:DZ373"/>
    <mergeCell ref="EA373:ED373"/>
    <mergeCell ref="DX372:DZ372"/>
    <mergeCell ref="EA372:ED372"/>
    <mergeCell ref="DX371:DZ371"/>
    <mergeCell ref="EA371:ED371"/>
    <mergeCell ref="DX370:DZ370"/>
    <mergeCell ref="EA370:ED370"/>
    <mergeCell ref="DX377:DZ377"/>
    <mergeCell ref="EA377:ED377"/>
    <mergeCell ref="DX376:DZ376"/>
    <mergeCell ref="EA376:ED376"/>
    <mergeCell ref="DX375:DZ375"/>
    <mergeCell ref="EA375:ED375"/>
    <mergeCell ref="DX374:DZ374"/>
    <mergeCell ref="EA374:ED374"/>
    <mergeCell ref="DP332:DS332"/>
    <mergeCell ref="EA332:ED332"/>
    <mergeCell ref="DR335:DS335"/>
    <mergeCell ref="DP336:ED336"/>
    <mergeCell ref="EC335:ED335"/>
    <mergeCell ref="DP334:DQ334"/>
    <mergeCell ref="EA334:ED334"/>
    <mergeCell ref="DQ337:DT337"/>
    <mergeCell ref="DU337:DW337"/>
    <mergeCell ref="DX343:DZ343"/>
    <mergeCell ref="EA343:ED343"/>
    <mergeCell ref="DX341:DZ341"/>
    <mergeCell ref="EA341:ED341"/>
    <mergeCell ref="DX340:DZ340"/>
    <mergeCell ref="EA340:ED340"/>
    <mergeCell ref="DX338:DZ338"/>
    <mergeCell ref="DU340:DW340"/>
    <mergeCell ref="EA345:ED345"/>
    <mergeCell ref="DX344:DZ344"/>
    <mergeCell ref="EA344:ED344"/>
    <mergeCell ref="DX349:DZ349"/>
    <mergeCell ref="EA349:ED349"/>
    <mergeCell ref="DX348:DZ348"/>
    <mergeCell ref="EA348:ED348"/>
    <mergeCell ref="DX347:DZ347"/>
    <mergeCell ref="EA347:ED347"/>
    <mergeCell ref="EA352:ED352"/>
    <mergeCell ref="DX351:DZ351"/>
    <mergeCell ref="EA351:ED351"/>
    <mergeCell ref="DX350:DZ350"/>
    <mergeCell ref="EA350:ED350"/>
    <mergeCell ref="DX357:DZ357"/>
    <mergeCell ref="EA357:ED357"/>
    <mergeCell ref="DX356:DZ356"/>
    <mergeCell ref="EA356:ED356"/>
    <mergeCell ref="DX355:DZ355"/>
    <mergeCell ref="EA355:ED355"/>
    <mergeCell ref="DX354:DZ354"/>
    <mergeCell ref="EA354:ED354"/>
    <mergeCell ref="DX353:DZ353"/>
    <mergeCell ref="DK642:DN642"/>
    <mergeCell ref="DD643:DG643"/>
    <mergeCell ref="DU643:DW643"/>
    <mergeCell ref="DH643:DJ643"/>
    <mergeCell ref="DK643:DN643"/>
    <mergeCell ref="DD642:DG642"/>
    <mergeCell ref="DU642:DW642"/>
    <mergeCell ref="DH642:DJ642"/>
    <mergeCell ref="DQ643:DT643"/>
    <mergeCell ref="DQ642:DT642"/>
    <mergeCell ref="DK644:DN644"/>
    <mergeCell ref="DD645:DG645"/>
    <mergeCell ref="DU645:DW645"/>
    <mergeCell ref="DH645:DJ645"/>
    <mergeCell ref="DK645:DN645"/>
    <mergeCell ref="DD644:DG644"/>
    <mergeCell ref="DU644:DW644"/>
    <mergeCell ref="DH644:DJ644"/>
    <mergeCell ref="DQ645:DT645"/>
    <mergeCell ref="DQ644:DT644"/>
    <mergeCell ref="DK646:DN646"/>
    <mergeCell ref="DD647:DG647"/>
    <mergeCell ref="DU647:DW647"/>
    <mergeCell ref="DH647:DJ647"/>
    <mergeCell ref="DK647:DN647"/>
    <mergeCell ref="DD646:DG646"/>
    <mergeCell ref="DU646:DW646"/>
    <mergeCell ref="DH646:DJ646"/>
    <mergeCell ref="DQ647:DT647"/>
    <mergeCell ref="DQ646:DT646"/>
    <mergeCell ref="DK648:DN648"/>
    <mergeCell ref="DD649:DG649"/>
    <mergeCell ref="DU649:DW649"/>
    <mergeCell ref="DH649:DJ649"/>
    <mergeCell ref="DK649:DN649"/>
    <mergeCell ref="DD648:DG648"/>
    <mergeCell ref="DU648:DW648"/>
    <mergeCell ref="DH648:DJ648"/>
    <mergeCell ref="DK634:DN634"/>
    <mergeCell ref="DD635:DG635"/>
    <mergeCell ref="DU635:DW635"/>
    <mergeCell ref="DH635:DJ635"/>
    <mergeCell ref="DK635:DN635"/>
    <mergeCell ref="DD634:DG634"/>
    <mergeCell ref="DU634:DW634"/>
    <mergeCell ref="DH634:DJ634"/>
    <mergeCell ref="DQ635:DT635"/>
    <mergeCell ref="DQ634:DT634"/>
    <mergeCell ref="DK636:DN636"/>
    <mergeCell ref="DD637:DG637"/>
    <mergeCell ref="DU637:DW637"/>
    <mergeCell ref="DH637:DJ637"/>
    <mergeCell ref="DK637:DN637"/>
    <mergeCell ref="DD636:DG636"/>
    <mergeCell ref="DU636:DW636"/>
    <mergeCell ref="DH636:DJ636"/>
    <mergeCell ref="DQ637:DT637"/>
    <mergeCell ref="DQ636:DT636"/>
    <mergeCell ref="DK638:DN638"/>
    <mergeCell ref="DD639:DG639"/>
    <mergeCell ref="DU639:DW639"/>
    <mergeCell ref="DH639:DJ639"/>
    <mergeCell ref="DK639:DN639"/>
    <mergeCell ref="DD638:DG638"/>
    <mergeCell ref="DU638:DW638"/>
    <mergeCell ref="DH638:DJ638"/>
    <mergeCell ref="DQ639:DT639"/>
    <mergeCell ref="DQ638:DT638"/>
    <mergeCell ref="DK640:DN640"/>
    <mergeCell ref="DD641:DG641"/>
    <mergeCell ref="DU641:DW641"/>
    <mergeCell ref="DH641:DJ641"/>
    <mergeCell ref="DK641:DN641"/>
    <mergeCell ref="DD640:DG640"/>
    <mergeCell ref="DU640:DW640"/>
    <mergeCell ref="DH640:DJ640"/>
    <mergeCell ref="DQ641:DT641"/>
    <mergeCell ref="DQ640:DT640"/>
    <mergeCell ref="DK626:DN626"/>
    <mergeCell ref="DD627:DG627"/>
    <mergeCell ref="DU627:DW627"/>
    <mergeCell ref="DH627:DJ627"/>
    <mergeCell ref="DK627:DN627"/>
    <mergeCell ref="DD626:DG626"/>
    <mergeCell ref="DU626:DW626"/>
    <mergeCell ref="DH626:DJ626"/>
    <mergeCell ref="DQ627:DT627"/>
    <mergeCell ref="DQ626:DT626"/>
    <mergeCell ref="DK628:DN628"/>
    <mergeCell ref="DD629:DG629"/>
    <mergeCell ref="DU629:DW629"/>
    <mergeCell ref="DH629:DJ629"/>
    <mergeCell ref="DK629:DN629"/>
    <mergeCell ref="DD628:DG628"/>
    <mergeCell ref="DU628:DW628"/>
    <mergeCell ref="DH628:DJ628"/>
    <mergeCell ref="DQ629:DT629"/>
    <mergeCell ref="DQ628:DT628"/>
    <mergeCell ref="DK630:DN630"/>
    <mergeCell ref="DD631:DG631"/>
    <mergeCell ref="DU631:DW631"/>
    <mergeCell ref="DH631:DJ631"/>
    <mergeCell ref="DK631:DN631"/>
    <mergeCell ref="DD630:DG630"/>
    <mergeCell ref="DU630:DW630"/>
    <mergeCell ref="DH630:DJ630"/>
    <mergeCell ref="DQ631:DT631"/>
    <mergeCell ref="DQ630:DT630"/>
    <mergeCell ref="DK632:DN632"/>
    <mergeCell ref="DD633:DG633"/>
    <mergeCell ref="DU633:DW633"/>
    <mergeCell ref="DH633:DJ633"/>
    <mergeCell ref="DK633:DN633"/>
    <mergeCell ref="DD632:DG632"/>
    <mergeCell ref="DU632:DW632"/>
    <mergeCell ref="DH632:DJ632"/>
    <mergeCell ref="DQ633:DT633"/>
    <mergeCell ref="DQ632:DT632"/>
    <mergeCell ref="DK618:DN618"/>
    <mergeCell ref="DD619:DG619"/>
    <mergeCell ref="DU619:DW619"/>
    <mergeCell ref="DH619:DJ619"/>
    <mergeCell ref="DK619:DN619"/>
    <mergeCell ref="DD618:DG618"/>
    <mergeCell ref="DU618:DW618"/>
    <mergeCell ref="DH618:DJ618"/>
    <mergeCell ref="DQ619:DT619"/>
    <mergeCell ref="DQ618:DT618"/>
    <mergeCell ref="DK620:DN620"/>
    <mergeCell ref="DD621:DG621"/>
    <mergeCell ref="DU621:DW621"/>
    <mergeCell ref="DH621:DJ621"/>
    <mergeCell ref="DK621:DN621"/>
    <mergeCell ref="DD620:DG620"/>
    <mergeCell ref="DU620:DW620"/>
    <mergeCell ref="DH620:DJ620"/>
    <mergeCell ref="DQ621:DT621"/>
    <mergeCell ref="DQ620:DT620"/>
    <mergeCell ref="DK622:DN622"/>
    <mergeCell ref="DD623:DG623"/>
    <mergeCell ref="DU623:DW623"/>
    <mergeCell ref="DH623:DJ623"/>
    <mergeCell ref="DK623:DN623"/>
    <mergeCell ref="DD622:DG622"/>
    <mergeCell ref="DU622:DW622"/>
    <mergeCell ref="DH622:DJ622"/>
    <mergeCell ref="DQ623:DT623"/>
    <mergeCell ref="DQ622:DT622"/>
    <mergeCell ref="DK624:DN624"/>
    <mergeCell ref="DD625:DG625"/>
    <mergeCell ref="DU625:DW625"/>
    <mergeCell ref="DH625:DJ625"/>
    <mergeCell ref="DK625:DN625"/>
    <mergeCell ref="DD624:DG624"/>
    <mergeCell ref="DU624:DW624"/>
    <mergeCell ref="DH624:DJ624"/>
    <mergeCell ref="DQ625:DT625"/>
    <mergeCell ref="DQ624:DT624"/>
    <mergeCell ref="DK610:DN610"/>
    <mergeCell ref="DD611:DG611"/>
    <mergeCell ref="DU611:DW611"/>
    <mergeCell ref="DH611:DJ611"/>
    <mergeCell ref="DK611:DN611"/>
    <mergeCell ref="DD610:DG610"/>
    <mergeCell ref="DU610:DW610"/>
    <mergeCell ref="DH610:DJ610"/>
    <mergeCell ref="DQ611:DT611"/>
    <mergeCell ref="DQ610:DT610"/>
    <mergeCell ref="DK612:DN612"/>
    <mergeCell ref="DD613:DG613"/>
    <mergeCell ref="DU613:DW613"/>
    <mergeCell ref="DH613:DJ613"/>
    <mergeCell ref="DK613:DN613"/>
    <mergeCell ref="DD612:DG612"/>
    <mergeCell ref="DU612:DW612"/>
    <mergeCell ref="DH612:DJ612"/>
    <mergeCell ref="DQ613:DT613"/>
    <mergeCell ref="DQ612:DT612"/>
    <mergeCell ref="DK614:DN614"/>
    <mergeCell ref="DD615:DG615"/>
    <mergeCell ref="DU615:DW615"/>
    <mergeCell ref="DH615:DJ615"/>
    <mergeCell ref="DK615:DN615"/>
    <mergeCell ref="DD614:DG614"/>
    <mergeCell ref="DU614:DW614"/>
    <mergeCell ref="DH614:DJ614"/>
    <mergeCell ref="DQ615:DT615"/>
    <mergeCell ref="DQ614:DT614"/>
    <mergeCell ref="DK616:DN616"/>
    <mergeCell ref="DD617:DG617"/>
    <mergeCell ref="DU617:DW617"/>
    <mergeCell ref="DH617:DJ617"/>
    <mergeCell ref="DK617:DN617"/>
    <mergeCell ref="DD616:DG616"/>
    <mergeCell ref="DU616:DW616"/>
    <mergeCell ref="DH616:DJ616"/>
    <mergeCell ref="DQ617:DT617"/>
    <mergeCell ref="DQ616:DT616"/>
    <mergeCell ref="DK602:DN602"/>
    <mergeCell ref="DD603:DG603"/>
    <mergeCell ref="DU603:DW603"/>
    <mergeCell ref="DH603:DJ603"/>
    <mergeCell ref="DK603:DN603"/>
    <mergeCell ref="DD602:DG602"/>
    <mergeCell ref="DU602:DW602"/>
    <mergeCell ref="DH602:DJ602"/>
    <mergeCell ref="DQ603:DT603"/>
    <mergeCell ref="DQ602:DT602"/>
    <mergeCell ref="DK604:DN604"/>
    <mergeCell ref="DD605:DG605"/>
    <mergeCell ref="DU605:DW605"/>
    <mergeCell ref="DH605:DJ605"/>
    <mergeCell ref="DK605:DN605"/>
    <mergeCell ref="DD604:DG604"/>
    <mergeCell ref="DU604:DW604"/>
    <mergeCell ref="DH604:DJ604"/>
    <mergeCell ref="DQ605:DT605"/>
    <mergeCell ref="DQ604:DT604"/>
    <mergeCell ref="DK606:DN606"/>
    <mergeCell ref="DD607:DG607"/>
    <mergeCell ref="DU607:DW607"/>
    <mergeCell ref="DH607:DJ607"/>
    <mergeCell ref="DK607:DN607"/>
    <mergeCell ref="DD606:DG606"/>
    <mergeCell ref="DU606:DW606"/>
    <mergeCell ref="DH606:DJ606"/>
    <mergeCell ref="DQ607:DT607"/>
    <mergeCell ref="DQ606:DT606"/>
    <mergeCell ref="DK608:DN608"/>
    <mergeCell ref="DD609:DG609"/>
    <mergeCell ref="DU609:DW609"/>
    <mergeCell ref="DH609:DJ609"/>
    <mergeCell ref="DK609:DN609"/>
    <mergeCell ref="DD608:DG608"/>
    <mergeCell ref="DU608:DW608"/>
    <mergeCell ref="DH608:DJ608"/>
    <mergeCell ref="DQ609:DT609"/>
    <mergeCell ref="DQ608:DT608"/>
    <mergeCell ref="DK594:DN594"/>
    <mergeCell ref="DD595:DG595"/>
    <mergeCell ref="DU595:DW595"/>
    <mergeCell ref="DH595:DJ595"/>
    <mergeCell ref="DK595:DN595"/>
    <mergeCell ref="DD594:DG594"/>
    <mergeCell ref="DU594:DW594"/>
    <mergeCell ref="DH594:DJ594"/>
    <mergeCell ref="DQ595:DT595"/>
    <mergeCell ref="DQ594:DT594"/>
    <mergeCell ref="DK596:DN596"/>
    <mergeCell ref="DD597:DG597"/>
    <mergeCell ref="DU597:DW597"/>
    <mergeCell ref="DH597:DJ597"/>
    <mergeCell ref="DK597:DN597"/>
    <mergeCell ref="DD596:DG596"/>
    <mergeCell ref="DU596:DW596"/>
    <mergeCell ref="DH596:DJ596"/>
    <mergeCell ref="DQ597:DT597"/>
    <mergeCell ref="DQ596:DT596"/>
    <mergeCell ref="DK598:DN598"/>
    <mergeCell ref="DD599:DG599"/>
    <mergeCell ref="DU599:DW599"/>
    <mergeCell ref="DH599:DJ599"/>
    <mergeCell ref="DK599:DN599"/>
    <mergeCell ref="DD598:DG598"/>
    <mergeCell ref="DU598:DW598"/>
    <mergeCell ref="DH598:DJ598"/>
    <mergeCell ref="DQ599:DT599"/>
    <mergeCell ref="DQ598:DT598"/>
    <mergeCell ref="DK600:DN600"/>
    <mergeCell ref="DD601:DG601"/>
    <mergeCell ref="DU601:DW601"/>
    <mergeCell ref="DH601:DJ601"/>
    <mergeCell ref="DK601:DN601"/>
    <mergeCell ref="DD600:DG600"/>
    <mergeCell ref="DU600:DW600"/>
    <mergeCell ref="DH600:DJ600"/>
    <mergeCell ref="DQ601:DT601"/>
    <mergeCell ref="DQ600:DT600"/>
    <mergeCell ref="DK586:DN586"/>
    <mergeCell ref="DD587:DG587"/>
    <mergeCell ref="DU587:DW587"/>
    <mergeCell ref="DH587:DJ587"/>
    <mergeCell ref="DK587:DN587"/>
    <mergeCell ref="DD586:DG586"/>
    <mergeCell ref="DU586:DW586"/>
    <mergeCell ref="DH586:DJ586"/>
    <mergeCell ref="DQ587:DT587"/>
    <mergeCell ref="DQ586:DT586"/>
    <mergeCell ref="DK588:DN588"/>
    <mergeCell ref="DD589:DG589"/>
    <mergeCell ref="DU589:DW589"/>
    <mergeCell ref="DH589:DJ589"/>
    <mergeCell ref="DK589:DN589"/>
    <mergeCell ref="DD588:DG588"/>
    <mergeCell ref="DU588:DW588"/>
    <mergeCell ref="DH588:DJ588"/>
    <mergeCell ref="DQ589:DT589"/>
    <mergeCell ref="DQ588:DT588"/>
    <mergeCell ref="DK590:DN590"/>
    <mergeCell ref="DD591:DG591"/>
    <mergeCell ref="DU591:DW591"/>
    <mergeCell ref="DH591:DJ591"/>
    <mergeCell ref="DK591:DN591"/>
    <mergeCell ref="DD590:DG590"/>
    <mergeCell ref="DU590:DW590"/>
    <mergeCell ref="DH590:DJ590"/>
    <mergeCell ref="DQ591:DT591"/>
    <mergeCell ref="DQ590:DT590"/>
    <mergeCell ref="DK592:DN592"/>
    <mergeCell ref="DD593:DG593"/>
    <mergeCell ref="DU593:DW593"/>
    <mergeCell ref="DH593:DJ593"/>
    <mergeCell ref="DK593:DN593"/>
    <mergeCell ref="DD592:DG592"/>
    <mergeCell ref="DU592:DW592"/>
    <mergeCell ref="DH592:DJ592"/>
    <mergeCell ref="DQ593:DT593"/>
    <mergeCell ref="DQ592:DT592"/>
    <mergeCell ref="DK578:DN578"/>
    <mergeCell ref="DD579:DG579"/>
    <mergeCell ref="DU579:DW579"/>
    <mergeCell ref="DH579:DJ579"/>
    <mergeCell ref="DK579:DN579"/>
    <mergeCell ref="DD578:DG578"/>
    <mergeCell ref="DU578:DW578"/>
    <mergeCell ref="DH578:DJ578"/>
    <mergeCell ref="DQ579:DT579"/>
    <mergeCell ref="DQ578:DT578"/>
    <mergeCell ref="DK580:DN580"/>
    <mergeCell ref="DD581:DG581"/>
    <mergeCell ref="DU581:DW581"/>
    <mergeCell ref="DH581:DJ581"/>
    <mergeCell ref="DK581:DN581"/>
    <mergeCell ref="DD580:DG580"/>
    <mergeCell ref="DU580:DW580"/>
    <mergeCell ref="DH580:DJ580"/>
    <mergeCell ref="DQ581:DT581"/>
    <mergeCell ref="DQ580:DT580"/>
    <mergeCell ref="DK582:DN582"/>
    <mergeCell ref="DD583:DG583"/>
    <mergeCell ref="DU583:DW583"/>
    <mergeCell ref="DH583:DJ583"/>
    <mergeCell ref="DK583:DN583"/>
    <mergeCell ref="DD582:DG582"/>
    <mergeCell ref="DU582:DW582"/>
    <mergeCell ref="DH582:DJ582"/>
    <mergeCell ref="DQ583:DT583"/>
    <mergeCell ref="DQ582:DT582"/>
    <mergeCell ref="DK584:DN584"/>
    <mergeCell ref="DD585:DG585"/>
    <mergeCell ref="DU585:DW585"/>
    <mergeCell ref="DH585:DJ585"/>
    <mergeCell ref="DK585:DN585"/>
    <mergeCell ref="DD584:DG584"/>
    <mergeCell ref="DU584:DW584"/>
    <mergeCell ref="DH584:DJ584"/>
    <mergeCell ref="DQ585:DT585"/>
    <mergeCell ref="DQ584:DT584"/>
    <mergeCell ref="DK570:DN570"/>
    <mergeCell ref="DD571:DG571"/>
    <mergeCell ref="DU571:DW571"/>
    <mergeCell ref="DH571:DJ571"/>
    <mergeCell ref="DK571:DN571"/>
    <mergeCell ref="DD570:DG570"/>
    <mergeCell ref="DU570:DW570"/>
    <mergeCell ref="DH570:DJ570"/>
    <mergeCell ref="DQ571:DT571"/>
    <mergeCell ref="DQ570:DT570"/>
    <mergeCell ref="DK572:DN572"/>
    <mergeCell ref="DD573:DG573"/>
    <mergeCell ref="DU573:DW573"/>
    <mergeCell ref="DH573:DJ573"/>
    <mergeCell ref="DK573:DN573"/>
    <mergeCell ref="DD572:DG572"/>
    <mergeCell ref="DU572:DW572"/>
    <mergeCell ref="DH572:DJ572"/>
    <mergeCell ref="DQ573:DT573"/>
    <mergeCell ref="DQ572:DT572"/>
    <mergeCell ref="DK574:DN574"/>
    <mergeCell ref="DD575:DG575"/>
    <mergeCell ref="DU575:DW575"/>
    <mergeCell ref="DH575:DJ575"/>
    <mergeCell ref="DK575:DN575"/>
    <mergeCell ref="DD574:DG574"/>
    <mergeCell ref="DU574:DW574"/>
    <mergeCell ref="DH574:DJ574"/>
    <mergeCell ref="DQ575:DT575"/>
    <mergeCell ref="DQ574:DT574"/>
    <mergeCell ref="DK576:DN576"/>
    <mergeCell ref="DD577:DG577"/>
    <mergeCell ref="DU577:DW577"/>
    <mergeCell ref="DH577:DJ577"/>
    <mergeCell ref="DK577:DN577"/>
    <mergeCell ref="DD576:DG576"/>
    <mergeCell ref="DU576:DW576"/>
    <mergeCell ref="DH576:DJ576"/>
    <mergeCell ref="DQ577:DT577"/>
    <mergeCell ref="DQ576:DT576"/>
    <mergeCell ref="DK562:DN562"/>
    <mergeCell ref="DD563:DG563"/>
    <mergeCell ref="DU563:DW563"/>
    <mergeCell ref="DH563:DJ563"/>
    <mergeCell ref="DK563:DN563"/>
    <mergeCell ref="DD562:DG562"/>
    <mergeCell ref="DU562:DW562"/>
    <mergeCell ref="DH562:DJ562"/>
    <mergeCell ref="DQ563:DT563"/>
    <mergeCell ref="DQ562:DT562"/>
    <mergeCell ref="DK564:DN564"/>
    <mergeCell ref="DD565:DG565"/>
    <mergeCell ref="DU565:DW565"/>
    <mergeCell ref="DH565:DJ565"/>
    <mergeCell ref="DK565:DN565"/>
    <mergeCell ref="DD564:DG564"/>
    <mergeCell ref="DU564:DW564"/>
    <mergeCell ref="DH564:DJ564"/>
    <mergeCell ref="DQ565:DT565"/>
    <mergeCell ref="DQ564:DT564"/>
    <mergeCell ref="DK566:DN566"/>
    <mergeCell ref="DD567:DG567"/>
    <mergeCell ref="DU567:DW567"/>
    <mergeCell ref="DH567:DJ567"/>
    <mergeCell ref="DK567:DN567"/>
    <mergeCell ref="DD566:DG566"/>
    <mergeCell ref="DU566:DW566"/>
    <mergeCell ref="DH566:DJ566"/>
    <mergeCell ref="DQ567:DT567"/>
    <mergeCell ref="DQ566:DT566"/>
    <mergeCell ref="DK568:DN568"/>
    <mergeCell ref="DD569:DG569"/>
    <mergeCell ref="DU569:DW569"/>
    <mergeCell ref="DH569:DJ569"/>
    <mergeCell ref="DK569:DN569"/>
    <mergeCell ref="DD568:DG568"/>
    <mergeCell ref="DU568:DW568"/>
    <mergeCell ref="DH568:DJ568"/>
    <mergeCell ref="DQ569:DT569"/>
    <mergeCell ref="DQ568:DT568"/>
    <mergeCell ref="DK554:DN554"/>
    <mergeCell ref="DD555:DG555"/>
    <mergeCell ref="DU555:DW555"/>
    <mergeCell ref="DH555:DJ555"/>
    <mergeCell ref="DK555:DN555"/>
    <mergeCell ref="DD554:DG554"/>
    <mergeCell ref="DU554:DW554"/>
    <mergeCell ref="DH554:DJ554"/>
    <mergeCell ref="DQ555:DT555"/>
    <mergeCell ref="DQ554:DT554"/>
    <mergeCell ref="DK556:DN556"/>
    <mergeCell ref="DD557:DG557"/>
    <mergeCell ref="DU557:DW557"/>
    <mergeCell ref="DH557:DJ557"/>
    <mergeCell ref="DK557:DN557"/>
    <mergeCell ref="DD556:DG556"/>
    <mergeCell ref="DU556:DW556"/>
    <mergeCell ref="DH556:DJ556"/>
    <mergeCell ref="DQ557:DT557"/>
    <mergeCell ref="DQ556:DT556"/>
    <mergeCell ref="DK558:DN558"/>
    <mergeCell ref="DD559:DG559"/>
    <mergeCell ref="DU559:DW559"/>
    <mergeCell ref="DH559:DJ559"/>
    <mergeCell ref="DK559:DN559"/>
    <mergeCell ref="DD558:DG558"/>
    <mergeCell ref="DU558:DW558"/>
    <mergeCell ref="DH558:DJ558"/>
    <mergeCell ref="DQ559:DT559"/>
    <mergeCell ref="DQ558:DT558"/>
    <mergeCell ref="DK560:DN560"/>
    <mergeCell ref="DD561:DG561"/>
    <mergeCell ref="DU561:DW561"/>
    <mergeCell ref="DH561:DJ561"/>
    <mergeCell ref="DK561:DN561"/>
    <mergeCell ref="DD560:DG560"/>
    <mergeCell ref="DU560:DW560"/>
    <mergeCell ref="DH560:DJ560"/>
    <mergeCell ref="DQ561:DT561"/>
    <mergeCell ref="DQ560:DT560"/>
    <mergeCell ref="DK546:DN546"/>
    <mergeCell ref="DD547:DG547"/>
    <mergeCell ref="DU547:DW547"/>
    <mergeCell ref="DH547:DJ547"/>
    <mergeCell ref="DK547:DN547"/>
    <mergeCell ref="DD546:DG546"/>
    <mergeCell ref="DU546:DW546"/>
    <mergeCell ref="DH546:DJ546"/>
    <mergeCell ref="DQ547:DT547"/>
    <mergeCell ref="DQ546:DT546"/>
    <mergeCell ref="DK548:DN548"/>
    <mergeCell ref="DD549:DG549"/>
    <mergeCell ref="DU549:DW549"/>
    <mergeCell ref="DH549:DJ549"/>
    <mergeCell ref="DK549:DN549"/>
    <mergeCell ref="DD548:DG548"/>
    <mergeCell ref="DU548:DW548"/>
    <mergeCell ref="DH548:DJ548"/>
    <mergeCell ref="DQ549:DT549"/>
    <mergeCell ref="DQ548:DT548"/>
    <mergeCell ref="DK550:DN550"/>
    <mergeCell ref="DD551:DG551"/>
    <mergeCell ref="DU551:DW551"/>
    <mergeCell ref="DH551:DJ551"/>
    <mergeCell ref="DK551:DN551"/>
    <mergeCell ref="DD550:DG550"/>
    <mergeCell ref="DU550:DW550"/>
    <mergeCell ref="DH550:DJ550"/>
    <mergeCell ref="DQ551:DT551"/>
    <mergeCell ref="DQ550:DT550"/>
    <mergeCell ref="DK552:DN552"/>
    <mergeCell ref="DD553:DG553"/>
    <mergeCell ref="DU553:DW553"/>
    <mergeCell ref="DH553:DJ553"/>
    <mergeCell ref="DK553:DN553"/>
    <mergeCell ref="DD552:DG552"/>
    <mergeCell ref="DU552:DW552"/>
    <mergeCell ref="DH552:DJ552"/>
    <mergeCell ref="DQ553:DT553"/>
    <mergeCell ref="DQ552:DT552"/>
    <mergeCell ref="DK538:DN538"/>
    <mergeCell ref="DD539:DG539"/>
    <mergeCell ref="DU539:DW539"/>
    <mergeCell ref="DH539:DJ539"/>
    <mergeCell ref="DK539:DN539"/>
    <mergeCell ref="DD538:DG538"/>
    <mergeCell ref="DU538:DW538"/>
    <mergeCell ref="DH538:DJ538"/>
    <mergeCell ref="DQ539:DT539"/>
    <mergeCell ref="DQ538:DT538"/>
    <mergeCell ref="DK540:DN540"/>
    <mergeCell ref="DD541:DG541"/>
    <mergeCell ref="DU541:DW541"/>
    <mergeCell ref="DH541:DJ541"/>
    <mergeCell ref="DK541:DN541"/>
    <mergeCell ref="DD540:DG540"/>
    <mergeCell ref="DU540:DW540"/>
    <mergeCell ref="DH540:DJ540"/>
    <mergeCell ref="DQ541:DT541"/>
    <mergeCell ref="DQ540:DT540"/>
    <mergeCell ref="DK542:DN542"/>
    <mergeCell ref="DD543:DG543"/>
    <mergeCell ref="DU543:DW543"/>
    <mergeCell ref="DH543:DJ543"/>
    <mergeCell ref="DK543:DN543"/>
    <mergeCell ref="DD542:DG542"/>
    <mergeCell ref="DU542:DW542"/>
    <mergeCell ref="DH542:DJ542"/>
    <mergeCell ref="DQ543:DT543"/>
    <mergeCell ref="DQ542:DT542"/>
    <mergeCell ref="DK544:DN544"/>
    <mergeCell ref="DD545:DG545"/>
    <mergeCell ref="DU545:DW545"/>
    <mergeCell ref="DH545:DJ545"/>
    <mergeCell ref="DK545:DN545"/>
    <mergeCell ref="DD544:DG544"/>
    <mergeCell ref="DU544:DW544"/>
    <mergeCell ref="DH544:DJ544"/>
    <mergeCell ref="DQ545:DT545"/>
    <mergeCell ref="DQ544:DT544"/>
    <mergeCell ref="DK530:DN530"/>
    <mergeCell ref="DD531:DG531"/>
    <mergeCell ref="DU531:DW531"/>
    <mergeCell ref="DH531:DJ531"/>
    <mergeCell ref="DK531:DN531"/>
    <mergeCell ref="DD530:DG530"/>
    <mergeCell ref="DU530:DW530"/>
    <mergeCell ref="DH530:DJ530"/>
    <mergeCell ref="DQ531:DT531"/>
    <mergeCell ref="DQ530:DT530"/>
    <mergeCell ref="DK532:DN532"/>
    <mergeCell ref="DD533:DG533"/>
    <mergeCell ref="DU533:DW533"/>
    <mergeCell ref="DH533:DJ533"/>
    <mergeCell ref="DK533:DN533"/>
    <mergeCell ref="DD532:DG532"/>
    <mergeCell ref="DU532:DW532"/>
    <mergeCell ref="DH532:DJ532"/>
    <mergeCell ref="DQ533:DT533"/>
    <mergeCell ref="DQ532:DT532"/>
    <mergeCell ref="DK534:DN534"/>
    <mergeCell ref="DD535:DG535"/>
    <mergeCell ref="DU535:DW535"/>
    <mergeCell ref="DH535:DJ535"/>
    <mergeCell ref="DK535:DN535"/>
    <mergeCell ref="DD534:DG534"/>
    <mergeCell ref="DU534:DW534"/>
    <mergeCell ref="DH534:DJ534"/>
    <mergeCell ref="DQ535:DT535"/>
    <mergeCell ref="DQ534:DT534"/>
    <mergeCell ref="DK536:DN536"/>
    <mergeCell ref="DD537:DG537"/>
    <mergeCell ref="DU537:DW537"/>
    <mergeCell ref="DH537:DJ537"/>
    <mergeCell ref="DK537:DN537"/>
    <mergeCell ref="DD536:DG536"/>
    <mergeCell ref="DU536:DW536"/>
    <mergeCell ref="DH536:DJ536"/>
    <mergeCell ref="DQ537:DT537"/>
    <mergeCell ref="DQ536:DT536"/>
    <mergeCell ref="DK522:DN522"/>
    <mergeCell ref="DD523:DG523"/>
    <mergeCell ref="DU523:DW523"/>
    <mergeCell ref="DH523:DJ523"/>
    <mergeCell ref="DK523:DN523"/>
    <mergeCell ref="DD522:DG522"/>
    <mergeCell ref="DU522:DW522"/>
    <mergeCell ref="DH522:DJ522"/>
    <mergeCell ref="DQ523:DT523"/>
    <mergeCell ref="DQ522:DT522"/>
    <mergeCell ref="DK524:DN524"/>
    <mergeCell ref="DD525:DG525"/>
    <mergeCell ref="DU525:DW525"/>
    <mergeCell ref="DH525:DJ525"/>
    <mergeCell ref="DK525:DN525"/>
    <mergeCell ref="DD524:DG524"/>
    <mergeCell ref="DU524:DW524"/>
    <mergeCell ref="DH524:DJ524"/>
    <mergeCell ref="DQ525:DT525"/>
    <mergeCell ref="DQ524:DT524"/>
    <mergeCell ref="DK526:DN526"/>
    <mergeCell ref="DD527:DG527"/>
    <mergeCell ref="DU527:DW527"/>
    <mergeCell ref="DH527:DJ527"/>
    <mergeCell ref="DK527:DN527"/>
    <mergeCell ref="DD526:DG526"/>
    <mergeCell ref="DU526:DW526"/>
    <mergeCell ref="DH526:DJ526"/>
    <mergeCell ref="DQ527:DT527"/>
    <mergeCell ref="DQ526:DT526"/>
    <mergeCell ref="DK528:DN528"/>
    <mergeCell ref="DD529:DG529"/>
    <mergeCell ref="DU529:DW529"/>
    <mergeCell ref="DH529:DJ529"/>
    <mergeCell ref="DK529:DN529"/>
    <mergeCell ref="DD528:DG528"/>
    <mergeCell ref="DU528:DW528"/>
    <mergeCell ref="DH528:DJ528"/>
    <mergeCell ref="DQ529:DT529"/>
    <mergeCell ref="DQ528:DT528"/>
    <mergeCell ref="DK514:DN514"/>
    <mergeCell ref="DD515:DG515"/>
    <mergeCell ref="DU515:DW515"/>
    <mergeCell ref="DH515:DJ515"/>
    <mergeCell ref="DK515:DN515"/>
    <mergeCell ref="DD514:DG514"/>
    <mergeCell ref="DU514:DW514"/>
    <mergeCell ref="DH514:DJ514"/>
    <mergeCell ref="DQ515:DT515"/>
    <mergeCell ref="DQ514:DT514"/>
    <mergeCell ref="DK516:DN516"/>
    <mergeCell ref="DD517:DG517"/>
    <mergeCell ref="DU517:DW517"/>
    <mergeCell ref="DH517:DJ517"/>
    <mergeCell ref="DK517:DN517"/>
    <mergeCell ref="DD516:DG516"/>
    <mergeCell ref="DU516:DW516"/>
    <mergeCell ref="DH516:DJ516"/>
    <mergeCell ref="DQ517:DT517"/>
    <mergeCell ref="DQ516:DT516"/>
    <mergeCell ref="DK518:DN518"/>
    <mergeCell ref="DD519:DG519"/>
    <mergeCell ref="DU519:DW519"/>
    <mergeCell ref="DH519:DJ519"/>
    <mergeCell ref="DK519:DN519"/>
    <mergeCell ref="DD518:DG518"/>
    <mergeCell ref="DU518:DW518"/>
    <mergeCell ref="DH518:DJ518"/>
    <mergeCell ref="DQ519:DT519"/>
    <mergeCell ref="DQ518:DT518"/>
    <mergeCell ref="DK520:DN520"/>
    <mergeCell ref="DD521:DG521"/>
    <mergeCell ref="DU521:DW521"/>
    <mergeCell ref="DH521:DJ521"/>
    <mergeCell ref="DK521:DN521"/>
    <mergeCell ref="DD520:DG520"/>
    <mergeCell ref="DU520:DW520"/>
    <mergeCell ref="DH520:DJ520"/>
    <mergeCell ref="DQ521:DT521"/>
    <mergeCell ref="DQ520:DT520"/>
    <mergeCell ref="DK506:DN506"/>
    <mergeCell ref="DD507:DG507"/>
    <mergeCell ref="DU507:DW507"/>
    <mergeCell ref="DH507:DJ507"/>
    <mergeCell ref="DK507:DN507"/>
    <mergeCell ref="DD506:DG506"/>
    <mergeCell ref="DU506:DW506"/>
    <mergeCell ref="DH506:DJ506"/>
    <mergeCell ref="DQ507:DT507"/>
    <mergeCell ref="DQ506:DT506"/>
    <mergeCell ref="DK508:DN508"/>
    <mergeCell ref="DD509:DG509"/>
    <mergeCell ref="DU509:DW509"/>
    <mergeCell ref="DH509:DJ509"/>
    <mergeCell ref="DK509:DN509"/>
    <mergeCell ref="DD508:DG508"/>
    <mergeCell ref="DU508:DW508"/>
    <mergeCell ref="DH508:DJ508"/>
    <mergeCell ref="DQ509:DT509"/>
    <mergeCell ref="DQ508:DT508"/>
    <mergeCell ref="DK510:DN510"/>
    <mergeCell ref="DD511:DG511"/>
    <mergeCell ref="DU511:DW511"/>
    <mergeCell ref="DH511:DJ511"/>
    <mergeCell ref="DK511:DN511"/>
    <mergeCell ref="DD510:DG510"/>
    <mergeCell ref="DU510:DW510"/>
    <mergeCell ref="DH510:DJ510"/>
    <mergeCell ref="DQ511:DT511"/>
    <mergeCell ref="DQ510:DT510"/>
    <mergeCell ref="DK512:DN512"/>
    <mergeCell ref="DD513:DG513"/>
    <mergeCell ref="DU513:DW513"/>
    <mergeCell ref="DH513:DJ513"/>
    <mergeCell ref="DK513:DN513"/>
    <mergeCell ref="DD512:DG512"/>
    <mergeCell ref="DU512:DW512"/>
    <mergeCell ref="DH512:DJ512"/>
    <mergeCell ref="DQ513:DT513"/>
    <mergeCell ref="DQ512:DT512"/>
    <mergeCell ref="DK498:DN498"/>
    <mergeCell ref="DD499:DG499"/>
    <mergeCell ref="DU499:DW499"/>
    <mergeCell ref="DH499:DJ499"/>
    <mergeCell ref="DK499:DN499"/>
    <mergeCell ref="DD498:DG498"/>
    <mergeCell ref="DU498:DW498"/>
    <mergeCell ref="DH498:DJ498"/>
    <mergeCell ref="DQ499:DT499"/>
    <mergeCell ref="DQ498:DT498"/>
    <mergeCell ref="DK500:DN500"/>
    <mergeCell ref="DD501:DG501"/>
    <mergeCell ref="DU501:DW501"/>
    <mergeCell ref="DH501:DJ501"/>
    <mergeCell ref="DK501:DN501"/>
    <mergeCell ref="DD500:DG500"/>
    <mergeCell ref="DU500:DW500"/>
    <mergeCell ref="DH500:DJ500"/>
    <mergeCell ref="DQ501:DT501"/>
    <mergeCell ref="DQ500:DT500"/>
    <mergeCell ref="DK502:DN502"/>
    <mergeCell ref="DD503:DG503"/>
    <mergeCell ref="DU503:DW503"/>
    <mergeCell ref="DH503:DJ503"/>
    <mergeCell ref="DK503:DN503"/>
    <mergeCell ref="DD502:DG502"/>
    <mergeCell ref="DU502:DW502"/>
    <mergeCell ref="DH502:DJ502"/>
    <mergeCell ref="DQ503:DT503"/>
    <mergeCell ref="DQ502:DT502"/>
    <mergeCell ref="DK504:DN504"/>
    <mergeCell ref="DD505:DG505"/>
    <mergeCell ref="DU505:DW505"/>
    <mergeCell ref="DH505:DJ505"/>
    <mergeCell ref="DK505:DN505"/>
    <mergeCell ref="DD504:DG504"/>
    <mergeCell ref="DU504:DW504"/>
    <mergeCell ref="DH504:DJ504"/>
    <mergeCell ref="DQ505:DT505"/>
    <mergeCell ref="DQ504:DT504"/>
    <mergeCell ref="DK490:DN490"/>
    <mergeCell ref="DD491:DG491"/>
    <mergeCell ref="DU491:DW491"/>
    <mergeCell ref="DH491:DJ491"/>
    <mergeCell ref="DK491:DN491"/>
    <mergeCell ref="DD490:DG490"/>
    <mergeCell ref="DU490:DW490"/>
    <mergeCell ref="DH490:DJ490"/>
    <mergeCell ref="DQ491:DT491"/>
    <mergeCell ref="DQ490:DT490"/>
    <mergeCell ref="DK492:DN492"/>
    <mergeCell ref="DD493:DG493"/>
    <mergeCell ref="DU493:DW493"/>
    <mergeCell ref="DH493:DJ493"/>
    <mergeCell ref="DK493:DN493"/>
    <mergeCell ref="DD492:DG492"/>
    <mergeCell ref="DU492:DW492"/>
    <mergeCell ref="DH492:DJ492"/>
    <mergeCell ref="DQ493:DT493"/>
    <mergeCell ref="DQ492:DT492"/>
    <mergeCell ref="DK494:DN494"/>
    <mergeCell ref="DD495:DG495"/>
    <mergeCell ref="DU495:DW495"/>
    <mergeCell ref="DH495:DJ495"/>
    <mergeCell ref="DK495:DN495"/>
    <mergeCell ref="DD494:DG494"/>
    <mergeCell ref="DU494:DW494"/>
    <mergeCell ref="DH494:DJ494"/>
    <mergeCell ref="DQ495:DT495"/>
    <mergeCell ref="DQ494:DT494"/>
    <mergeCell ref="DK496:DN496"/>
    <mergeCell ref="DD497:DG497"/>
    <mergeCell ref="DU497:DW497"/>
    <mergeCell ref="DH497:DJ497"/>
    <mergeCell ref="DK497:DN497"/>
    <mergeCell ref="DD496:DG496"/>
    <mergeCell ref="DU496:DW496"/>
    <mergeCell ref="DH496:DJ496"/>
    <mergeCell ref="DQ497:DT497"/>
    <mergeCell ref="DQ496:DT496"/>
    <mergeCell ref="DK482:DN482"/>
    <mergeCell ref="DD483:DG483"/>
    <mergeCell ref="DU483:DW483"/>
    <mergeCell ref="DH483:DJ483"/>
    <mergeCell ref="DK483:DN483"/>
    <mergeCell ref="DD482:DG482"/>
    <mergeCell ref="DU482:DW482"/>
    <mergeCell ref="DH482:DJ482"/>
    <mergeCell ref="DQ483:DT483"/>
    <mergeCell ref="DQ482:DT482"/>
    <mergeCell ref="DK484:DN484"/>
    <mergeCell ref="DD485:DG485"/>
    <mergeCell ref="DU485:DW485"/>
    <mergeCell ref="DH485:DJ485"/>
    <mergeCell ref="DK485:DN485"/>
    <mergeCell ref="DD484:DG484"/>
    <mergeCell ref="DU484:DW484"/>
    <mergeCell ref="DH484:DJ484"/>
    <mergeCell ref="DQ485:DT485"/>
    <mergeCell ref="DQ484:DT484"/>
    <mergeCell ref="DK486:DN486"/>
    <mergeCell ref="DD487:DG487"/>
    <mergeCell ref="DU487:DW487"/>
    <mergeCell ref="DH487:DJ487"/>
    <mergeCell ref="DK487:DN487"/>
    <mergeCell ref="DD486:DG486"/>
    <mergeCell ref="DU486:DW486"/>
    <mergeCell ref="DH486:DJ486"/>
    <mergeCell ref="DQ487:DT487"/>
    <mergeCell ref="DQ486:DT486"/>
    <mergeCell ref="DK488:DN488"/>
    <mergeCell ref="DD489:DG489"/>
    <mergeCell ref="DU489:DW489"/>
    <mergeCell ref="DH489:DJ489"/>
    <mergeCell ref="DK489:DN489"/>
    <mergeCell ref="DD488:DG488"/>
    <mergeCell ref="DU488:DW488"/>
    <mergeCell ref="DH488:DJ488"/>
    <mergeCell ref="DQ489:DT489"/>
    <mergeCell ref="DQ488:DT488"/>
    <mergeCell ref="DK474:DN474"/>
    <mergeCell ref="DD475:DG475"/>
    <mergeCell ref="DU475:DW475"/>
    <mergeCell ref="DH475:DJ475"/>
    <mergeCell ref="DK475:DN475"/>
    <mergeCell ref="DD474:DG474"/>
    <mergeCell ref="DU474:DW474"/>
    <mergeCell ref="DH474:DJ474"/>
    <mergeCell ref="DQ475:DT475"/>
    <mergeCell ref="DQ474:DT474"/>
    <mergeCell ref="DK476:DN476"/>
    <mergeCell ref="DD477:DG477"/>
    <mergeCell ref="DU477:DW477"/>
    <mergeCell ref="DH477:DJ477"/>
    <mergeCell ref="DK477:DN477"/>
    <mergeCell ref="DD476:DG476"/>
    <mergeCell ref="DU476:DW476"/>
    <mergeCell ref="DH476:DJ476"/>
    <mergeCell ref="DQ477:DT477"/>
    <mergeCell ref="DQ476:DT476"/>
    <mergeCell ref="DK478:DN478"/>
    <mergeCell ref="DD479:DG479"/>
    <mergeCell ref="DU479:DW479"/>
    <mergeCell ref="DH479:DJ479"/>
    <mergeCell ref="DK479:DN479"/>
    <mergeCell ref="DD478:DG478"/>
    <mergeCell ref="DU478:DW478"/>
    <mergeCell ref="DH478:DJ478"/>
    <mergeCell ref="DQ479:DT479"/>
    <mergeCell ref="DQ478:DT478"/>
    <mergeCell ref="DK480:DN480"/>
    <mergeCell ref="DD481:DG481"/>
    <mergeCell ref="DU481:DW481"/>
    <mergeCell ref="DH481:DJ481"/>
    <mergeCell ref="DK481:DN481"/>
    <mergeCell ref="DD480:DG480"/>
    <mergeCell ref="DU480:DW480"/>
    <mergeCell ref="DH480:DJ480"/>
    <mergeCell ref="DQ481:DT481"/>
    <mergeCell ref="DQ480:DT480"/>
    <mergeCell ref="DK466:DN466"/>
    <mergeCell ref="DD467:DG467"/>
    <mergeCell ref="DU467:DW467"/>
    <mergeCell ref="DH467:DJ467"/>
    <mergeCell ref="DK467:DN467"/>
    <mergeCell ref="DD466:DG466"/>
    <mergeCell ref="DU466:DW466"/>
    <mergeCell ref="DH466:DJ466"/>
    <mergeCell ref="DQ467:DT467"/>
    <mergeCell ref="DQ466:DT466"/>
    <mergeCell ref="DK468:DN468"/>
    <mergeCell ref="DD469:DG469"/>
    <mergeCell ref="DU469:DW469"/>
    <mergeCell ref="DH469:DJ469"/>
    <mergeCell ref="DK469:DN469"/>
    <mergeCell ref="DD468:DG468"/>
    <mergeCell ref="DU468:DW468"/>
    <mergeCell ref="DH468:DJ468"/>
    <mergeCell ref="DQ469:DT469"/>
    <mergeCell ref="DQ468:DT468"/>
    <mergeCell ref="DK470:DN470"/>
    <mergeCell ref="DD471:DG471"/>
    <mergeCell ref="DU471:DW471"/>
    <mergeCell ref="DH471:DJ471"/>
    <mergeCell ref="DK471:DN471"/>
    <mergeCell ref="DD470:DG470"/>
    <mergeCell ref="DU470:DW470"/>
    <mergeCell ref="DH470:DJ470"/>
    <mergeCell ref="DQ471:DT471"/>
    <mergeCell ref="DQ470:DT470"/>
    <mergeCell ref="DK472:DN472"/>
    <mergeCell ref="DD473:DG473"/>
    <mergeCell ref="DU473:DW473"/>
    <mergeCell ref="DH473:DJ473"/>
    <mergeCell ref="DK473:DN473"/>
    <mergeCell ref="DD472:DG472"/>
    <mergeCell ref="DU472:DW472"/>
    <mergeCell ref="DH472:DJ472"/>
    <mergeCell ref="DQ473:DT473"/>
    <mergeCell ref="DQ472:DT472"/>
    <mergeCell ref="DK458:DN458"/>
    <mergeCell ref="DD459:DG459"/>
    <mergeCell ref="DU459:DW459"/>
    <mergeCell ref="DH459:DJ459"/>
    <mergeCell ref="DK459:DN459"/>
    <mergeCell ref="DD458:DG458"/>
    <mergeCell ref="DU458:DW458"/>
    <mergeCell ref="DH458:DJ458"/>
    <mergeCell ref="DQ459:DT459"/>
    <mergeCell ref="DQ458:DT458"/>
    <mergeCell ref="DK460:DN460"/>
    <mergeCell ref="DD461:DG461"/>
    <mergeCell ref="DU461:DW461"/>
    <mergeCell ref="DH461:DJ461"/>
    <mergeCell ref="DK461:DN461"/>
    <mergeCell ref="DD460:DG460"/>
    <mergeCell ref="DU460:DW460"/>
    <mergeCell ref="DH460:DJ460"/>
    <mergeCell ref="DQ461:DT461"/>
    <mergeCell ref="DQ460:DT460"/>
    <mergeCell ref="DK462:DN462"/>
    <mergeCell ref="DD463:DG463"/>
    <mergeCell ref="DU463:DW463"/>
    <mergeCell ref="DH463:DJ463"/>
    <mergeCell ref="DK463:DN463"/>
    <mergeCell ref="DD462:DG462"/>
    <mergeCell ref="DU462:DW462"/>
    <mergeCell ref="DH462:DJ462"/>
    <mergeCell ref="DQ463:DT463"/>
    <mergeCell ref="DQ462:DT462"/>
    <mergeCell ref="DK464:DN464"/>
    <mergeCell ref="DD465:DG465"/>
    <mergeCell ref="DU465:DW465"/>
    <mergeCell ref="DH465:DJ465"/>
    <mergeCell ref="DK465:DN465"/>
    <mergeCell ref="DD464:DG464"/>
    <mergeCell ref="DU464:DW464"/>
    <mergeCell ref="DH464:DJ464"/>
    <mergeCell ref="DQ465:DT465"/>
    <mergeCell ref="DQ464:DT464"/>
    <mergeCell ref="DK450:DN450"/>
    <mergeCell ref="DD451:DG451"/>
    <mergeCell ref="DU451:DW451"/>
    <mergeCell ref="DH451:DJ451"/>
    <mergeCell ref="DK451:DN451"/>
    <mergeCell ref="DD450:DG450"/>
    <mergeCell ref="DU450:DW450"/>
    <mergeCell ref="DH450:DJ450"/>
    <mergeCell ref="DQ451:DT451"/>
    <mergeCell ref="DQ450:DT450"/>
    <mergeCell ref="DK452:DN452"/>
    <mergeCell ref="DD453:DG453"/>
    <mergeCell ref="DU453:DW453"/>
    <mergeCell ref="DH453:DJ453"/>
    <mergeCell ref="DK453:DN453"/>
    <mergeCell ref="DD452:DG452"/>
    <mergeCell ref="DU452:DW452"/>
    <mergeCell ref="DH452:DJ452"/>
    <mergeCell ref="DQ453:DT453"/>
    <mergeCell ref="DQ452:DT452"/>
    <mergeCell ref="DK454:DN454"/>
    <mergeCell ref="DD455:DG455"/>
    <mergeCell ref="DU455:DW455"/>
    <mergeCell ref="DH455:DJ455"/>
    <mergeCell ref="DK455:DN455"/>
    <mergeCell ref="DD454:DG454"/>
    <mergeCell ref="DU454:DW454"/>
    <mergeCell ref="DH454:DJ454"/>
    <mergeCell ref="DQ455:DT455"/>
    <mergeCell ref="DQ454:DT454"/>
    <mergeCell ref="DK456:DN456"/>
    <mergeCell ref="DD457:DG457"/>
    <mergeCell ref="DU457:DW457"/>
    <mergeCell ref="DH457:DJ457"/>
    <mergeCell ref="DK457:DN457"/>
    <mergeCell ref="DD456:DG456"/>
    <mergeCell ref="DU456:DW456"/>
    <mergeCell ref="DH456:DJ456"/>
    <mergeCell ref="DQ457:DT457"/>
    <mergeCell ref="DQ456:DT456"/>
    <mergeCell ref="DK442:DN442"/>
    <mergeCell ref="DD443:DG443"/>
    <mergeCell ref="DU443:DW443"/>
    <mergeCell ref="DH443:DJ443"/>
    <mergeCell ref="DK443:DN443"/>
    <mergeCell ref="DD442:DG442"/>
    <mergeCell ref="DU442:DW442"/>
    <mergeCell ref="DH442:DJ442"/>
    <mergeCell ref="DQ443:DT443"/>
    <mergeCell ref="DQ442:DT442"/>
    <mergeCell ref="DK444:DN444"/>
    <mergeCell ref="DD445:DG445"/>
    <mergeCell ref="DU445:DW445"/>
    <mergeCell ref="DH445:DJ445"/>
    <mergeCell ref="DK445:DN445"/>
    <mergeCell ref="DD444:DG444"/>
    <mergeCell ref="DU444:DW444"/>
    <mergeCell ref="DH444:DJ444"/>
    <mergeCell ref="DQ445:DT445"/>
    <mergeCell ref="DQ444:DT444"/>
    <mergeCell ref="DK446:DN446"/>
    <mergeCell ref="DD447:DG447"/>
    <mergeCell ref="DU447:DW447"/>
    <mergeCell ref="DH447:DJ447"/>
    <mergeCell ref="DK447:DN447"/>
    <mergeCell ref="DD446:DG446"/>
    <mergeCell ref="DU446:DW446"/>
    <mergeCell ref="DH446:DJ446"/>
    <mergeCell ref="DQ447:DT447"/>
    <mergeCell ref="DQ446:DT446"/>
    <mergeCell ref="DK448:DN448"/>
    <mergeCell ref="DD449:DG449"/>
    <mergeCell ref="DU449:DW449"/>
    <mergeCell ref="DH449:DJ449"/>
    <mergeCell ref="DK449:DN449"/>
    <mergeCell ref="DD448:DG448"/>
    <mergeCell ref="DU448:DW448"/>
    <mergeCell ref="DH448:DJ448"/>
    <mergeCell ref="DQ449:DT449"/>
    <mergeCell ref="DQ448:DT448"/>
    <mergeCell ref="DK434:DN434"/>
    <mergeCell ref="DD435:DG435"/>
    <mergeCell ref="DU435:DW435"/>
    <mergeCell ref="DH435:DJ435"/>
    <mergeCell ref="DK435:DN435"/>
    <mergeCell ref="DD434:DG434"/>
    <mergeCell ref="DU434:DW434"/>
    <mergeCell ref="DH434:DJ434"/>
    <mergeCell ref="DQ435:DT435"/>
    <mergeCell ref="DQ434:DT434"/>
    <mergeCell ref="DK436:DN436"/>
    <mergeCell ref="DD437:DG437"/>
    <mergeCell ref="DU437:DW437"/>
    <mergeCell ref="DH437:DJ437"/>
    <mergeCell ref="DK437:DN437"/>
    <mergeCell ref="DD436:DG436"/>
    <mergeCell ref="DU436:DW436"/>
    <mergeCell ref="DH436:DJ436"/>
    <mergeCell ref="DQ437:DT437"/>
    <mergeCell ref="DQ436:DT436"/>
    <mergeCell ref="DK438:DN438"/>
    <mergeCell ref="DD439:DG439"/>
    <mergeCell ref="DU439:DW439"/>
    <mergeCell ref="DH439:DJ439"/>
    <mergeCell ref="DK439:DN439"/>
    <mergeCell ref="DD438:DG438"/>
    <mergeCell ref="DU438:DW438"/>
    <mergeCell ref="DH438:DJ438"/>
    <mergeCell ref="DQ439:DT439"/>
    <mergeCell ref="DQ438:DT438"/>
    <mergeCell ref="DK440:DN440"/>
    <mergeCell ref="DD441:DG441"/>
    <mergeCell ref="DU441:DW441"/>
    <mergeCell ref="DH441:DJ441"/>
    <mergeCell ref="DK441:DN441"/>
    <mergeCell ref="DD440:DG440"/>
    <mergeCell ref="DU440:DW440"/>
    <mergeCell ref="DH440:DJ440"/>
    <mergeCell ref="DQ441:DT441"/>
    <mergeCell ref="DQ440:DT440"/>
    <mergeCell ref="DK426:DN426"/>
    <mergeCell ref="DD427:DG427"/>
    <mergeCell ref="DU427:DW427"/>
    <mergeCell ref="DH427:DJ427"/>
    <mergeCell ref="DK427:DN427"/>
    <mergeCell ref="DD426:DG426"/>
    <mergeCell ref="DU426:DW426"/>
    <mergeCell ref="DH426:DJ426"/>
    <mergeCell ref="DQ427:DT427"/>
    <mergeCell ref="DQ426:DT426"/>
    <mergeCell ref="DK428:DN428"/>
    <mergeCell ref="DD429:DG429"/>
    <mergeCell ref="DU429:DW429"/>
    <mergeCell ref="DH429:DJ429"/>
    <mergeCell ref="DK429:DN429"/>
    <mergeCell ref="DD428:DG428"/>
    <mergeCell ref="DU428:DW428"/>
    <mergeCell ref="DH428:DJ428"/>
    <mergeCell ref="DQ429:DT429"/>
    <mergeCell ref="DQ428:DT428"/>
    <mergeCell ref="DK430:DN430"/>
    <mergeCell ref="DD431:DG431"/>
    <mergeCell ref="DU431:DW431"/>
    <mergeCell ref="DH431:DJ431"/>
    <mergeCell ref="DK431:DN431"/>
    <mergeCell ref="DD430:DG430"/>
    <mergeCell ref="DU430:DW430"/>
    <mergeCell ref="DH430:DJ430"/>
    <mergeCell ref="DQ431:DT431"/>
    <mergeCell ref="DQ430:DT430"/>
    <mergeCell ref="DK432:DN432"/>
    <mergeCell ref="DD433:DG433"/>
    <mergeCell ref="DU433:DW433"/>
    <mergeCell ref="DH433:DJ433"/>
    <mergeCell ref="DK433:DN433"/>
    <mergeCell ref="DD432:DG432"/>
    <mergeCell ref="DU432:DW432"/>
    <mergeCell ref="DH432:DJ432"/>
    <mergeCell ref="DQ433:DT433"/>
    <mergeCell ref="DQ432:DT432"/>
    <mergeCell ref="DK418:DN418"/>
    <mergeCell ref="DD419:DG419"/>
    <mergeCell ref="DU419:DW419"/>
    <mergeCell ref="DH419:DJ419"/>
    <mergeCell ref="DK419:DN419"/>
    <mergeCell ref="DD418:DG418"/>
    <mergeCell ref="DU418:DW418"/>
    <mergeCell ref="DH418:DJ418"/>
    <mergeCell ref="DQ419:DT419"/>
    <mergeCell ref="DQ418:DT418"/>
    <mergeCell ref="DK420:DN420"/>
    <mergeCell ref="DD421:DG421"/>
    <mergeCell ref="DU421:DW421"/>
    <mergeCell ref="DH421:DJ421"/>
    <mergeCell ref="DK421:DN421"/>
    <mergeCell ref="DD420:DG420"/>
    <mergeCell ref="DU420:DW420"/>
    <mergeCell ref="DH420:DJ420"/>
    <mergeCell ref="DQ421:DT421"/>
    <mergeCell ref="DQ420:DT420"/>
    <mergeCell ref="DK422:DN422"/>
    <mergeCell ref="DD423:DG423"/>
    <mergeCell ref="DU423:DW423"/>
    <mergeCell ref="DH423:DJ423"/>
    <mergeCell ref="DK423:DN423"/>
    <mergeCell ref="DD422:DG422"/>
    <mergeCell ref="DU422:DW422"/>
    <mergeCell ref="DH422:DJ422"/>
    <mergeCell ref="DQ423:DT423"/>
    <mergeCell ref="DQ422:DT422"/>
    <mergeCell ref="DK424:DN424"/>
    <mergeCell ref="DD425:DG425"/>
    <mergeCell ref="DU425:DW425"/>
    <mergeCell ref="DH425:DJ425"/>
    <mergeCell ref="DK425:DN425"/>
    <mergeCell ref="DD424:DG424"/>
    <mergeCell ref="DU424:DW424"/>
    <mergeCell ref="DH424:DJ424"/>
    <mergeCell ref="DQ425:DT425"/>
    <mergeCell ref="DQ424:DT424"/>
    <mergeCell ref="DK410:DN410"/>
    <mergeCell ref="DD411:DG411"/>
    <mergeCell ref="DU411:DW411"/>
    <mergeCell ref="DH411:DJ411"/>
    <mergeCell ref="DK411:DN411"/>
    <mergeCell ref="DD410:DG410"/>
    <mergeCell ref="DU410:DW410"/>
    <mergeCell ref="DH410:DJ410"/>
    <mergeCell ref="DQ411:DT411"/>
    <mergeCell ref="DQ410:DT410"/>
    <mergeCell ref="DK412:DN412"/>
    <mergeCell ref="DD413:DG413"/>
    <mergeCell ref="DU413:DW413"/>
    <mergeCell ref="DH413:DJ413"/>
    <mergeCell ref="DK413:DN413"/>
    <mergeCell ref="DD412:DG412"/>
    <mergeCell ref="DU412:DW412"/>
    <mergeCell ref="DH412:DJ412"/>
    <mergeCell ref="DQ413:DT413"/>
    <mergeCell ref="DQ412:DT412"/>
    <mergeCell ref="DK414:DN414"/>
    <mergeCell ref="DD415:DG415"/>
    <mergeCell ref="DU415:DW415"/>
    <mergeCell ref="DH415:DJ415"/>
    <mergeCell ref="DK415:DN415"/>
    <mergeCell ref="DD414:DG414"/>
    <mergeCell ref="DU414:DW414"/>
    <mergeCell ref="DH414:DJ414"/>
    <mergeCell ref="DQ415:DT415"/>
    <mergeCell ref="DQ414:DT414"/>
    <mergeCell ref="DK416:DN416"/>
    <mergeCell ref="DD417:DG417"/>
    <mergeCell ref="DU417:DW417"/>
    <mergeCell ref="DH417:DJ417"/>
    <mergeCell ref="DK417:DN417"/>
    <mergeCell ref="DD416:DG416"/>
    <mergeCell ref="DU416:DW416"/>
    <mergeCell ref="DH416:DJ416"/>
    <mergeCell ref="DQ417:DT417"/>
    <mergeCell ref="DQ416:DT416"/>
    <mergeCell ref="DK402:DN402"/>
    <mergeCell ref="DD403:DG403"/>
    <mergeCell ref="DU403:DW403"/>
    <mergeCell ref="DH403:DJ403"/>
    <mergeCell ref="DK403:DN403"/>
    <mergeCell ref="DD402:DG402"/>
    <mergeCell ref="DU402:DW402"/>
    <mergeCell ref="DH402:DJ402"/>
    <mergeCell ref="DQ403:DT403"/>
    <mergeCell ref="DQ402:DT402"/>
    <mergeCell ref="DK404:DN404"/>
    <mergeCell ref="DD405:DG405"/>
    <mergeCell ref="DU405:DW405"/>
    <mergeCell ref="DH405:DJ405"/>
    <mergeCell ref="DK405:DN405"/>
    <mergeCell ref="DD404:DG404"/>
    <mergeCell ref="DU404:DW404"/>
    <mergeCell ref="DH404:DJ404"/>
    <mergeCell ref="DQ405:DT405"/>
    <mergeCell ref="DQ404:DT404"/>
    <mergeCell ref="DK406:DN406"/>
    <mergeCell ref="DD407:DG407"/>
    <mergeCell ref="DU407:DW407"/>
    <mergeCell ref="DH407:DJ407"/>
    <mergeCell ref="DK407:DN407"/>
    <mergeCell ref="DD406:DG406"/>
    <mergeCell ref="DU406:DW406"/>
    <mergeCell ref="DH406:DJ406"/>
    <mergeCell ref="DQ407:DT407"/>
    <mergeCell ref="DQ406:DT406"/>
    <mergeCell ref="DK408:DN408"/>
    <mergeCell ref="DD409:DG409"/>
    <mergeCell ref="DU409:DW409"/>
    <mergeCell ref="DH409:DJ409"/>
    <mergeCell ref="DK409:DN409"/>
    <mergeCell ref="DD408:DG408"/>
    <mergeCell ref="DU408:DW408"/>
    <mergeCell ref="DH408:DJ408"/>
    <mergeCell ref="DQ409:DT409"/>
    <mergeCell ref="DQ408:DT408"/>
    <mergeCell ref="DK394:DN394"/>
    <mergeCell ref="DD395:DG395"/>
    <mergeCell ref="DU395:DW395"/>
    <mergeCell ref="DH395:DJ395"/>
    <mergeCell ref="DK395:DN395"/>
    <mergeCell ref="DD394:DG394"/>
    <mergeCell ref="DU394:DW394"/>
    <mergeCell ref="DH394:DJ394"/>
    <mergeCell ref="DQ395:DT395"/>
    <mergeCell ref="DQ394:DT394"/>
    <mergeCell ref="DK396:DN396"/>
    <mergeCell ref="DD397:DG397"/>
    <mergeCell ref="DU397:DW397"/>
    <mergeCell ref="DH397:DJ397"/>
    <mergeCell ref="DK397:DN397"/>
    <mergeCell ref="DD396:DG396"/>
    <mergeCell ref="DU396:DW396"/>
    <mergeCell ref="DH396:DJ396"/>
    <mergeCell ref="DQ397:DT397"/>
    <mergeCell ref="DQ396:DT396"/>
    <mergeCell ref="DK398:DN398"/>
    <mergeCell ref="DD399:DG399"/>
    <mergeCell ref="DU399:DW399"/>
    <mergeCell ref="DH399:DJ399"/>
    <mergeCell ref="DK399:DN399"/>
    <mergeCell ref="DD398:DG398"/>
    <mergeCell ref="DU398:DW398"/>
    <mergeCell ref="DH398:DJ398"/>
    <mergeCell ref="DQ399:DT399"/>
    <mergeCell ref="DQ398:DT398"/>
    <mergeCell ref="DK400:DN400"/>
    <mergeCell ref="DD401:DG401"/>
    <mergeCell ref="DU401:DW401"/>
    <mergeCell ref="DH401:DJ401"/>
    <mergeCell ref="DK401:DN401"/>
    <mergeCell ref="DD400:DG400"/>
    <mergeCell ref="DU400:DW400"/>
    <mergeCell ref="DH400:DJ400"/>
    <mergeCell ref="DQ401:DT401"/>
    <mergeCell ref="DQ400:DT400"/>
    <mergeCell ref="DK386:DN386"/>
    <mergeCell ref="DD387:DG387"/>
    <mergeCell ref="DU387:DW387"/>
    <mergeCell ref="DH387:DJ387"/>
    <mergeCell ref="DK387:DN387"/>
    <mergeCell ref="DD386:DG386"/>
    <mergeCell ref="DU386:DW386"/>
    <mergeCell ref="DH386:DJ386"/>
    <mergeCell ref="DQ387:DT387"/>
    <mergeCell ref="DQ386:DT386"/>
    <mergeCell ref="DK388:DN388"/>
    <mergeCell ref="DD389:DG389"/>
    <mergeCell ref="DU389:DW389"/>
    <mergeCell ref="DH389:DJ389"/>
    <mergeCell ref="DK389:DN389"/>
    <mergeCell ref="DD388:DG388"/>
    <mergeCell ref="DU388:DW388"/>
    <mergeCell ref="DH388:DJ388"/>
    <mergeCell ref="DQ389:DT389"/>
    <mergeCell ref="DQ388:DT388"/>
    <mergeCell ref="DK390:DN390"/>
    <mergeCell ref="DD391:DG391"/>
    <mergeCell ref="DU391:DW391"/>
    <mergeCell ref="DH391:DJ391"/>
    <mergeCell ref="DK391:DN391"/>
    <mergeCell ref="DD390:DG390"/>
    <mergeCell ref="DU390:DW390"/>
    <mergeCell ref="DH390:DJ390"/>
    <mergeCell ref="DQ391:DT391"/>
    <mergeCell ref="DQ390:DT390"/>
    <mergeCell ref="DK392:DN392"/>
    <mergeCell ref="DD393:DG393"/>
    <mergeCell ref="DU393:DW393"/>
    <mergeCell ref="DH393:DJ393"/>
    <mergeCell ref="DK393:DN393"/>
    <mergeCell ref="DD392:DG392"/>
    <mergeCell ref="DU392:DW392"/>
    <mergeCell ref="DH392:DJ392"/>
    <mergeCell ref="DQ393:DT393"/>
    <mergeCell ref="DQ392:DT392"/>
    <mergeCell ref="DK378:DN378"/>
    <mergeCell ref="DD379:DG379"/>
    <mergeCell ref="DU379:DW379"/>
    <mergeCell ref="DH379:DJ379"/>
    <mergeCell ref="DK379:DN379"/>
    <mergeCell ref="DD378:DG378"/>
    <mergeCell ref="DU378:DW378"/>
    <mergeCell ref="DH378:DJ378"/>
    <mergeCell ref="DQ379:DT379"/>
    <mergeCell ref="DQ378:DT378"/>
    <mergeCell ref="DK380:DN380"/>
    <mergeCell ref="DD381:DG381"/>
    <mergeCell ref="DU381:DW381"/>
    <mergeCell ref="DH381:DJ381"/>
    <mergeCell ref="DK381:DN381"/>
    <mergeCell ref="DD380:DG380"/>
    <mergeCell ref="DU380:DW380"/>
    <mergeCell ref="DH380:DJ380"/>
    <mergeCell ref="DQ381:DT381"/>
    <mergeCell ref="DQ380:DT380"/>
    <mergeCell ref="DK382:DN382"/>
    <mergeCell ref="DD383:DG383"/>
    <mergeCell ref="DU383:DW383"/>
    <mergeCell ref="DH383:DJ383"/>
    <mergeCell ref="DK383:DN383"/>
    <mergeCell ref="DD382:DG382"/>
    <mergeCell ref="DU382:DW382"/>
    <mergeCell ref="DH382:DJ382"/>
    <mergeCell ref="DQ383:DT383"/>
    <mergeCell ref="DQ382:DT382"/>
    <mergeCell ref="DK384:DN384"/>
    <mergeCell ref="DD385:DG385"/>
    <mergeCell ref="DU385:DW385"/>
    <mergeCell ref="DH385:DJ385"/>
    <mergeCell ref="DK385:DN385"/>
    <mergeCell ref="DD384:DG384"/>
    <mergeCell ref="DU384:DW384"/>
    <mergeCell ref="DH384:DJ384"/>
    <mergeCell ref="DQ385:DT385"/>
    <mergeCell ref="DQ384:DT384"/>
    <mergeCell ref="DK370:DN370"/>
    <mergeCell ref="DD371:DG371"/>
    <mergeCell ref="DU371:DW371"/>
    <mergeCell ref="DH371:DJ371"/>
    <mergeCell ref="DK371:DN371"/>
    <mergeCell ref="DD370:DG370"/>
    <mergeCell ref="DU370:DW370"/>
    <mergeCell ref="DH370:DJ370"/>
    <mergeCell ref="DQ371:DT371"/>
    <mergeCell ref="DQ370:DT370"/>
    <mergeCell ref="DK372:DN372"/>
    <mergeCell ref="DD373:DG373"/>
    <mergeCell ref="DU373:DW373"/>
    <mergeCell ref="DH373:DJ373"/>
    <mergeCell ref="DK373:DN373"/>
    <mergeCell ref="DD372:DG372"/>
    <mergeCell ref="DU372:DW372"/>
    <mergeCell ref="DH372:DJ372"/>
    <mergeCell ref="DQ373:DT373"/>
    <mergeCell ref="DQ372:DT372"/>
    <mergeCell ref="DK374:DN374"/>
    <mergeCell ref="DD375:DG375"/>
    <mergeCell ref="DU375:DW375"/>
    <mergeCell ref="DH375:DJ375"/>
    <mergeCell ref="DK375:DN375"/>
    <mergeCell ref="DD374:DG374"/>
    <mergeCell ref="DU374:DW374"/>
    <mergeCell ref="DH374:DJ374"/>
    <mergeCell ref="DQ375:DT375"/>
    <mergeCell ref="DQ374:DT374"/>
    <mergeCell ref="DK376:DN376"/>
    <mergeCell ref="DD377:DG377"/>
    <mergeCell ref="DU377:DW377"/>
    <mergeCell ref="DH377:DJ377"/>
    <mergeCell ref="DK377:DN377"/>
    <mergeCell ref="DD376:DG376"/>
    <mergeCell ref="DU376:DW376"/>
    <mergeCell ref="DH376:DJ376"/>
    <mergeCell ref="DQ377:DT377"/>
    <mergeCell ref="DQ376:DT376"/>
    <mergeCell ref="DK362:DN362"/>
    <mergeCell ref="DD363:DG363"/>
    <mergeCell ref="DU363:DW363"/>
    <mergeCell ref="DH363:DJ363"/>
    <mergeCell ref="DK363:DN363"/>
    <mergeCell ref="DD362:DG362"/>
    <mergeCell ref="DU362:DW362"/>
    <mergeCell ref="DH362:DJ362"/>
    <mergeCell ref="DQ363:DT363"/>
    <mergeCell ref="DQ362:DT362"/>
    <mergeCell ref="DK364:DN364"/>
    <mergeCell ref="DD365:DG365"/>
    <mergeCell ref="DU365:DW365"/>
    <mergeCell ref="DH365:DJ365"/>
    <mergeCell ref="DK365:DN365"/>
    <mergeCell ref="DD364:DG364"/>
    <mergeCell ref="DU364:DW364"/>
    <mergeCell ref="DH364:DJ364"/>
    <mergeCell ref="DQ365:DT365"/>
    <mergeCell ref="DQ364:DT364"/>
    <mergeCell ref="DK366:DN366"/>
    <mergeCell ref="DD367:DG367"/>
    <mergeCell ref="DU367:DW367"/>
    <mergeCell ref="DH367:DJ367"/>
    <mergeCell ref="DK367:DN367"/>
    <mergeCell ref="DD366:DG366"/>
    <mergeCell ref="DU366:DW366"/>
    <mergeCell ref="DH366:DJ366"/>
    <mergeCell ref="DQ367:DT367"/>
    <mergeCell ref="DQ366:DT366"/>
    <mergeCell ref="DK368:DN368"/>
    <mergeCell ref="DD369:DG369"/>
    <mergeCell ref="DU369:DW369"/>
    <mergeCell ref="DH369:DJ369"/>
    <mergeCell ref="DK369:DN369"/>
    <mergeCell ref="DD368:DG368"/>
    <mergeCell ref="DU368:DW368"/>
    <mergeCell ref="DH368:DJ368"/>
    <mergeCell ref="DQ369:DT369"/>
    <mergeCell ref="DQ368:DT368"/>
    <mergeCell ref="DH355:DJ355"/>
    <mergeCell ref="DK355:DN355"/>
    <mergeCell ref="DD354:DG354"/>
    <mergeCell ref="DU354:DW354"/>
    <mergeCell ref="DH354:DJ354"/>
    <mergeCell ref="DQ355:DT355"/>
    <mergeCell ref="DQ354:DT354"/>
    <mergeCell ref="DD355:DG355"/>
    <mergeCell ref="DK356:DN356"/>
    <mergeCell ref="DD357:DG357"/>
    <mergeCell ref="DU357:DW357"/>
    <mergeCell ref="DH357:DJ357"/>
    <mergeCell ref="DK357:DN357"/>
    <mergeCell ref="DD356:DG356"/>
    <mergeCell ref="DU356:DW356"/>
    <mergeCell ref="DH356:DJ356"/>
    <mergeCell ref="DQ357:DT357"/>
    <mergeCell ref="DQ356:DT356"/>
    <mergeCell ref="DK358:DN358"/>
    <mergeCell ref="DD359:DG359"/>
    <mergeCell ref="DU359:DW359"/>
    <mergeCell ref="DH359:DJ359"/>
    <mergeCell ref="DK359:DN359"/>
    <mergeCell ref="DD358:DG358"/>
    <mergeCell ref="DU358:DW358"/>
    <mergeCell ref="DH358:DJ358"/>
    <mergeCell ref="DQ359:DT359"/>
    <mergeCell ref="DQ358:DT358"/>
    <mergeCell ref="DK360:DN360"/>
    <mergeCell ref="DD361:DG361"/>
    <mergeCell ref="DU361:DW361"/>
    <mergeCell ref="DH361:DJ361"/>
    <mergeCell ref="DK361:DN361"/>
    <mergeCell ref="DD360:DG360"/>
    <mergeCell ref="DU360:DW360"/>
    <mergeCell ref="DH360:DJ360"/>
    <mergeCell ref="DQ361:DT361"/>
    <mergeCell ref="DQ360:DT360"/>
    <mergeCell ref="DK354:DN354"/>
    <mergeCell ref="DU355:DW355"/>
    <mergeCell ref="DK346:DN346"/>
    <mergeCell ref="DD347:DG347"/>
    <mergeCell ref="DU347:DW347"/>
    <mergeCell ref="DH347:DJ347"/>
    <mergeCell ref="DK347:DN347"/>
    <mergeCell ref="DD346:DG346"/>
    <mergeCell ref="DU346:DW346"/>
    <mergeCell ref="DH346:DJ346"/>
    <mergeCell ref="DQ347:DT347"/>
    <mergeCell ref="DQ346:DT346"/>
    <mergeCell ref="DK348:DN348"/>
    <mergeCell ref="DD349:DG349"/>
    <mergeCell ref="DU349:DW349"/>
    <mergeCell ref="DH349:DJ349"/>
    <mergeCell ref="DK349:DN349"/>
    <mergeCell ref="DD348:DG348"/>
    <mergeCell ref="DU348:DW348"/>
    <mergeCell ref="DH348:DJ348"/>
    <mergeCell ref="DQ349:DT349"/>
    <mergeCell ref="DQ348:DT348"/>
    <mergeCell ref="DK350:DN350"/>
    <mergeCell ref="DD351:DG351"/>
    <mergeCell ref="DU351:DW351"/>
    <mergeCell ref="DH351:DJ351"/>
    <mergeCell ref="DK351:DN351"/>
    <mergeCell ref="DD350:DG350"/>
    <mergeCell ref="DU350:DW350"/>
    <mergeCell ref="DH350:DJ350"/>
    <mergeCell ref="DQ351:DT351"/>
    <mergeCell ref="DQ350:DT350"/>
    <mergeCell ref="DK352:DN352"/>
    <mergeCell ref="DD353:DG353"/>
    <mergeCell ref="DU353:DW353"/>
    <mergeCell ref="DH353:DJ353"/>
    <mergeCell ref="DK353:DN353"/>
    <mergeCell ref="DD352:DG352"/>
    <mergeCell ref="DU352:DW352"/>
    <mergeCell ref="DH352:DJ352"/>
    <mergeCell ref="DQ353:DT353"/>
    <mergeCell ref="DQ352:DT352"/>
    <mergeCell ref="DK339:DN339"/>
    <mergeCell ref="DD338:DG338"/>
    <mergeCell ref="DH338:DJ338"/>
    <mergeCell ref="DQ339:DT339"/>
    <mergeCell ref="DQ338:DT338"/>
    <mergeCell ref="DK340:DN340"/>
    <mergeCell ref="DD341:DG341"/>
    <mergeCell ref="DU341:DW341"/>
    <mergeCell ref="DH341:DJ341"/>
    <mergeCell ref="DK341:DN341"/>
    <mergeCell ref="DD340:DG340"/>
    <mergeCell ref="DH340:DJ340"/>
    <mergeCell ref="DQ341:DT341"/>
    <mergeCell ref="DQ340:DT340"/>
    <mergeCell ref="DK342:DN342"/>
    <mergeCell ref="DD343:DG343"/>
    <mergeCell ref="DU343:DW343"/>
    <mergeCell ref="DH343:DJ343"/>
    <mergeCell ref="DK343:DN343"/>
    <mergeCell ref="DD342:DG342"/>
    <mergeCell ref="DU342:DW342"/>
    <mergeCell ref="DH342:DJ342"/>
    <mergeCell ref="DQ343:DT343"/>
    <mergeCell ref="DQ342:DT342"/>
    <mergeCell ref="DK344:DN344"/>
    <mergeCell ref="DD345:DG345"/>
    <mergeCell ref="DU345:DW345"/>
    <mergeCell ref="DH345:DJ345"/>
    <mergeCell ref="DK345:DN345"/>
    <mergeCell ref="DD344:DG344"/>
    <mergeCell ref="DU344:DW344"/>
    <mergeCell ref="DH344:DJ344"/>
    <mergeCell ref="DQ345:DT345"/>
    <mergeCell ref="DQ344:DT344"/>
    <mergeCell ref="AH266:AN266"/>
    <mergeCell ref="AA267:AG267"/>
    <mergeCell ref="AH265:AN265"/>
    <mergeCell ref="AA273:AG273"/>
    <mergeCell ref="AA274:AG274"/>
    <mergeCell ref="AA270:AG270"/>
    <mergeCell ref="AA282:AG282"/>
    <mergeCell ref="AA277:AG277"/>
    <mergeCell ref="AA272:AG272"/>
    <mergeCell ref="AA278:AG278"/>
    <mergeCell ref="AA276:AG276"/>
    <mergeCell ref="AA275:AG275"/>
    <mergeCell ref="AA279:AG279"/>
    <mergeCell ref="AH273:AN273"/>
    <mergeCell ref="Y264:Z264"/>
    <mergeCell ref="AA264:AG264"/>
    <mergeCell ref="AA262:AG262"/>
    <mergeCell ref="AA263:AG263"/>
    <mergeCell ref="Y263:Z263"/>
    <mergeCell ref="Y262:Z262"/>
    <mergeCell ref="AH268:AN268"/>
    <mergeCell ref="AA269:AG269"/>
    <mergeCell ref="Y275:Z275"/>
    <mergeCell ref="V275:W275"/>
    <mergeCell ref="Y278:Z278"/>
    <mergeCell ref="Y279:Z279"/>
    <mergeCell ref="AA268:AG268"/>
    <mergeCell ref="V269:W269"/>
    <mergeCell ref="Y269:Z269"/>
    <mergeCell ref="V270:W270"/>
    <mergeCell ref="Y270:Z270"/>
    <mergeCell ref="DD337:DG337"/>
    <mergeCell ref="DK338:DN338"/>
    <mergeCell ref="DH337:DJ337"/>
    <mergeCell ref="DK337:DN337"/>
    <mergeCell ref="CU337:CW337"/>
    <mergeCell ref="DC336:DN336"/>
    <mergeCell ref="CB338:CD338"/>
    <mergeCell ref="BX338:CA338"/>
    <mergeCell ref="CH333:CK333"/>
    <mergeCell ref="CM332:CP332"/>
    <mergeCell ref="BR335:BU335"/>
    <mergeCell ref="AH270:AN270"/>
    <mergeCell ref="AH272:AN272"/>
    <mergeCell ref="Y284:Z284"/>
    <mergeCell ref="Y285:Z285"/>
    <mergeCell ref="Y286:Z286"/>
    <mergeCell ref="Y290:Z290"/>
    <mergeCell ref="Y291:Z291"/>
    <mergeCell ref="AH283:AN283"/>
    <mergeCell ref="AH282:AN282"/>
    <mergeCell ref="BD335:BD337"/>
    <mergeCell ref="BG334:BH334"/>
    <mergeCell ref="AA271:AG271"/>
    <mergeCell ref="AH277:AN277"/>
    <mergeCell ref="BH337:BK337"/>
    <mergeCell ref="BL337:BN337"/>
    <mergeCell ref="AH279:AN279"/>
    <mergeCell ref="AH281:AN281"/>
    <mergeCell ref="AH276:AN276"/>
    <mergeCell ref="AH275:AN275"/>
    <mergeCell ref="AA284:AG284"/>
    <mergeCell ref="AA281:AG281"/>
    <mergeCell ref="AA288:AG288"/>
    <mergeCell ref="AA265:AG265"/>
    <mergeCell ref="AH264:AN264"/>
    <mergeCell ref="C12:C14"/>
    <mergeCell ref="C28:C30"/>
    <mergeCell ref="C79:C81"/>
    <mergeCell ref="F94:I94"/>
    <mergeCell ref="J92:N92"/>
    <mergeCell ref="D245:F245"/>
    <mergeCell ref="J244:K244"/>
    <mergeCell ref="G245:I245"/>
    <mergeCell ref="C59:C61"/>
    <mergeCell ref="H40:S40"/>
    <mergeCell ref="C350:C352"/>
    <mergeCell ref="T277:U277"/>
    <mergeCell ref="T287:U287"/>
    <mergeCell ref="T281:U281"/>
    <mergeCell ref="G289:I289"/>
    <mergeCell ref="G291:I291"/>
    <mergeCell ref="L290:M290"/>
    <mergeCell ref="C330:C332"/>
    <mergeCell ref="O293:P293"/>
    <mergeCell ref="L294:M294"/>
    <mergeCell ref="O270:P270"/>
    <mergeCell ref="L266:M266"/>
    <mergeCell ref="Q267:R267"/>
    <mergeCell ref="Q265:R265"/>
    <mergeCell ref="O271:P271"/>
    <mergeCell ref="Q271:R271"/>
    <mergeCell ref="Q270:R270"/>
    <mergeCell ref="O266:P266"/>
    <mergeCell ref="O267:P267"/>
    <mergeCell ref="L268:M268"/>
    <mergeCell ref="T267:U267"/>
    <mergeCell ref="T284:U284"/>
    <mergeCell ref="O260:P260"/>
    <mergeCell ref="L260:M260"/>
    <mergeCell ref="O272:P272"/>
    <mergeCell ref="J258:K258"/>
    <mergeCell ref="J253:K253"/>
    <mergeCell ref="T257:U257"/>
    <mergeCell ref="J256:K256"/>
    <mergeCell ref="Q255:R255"/>
    <mergeCell ref="O258:P258"/>
    <mergeCell ref="Q257:R257"/>
    <mergeCell ref="L258:M258"/>
    <mergeCell ref="L255:M255"/>
    <mergeCell ref="L257:M257"/>
    <mergeCell ref="T261:U261"/>
    <mergeCell ref="T259:U259"/>
    <mergeCell ref="T260:U260"/>
    <mergeCell ref="C113:C115"/>
    <mergeCell ref="D118:D124"/>
    <mergeCell ref="T243:U243"/>
    <mergeCell ref="Q243:R243"/>
    <mergeCell ref="G250:I250"/>
    <mergeCell ref="Q245:R245"/>
    <mergeCell ref="F128:AN128"/>
    <mergeCell ref="AH242:AN242"/>
    <mergeCell ref="AB199:AJ199"/>
    <mergeCell ref="V244:W244"/>
    <mergeCell ref="H38:S38"/>
    <mergeCell ref="H46:S46"/>
    <mergeCell ref="T46:X46"/>
    <mergeCell ref="H48:S48"/>
    <mergeCell ref="H42:S42"/>
    <mergeCell ref="H44:S44"/>
    <mergeCell ref="T226:V226"/>
    <mergeCell ref="K226:S226"/>
    <mergeCell ref="H50:S50"/>
    <mergeCell ref="H54:S54"/>
    <mergeCell ref="V94:W94"/>
    <mergeCell ref="V122:W122"/>
    <mergeCell ref="T249:U249"/>
    <mergeCell ref="T246:U246"/>
    <mergeCell ref="V249:W249"/>
    <mergeCell ref="V262:W262"/>
    <mergeCell ref="V252:W252"/>
    <mergeCell ref="V261:W261"/>
    <mergeCell ref="V246:W246"/>
    <mergeCell ref="T247:U247"/>
    <mergeCell ref="V254:W254"/>
    <mergeCell ref="V256:W256"/>
    <mergeCell ref="Q252:R252"/>
    <mergeCell ref="T252:U252"/>
    <mergeCell ref="Q262:R262"/>
    <mergeCell ref="T248:U248"/>
    <mergeCell ref="G248:I248"/>
    <mergeCell ref="T187:V187"/>
    <mergeCell ref="G246:I246"/>
    <mergeCell ref="J248:K248"/>
    <mergeCell ref="V96:W96"/>
    <mergeCell ref="T56:X56"/>
    <mergeCell ref="X88:Y88"/>
    <mergeCell ref="T137:U137"/>
    <mergeCell ref="X116:AE116"/>
    <mergeCell ref="X124:Z124"/>
    <mergeCell ref="AB135:AJ135"/>
    <mergeCell ref="X96:Y96"/>
    <mergeCell ref="AA94:AI94"/>
    <mergeCell ref="AA86:AM91"/>
    <mergeCell ref="W102:X102"/>
    <mergeCell ref="AA84:AI84"/>
    <mergeCell ref="V92:W92"/>
    <mergeCell ref="AK117:AN117"/>
    <mergeCell ref="AA102:AI102"/>
    <mergeCell ref="G254:I254"/>
    <mergeCell ref="AH262:AN262"/>
    <mergeCell ref="F130:AN130"/>
    <mergeCell ref="Y252:Z252"/>
    <mergeCell ref="L245:M245"/>
    <mergeCell ref="Q249:R249"/>
    <mergeCell ref="O247:P247"/>
    <mergeCell ref="V247:W247"/>
    <mergeCell ref="O251:P251"/>
    <mergeCell ref="L247:M247"/>
    <mergeCell ref="Y249:Z249"/>
    <mergeCell ref="T48:X48"/>
    <mergeCell ref="U168:Z168"/>
    <mergeCell ref="AA252:AG252"/>
    <mergeCell ref="V248:W248"/>
    <mergeCell ref="V251:W251"/>
    <mergeCell ref="T245:U245"/>
    <mergeCell ref="T255:U255"/>
    <mergeCell ref="V257:W257"/>
    <mergeCell ref="V260:W260"/>
    <mergeCell ref="V259:W259"/>
    <mergeCell ref="V258:W258"/>
    <mergeCell ref="V245:W245"/>
    <mergeCell ref="O263:P263"/>
    <mergeCell ref="O268:P268"/>
    <mergeCell ref="Q260:R260"/>
    <mergeCell ref="Q264:R264"/>
    <mergeCell ref="O259:P259"/>
    <mergeCell ref="O253:P253"/>
    <mergeCell ref="Q254:R254"/>
    <mergeCell ref="L259:M259"/>
    <mergeCell ref="Q263:R263"/>
    <mergeCell ref="Q253:R253"/>
    <mergeCell ref="O265:P265"/>
    <mergeCell ref="Q246:R246"/>
    <mergeCell ref="J257:K257"/>
    <mergeCell ref="J245:K245"/>
    <mergeCell ref="L243:M243"/>
    <mergeCell ref="O257:P257"/>
    <mergeCell ref="O254:P254"/>
    <mergeCell ref="G252:I252"/>
    <mergeCell ref="T256:U256"/>
    <mergeCell ref="J254:K254"/>
    <mergeCell ref="L248:M248"/>
    <mergeCell ref="L249:M249"/>
    <mergeCell ref="O255:P255"/>
    <mergeCell ref="J247:K247"/>
    <mergeCell ref="L254:M254"/>
    <mergeCell ref="G273:I273"/>
    <mergeCell ref="G277:I277"/>
    <mergeCell ref="G256:I256"/>
    <mergeCell ref="G264:I264"/>
    <mergeCell ref="G258:I258"/>
    <mergeCell ref="T90:U90"/>
    <mergeCell ref="O100:Q100"/>
    <mergeCell ref="T178:U178"/>
    <mergeCell ref="T251:U251"/>
    <mergeCell ref="O274:P274"/>
    <mergeCell ref="T253:U253"/>
    <mergeCell ref="O241:W241"/>
    <mergeCell ref="T242:U242"/>
    <mergeCell ref="V250:W250"/>
    <mergeCell ref="T145:U145"/>
    <mergeCell ref="CU444:CW444"/>
    <mergeCell ref="CX444:DA444"/>
    <mergeCell ref="CN445:CQ445"/>
    <mergeCell ref="CR442:CT442"/>
    <mergeCell ref="CU442:CW442"/>
    <mergeCell ref="CX442:DA442"/>
    <mergeCell ref="CN443:CQ443"/>
    <mergeCell ref="CN442:CQ442"/>
    <mergeCell ref="CN423:CQ423"/>
    <mergeCell ref="CR423:CT423"/>
    <mergeCell ref="CU423:CW423"/>
    <mergeCell ref="CX423:DA423"/>
    <mergeCell ref="CN422:CQ422"/>
    <mergeCell ref="CR422:CT422"/>
    <mergeCell ref="CU422:CW422"/>
    <mergeCell ref="CX422:DA422"/>
    <mergeCell ref="CN425:CQ425"/>
    <mergeCell ref="CR425:CT425"/>
    <mergeCell ref="T269:U269"/>
    <mergeCell ref="T270:U270"/>
    <mergeCell ref="Q269:R269"/>
    <mergeCell ref="O282:P282"/>
    <mergeCell ref="Q274:R274"/>
    <mergeCell ref="O275:P275"/>
    <mergeCell ref="Q275:R275"/>
    <mergeCell ref="O280:P280"/>
    <mergeCell ref="O281:P281"/>
    <mergeCell ref="O269:P269"/>
    <mergeCell ref="T263:U263"/>
    <mergeCell ref="T264:U264"/>
    <mergeCell ref="Q266:R266"/>
    <mergeCell ref="T266:U266"/>
    <mergeCell ref="T265:U265"/>
    <mergeCell ref="T275:U275"/>
    <mergeCell ref="T272:U272"/>
    <mergeCell ref="T276:U276"/>
    <mergeCell ref="Q272:R272"/>
    <mergeCell ref="O290:P290"/>
    <mergeCell ref="Y266:Z266"/>
    <mergeCell ref="Y267:Z267"/>
    <mergeCell ref="Y265:Z265"/>
    <mergeCell ref="V267:W267"/>
    <mergeCell ref="V268:W268"/>
    <mergeCell ref="V266:W266"/>
    <mergeCell ref="V265:W265"/>
    <mergeCell ref="Y268:Z268"/>
    <mergeCell ref="V281:W281"/>
    <mergeCell ref="V272:W272"/>
    <mergeCell ref="Y273:Z273"/>
    <mergeCell ref="Y280:Z280"/>
    <mergeCell ref="V271:W271"/>
    <mergeCell ref="Y281:Z281"/>
    <mergeCell ref="V263:W263"/>
    <mergeCell ref="V264:W264"/>
    <mergeCell ref="Y274:Z274"/>
    <mergeCell ref="Y272:Z272"/>
    <mergeCell ref="Y271:Z271"/>
    <mergeCell ref="AH267:AN267"/>
    <mergeCell ref="AH263:AN263"/>
    <mergeCell ref="CU425:CW425"/>
    <mergeCell ref="CX425:DA425"/>
    <mergeCell ref="CM336:DA336"/>
    <mergeCell ref="Q268:R268"/>
    <mergeCell ref="O264:P264"/>
    <mergeCell ref="GC633:GF633"/>
    <mergeCell ref="FY636:GB636"/>
    <mergeCell ref="GH636:GK636"/>
    <mergeCell ref="GL636:GO636"/>
    <mergeCell ref="GC636:GF636"/>
    <mergeCell ref="FY635:GB635"/>
    <mergeCell ref="GH635:GK635"/>
    <mergeCell ref="GL635:GO635"/>
    <mergeCell ref="GC635:GF635"/>
    <mergeCell ref="FY638:GB638"/>
    <mergeCell ref="GH638:GK638"/>
    <mergeCell ref="GL638:GO638"/>
    <mergeCell ref="GC638:GF638"/>
    <mergeCell ref="FY630:GB630"/>
    <mergeCell ref="GH630:GK630"/>
    <mergeCell ref="GL630:GO630"/>
    <mergeCell ref="GC630:GF630"/>
    <mergeCell ref="FY345:GB345"/>
    <mergeCell ref="FT345:FX345"/>
    <mergeCell ref="FD339:FH339"/>
    <mergeCell ref="FT340:FX340"/>
    <mergeCell ref="FY346:GB346"/>
    <mergeCell ref="EF342:EJ342"/>
    <mergeCell ref="EF343:EJ343"/>
    <mergeCell ref="EF344:EJ344"/>
    <mergeCell ref="GC352:GF352"/>
    <mergeCell ref="GC353:GF353"/>
    <mergeCell ref="GC354:GF354"/>
    <mergeCell ref="GC355:GF355"/>
    <mergeCell ref="FD340:FH340"/>
    <mergeCell ref="EX340:FB340"/>
    <mergeCell ref="EX341:FB341"/>
    <mergeCell ref="EF336:EJ336"/>
    <mergeCell ref="EF338:EJ338"/>
    <mergeCell ref="EL336:EP336"/>
    <mergeCell ref="EL338:EP338"/>
    <mergeCell ref="EL339:EP339"/>
    <mergeCell ref="EL340:EP340"/>
    <mergeCell ref="ER357:EV357"/>
    <mergeCell ref="EL355:EP355"/>
    <mergeCell ref="EL348:EP348"/>
    <mergeCell ref="EL349:EP349"/>
    <mergeCell ref="EL350:EP350"/>
    <mergeCell ref="EL351:EP351"/>
    <mergeCell ref="ER349:EV349"/>
    <mergeCell ref="ER350:EV350"/>
    <mergeCell ref="ER351:EV351"/>
    <mergeCell ref="ER352:EV352"/>
    <mergeCell ref="ER353:EV353"/>
    <mergeCell ref="ER354:EV354"/>
    <mergeCell ref="ER343:EV343"/>
    <mergeCell ref="ER344:EV344"/>
    <mergeCell ref="ER345:EV345"/>
    <mergeCell ref="ER346:EV346"/>
    <mergeCell ref="ER347:EV347"/>
    <mergeCell ref="ER348:EV348"/>
    <mergeCell ref="ER336:EV336"/>
    <mergeCell ref="ER338:EV338"/>
    <mergeCell ref="ER339:EV339"/>
    <mergeCell ref="ER340:EV340"/>
    <mergeCell ref="ER355:EV355"/>
    <mergeCell ref="ER356:EV356"/>
    <mergeCell ref="ER341:EV341"/>
    <mergeCell ref="ER342:EV342"/>
    <mergeCell ref="GH632:GK632"/>
    <mergeCell ref="GL632:GO632"/>
    <mergeCell ref="GC632:GF632"/>
    <mergeCell ref="FY631:GB631"/>
    <mergeCell ref="GH631:GK631"/>
    <mergeCell ref="GL631:GO631"/>
    <mergeCell ref="GC631:GF631"/>
    <mergeCell ref="FT629:FX629"/>
    <mergeCell ref="GH645:GK645"/>
    <mergeCell ref="GL645:GO645"/>
    <mergeCell ref="GC645:GF645"/>
    <mergeCell ref="FY644:GB644"/>
    <mergeCell ref="GH644:GK644"/>
    <mergeCell ref="GL644:GO644"/>
    <mergeCell ref="GC644:GF644"/>
    <mergeCell ref="FY645:GB645"/>
    <mergeCell ref="GL647:GO647"/>
    <mergeCell ref="GC647:GF647"/>
    <mergeCell ref="FY646:GB646"/>
    <mergeCell ref="GH646:GK646"/>
    <mergeCell ref="GL646:GO646"/>
    <mergeCell ref="GC646:GF646"/>
    <mergeCell ref="GH647:GK647"/>
    <mergeCell ref="FY647:GB647"/>
    <mergeCell ref="FT642:FX642"/>
    <mergeCell ref="FT646:FX646"/>
    <mergeCell ref="FT622:FX622"/>
    <mergeCell ref="FY622:GB622"/>
    <mergeCell ref="GH622:GK622"/>
    <mergeCell ref="GL622:GO622"/>
    <mergeCell ref="GC622:GF622"/>
    <mergeCell ref="GL649:GO649"/>
    <mergeCell ref="GC649:GF649"/>
    <mergeCell ref="FY648:GB648"/>
    <mergeCell ref="GH648:GK648"/>
    <mergeCell ref="GL648:GO648"/>
    <mergeCell ref="GC648:GF648"/>
    <mergeCell ref="GH649:GK649"/>
    <mergeCell ref="FY649:GB649"/>
    <mergeCell ref="FT634:FX634"/>
    <mergeCell ref="FT630:FX630"/>
    <mergeCell ref="FT649:FX649"/>
    <mergeCell ref="FT648:FX648"/>
    <mergeCell ref="FT647:FX647"/>
    <mergeCell ref="FT638:FX638"/>
    <mergeCell ref="FT639:FX639"/>
    <mergeCell ref="FT643:FX643"/>
    <mergeCell ref="FT641:FX641"/>
    <mergeCell ref="FT640:FX640"/>
    <mergeCell ref="FT645:FX645"/>
    <mergeCell ref="FT644:FX644"/>
    <mergeCell ref="FT637:FX637"/>
    <mergeCell ref="FT631:FX631"/>
    <mergeCell ref="FT632:FX632"/>
    <mergeCell ref="FT636:FX636"/>
    <mergeCell ref="FT635:FX635"/>
    <mergeCell ref="FT633:FX633"/>
    <mergeCell ref="FY634:GB634"/>
    <mergeCell ref="GH634:GK634"/>
    <mergeCell ref="GL634:GO634"/>
    <mergeCell ref="GC634:GF634"/>
    <mergeCell ref="FY633:GB633"/>
    <mergeCell ref="GH633:GK633"/>
    <mergeCell ref="GL633:GO633"/>
    <mergeCell ref="FT621:FX621"/>
    <mergeCell ref="FY621:GB621"/>
    <mergeCell ref="GH621:GK621"/>
    <mergeCell ref="GL621:GO621"/>
    <mergeCell ref="GC621:GF621"/>
    <mergeCell ref="FT624:FX624"/>
    <mergeCell ref="FY624:GB624"/>
    <mergeCell ref="GH624:GK624"/>
    <mergeCell ref="GL624:GO624"/>
    <mergeCell ref="GC624:GF624"/>
    <mergeCell ref="FT623:FX623"/>
    <mergeCell ref="FY623:GB623"/>
    <mergeCell ref="GH623:GK623"/>
    <mergeCell ref="GL623:GO623"/>
    <mergeCell ref="GC623:GF623"/>
    <mergeCell ref="FY637:GB637"/>
    <mergeCell ref="GH637:GK637"/>
    <mergeCell ref="GL637:GO637"/>
    <mergeCell ref="GC637:GF637"/>
    <mergeCell ref="FY640:GB640"/>
    <mergeCell ref="GH640:GK640"/>
    <mergeCell ref="GL640:GO640"/>
    <mergeCell ref="GC640:GF640"/>
    <mergeCell ref="FY639:GB639"/>
    <mergeCell ref="GH639:GK639"/>
    <mergeCell ref="GL639:GO639"/>
    <mergeCell ref="GC639:GF639"/>
    <mergeCell ref="FY643:GB643"/>
    <mergeCell ref="FY641:GB641"/>
    <mergeCell ref="GH641:GK641"/>
    <mergeCell ref="GL641:GO641"/>
    <mergeCell ref="GC641:GF641"/>
    <mergeCell ref="GH643:GK643"/>
    <mergeCell ref="GL643:GO643"/>
    <mergeCell ref="GC643:GF643"/>
    <mergeCell ref="FY642:GB642"/>
    <mergeCell ref="GH642:GK642"/>
    <mergeCell ref="GL642:GO642"/>
    <mergeCell ref="GC642:GF642"/>
    <mergeCell ref="FT626:FX626"/>
    <mergeCell ref="FY626:GB626"/>
    <mergeCell ref="GH626:GK626"/>
    <mergeCell ref="GL626:GO626"/>
    <mergeCell ref="GC626:GF626"/>
    <mergeCell ref="FT625:FX625"/>
    <mergeCell ref="FY625:GB625"/>
    <mergeCell ref="GH625:GK625"/>
    <mergeCell ref="GL625:GO625"/>
    <mergeCell ref="GC625:GF625"/>
    <mergeCell ref="FT628:FX628"/>
    <mergeCell ref="FY628:GB628"/>
    <mergeCell ref="GH628:GK628"/>
    <mergeCell ref="GL628:GO628"/>
    <mergeCell ref="GC628:GF628"/>
    <mergeCell ref="FT627:FX627"/>
    <mergeCell ref="FY627:GB627"/>
    <mergeCell ref="GH627:GK627"/>
    <mergeCell ref="GL627:GO627"/>
    <mergeCell ref="GC627:GF627"/>
    <mergeCell ref="FY629:GB629"/>
    <mergeCell ref="GH629:GK629"/>
    <mergeCell ref="GL629:GO629"/>
    <mergeCell ref="GC629:GF629"/>
    <mergeCell ref="FY632:GB632"/>
    <mergeCell ref="FT614:FX614"/>
    <mergeCell ref="FY614:GB614"/>
    <mergeCell ref="GH614:GK614"/>
    <mergeCell ref="GL614:GO614"/>
    <mergeCell ref="GC614:GF614"/>
    <mergeCell ref="FT613:FX613"/>
    <mergeCell ref="FY613:GB613"/>
    <mergeCell ref="GH613:GK613"/>
    <mergeCell ref="GL613:GO613"/>
    <mergeCell ref="GC613:GF613"/>
    <mergeCell ref="FT616:FX616"/>
    <mergeCell ref="FY616:GB616"/>
    <mergeCell ref="GH616:GK616"/>
    <mergeCell ref="GL616:GO616"/>
    <mergeCell ref="GC616:GF616"/>
    <mergeCell ref="FT615:FX615"/>
    <mergeCell ref="FY615:GB615"/>
    <mergeCell ref="GH615:GK615"/>
    <mergeCell ref="GL615:GO615"/>
    <mergeCell ref="GC615:GF615"/>
    <mergeCell ref="FT618:FX618"/>
    <mergeCell ref="FY618:GB618"/>
    <mergeCell ref="GH618:GK618"/>
    <mergeCell ref="GL618:GO618"/>
    <mergeCell ref="GC618:GF618"/>
    <mergeCell ref="FT617:FX617"/>
    <mergeCell ref="FY617:GB617"/>
    <mergeCell ref="GH617:GK617"/>
    <mergeCell ref="GL617:GO617"/>
    <mergeCell ref="GC617:GF617"/>
    <mergeCell ref="FT620:FX620"/>
    <mergeCell ref="FY620:GB620"/>
    <mergeCell ref="GH620:GK620"/>
    <mergeCell ref="GL620:GO620"/>
    <mergeCell ref="GC620:GF620"/>
    <mergeCell ref="FT619:FX619"/>
    <mergeCell ref="FY619:GB619"/>
    <mergeCell ref="GH619:GK619"/>
    <mergeCell ref="GL619:GO619"/>
    <mergeCell ref="GC619:GF619"/>
    <mergeCell ref="FT606:FX606"/>
    <mergeCell ref="FY606:GB606"/>
    <mergeCell ref="GH606:GK606"/>
    <mergeCell ref="GL606:GO606"/>
    <mergeCell ref="GC606:GF606"/>
    <mergeCell ref="FT605:FX605"/>
    <mergeCell ref="FY605:GB605"/>
    <mergeCell ref="GH605:GK605"/>
    <mergeCell ref="GL605:GO605"/>
    <mergeCell ref="GC605:GF605"/>
    <mergeCell ref="FT608:FX608"/>
    <mergeCell ref="FY608:GB608"/>
    <mergeCell ref="GH608:GK608"/>
    <mergeCell ref="GL608:GO608"/>
    <mergeCell ref="GC608:GF608"/>
    <mergeCell ref="FT607:FX607"/>
    <mergeCell ref="FY607:GB607"/>
    <mergeCell ref="GH607:GK607"/>
    <mergeCell ref="GL607:GO607"/>
    <mergeCell ref="GC607:GF607"/>
    <mergeCell ref="FT610:FX610"/>
    <mergeCell ref="FY610:GB610"/>
    <mergeCell ref="GH610:GK610"/>
    <mergeCell ref="GL610:GO610"/>
    <mergeCell ref="GC610:GF610"/>
    <mergeCell ref="FT609:FX609"/>
    <mergeCell ref="FY609:GB609"/>
    <mergeCell ref="GH609:GK609"/>
    <mergeCell ref="GL609:GO609"/>
    <mergeCell ref="GC609:GF609"/>
    <mergeCell ref="FT612:FX612"/>
    <mergeCell ref="FY612:GB612"/>
    <mergeCell ref="GH612:GK612"/>
    <mergeCell ref="GL612:GO612"/>
    <mergeCell ref="GC612:GF612"/>
    <mergeCell ref="FT611:FX611"/>
    <mergeCell ref="FY611:GB611"/>
    <mergeCell ref="GH611:GK611"/>
    <mergeCell ref="GL611:GO611"/>
    <mergeCell ref="GC611:GF611"/>
    <mergeCell ref="FT598:FX598"/>
    <mergeCell ref="FY598:GB598"/>
    <mergeCell ref="GH598:GK598"/>
    <mergeCell ref="GL598:GO598"/>
    <mergeCell ref="GC598:GF598"/>
    <mergeCell ref="FT597:FX597"/>
    <mergeCell ref="FY597:GB597"/>
    <mergeCell ref="GH597:GK597"/>
    <mergeCell ref="GL597:GO597"/>
    <mergeCell ref="GC597:GF597"/>
    <mergeCell ref="FT600:FX600"/>
    <mergeCell ref="FY600:GB600"/>
    <mergeCell ref="GH600:GK600"/>
    <mergeCell ref="GL600:GO600"/>
    <mergeCell ref="GC600:GF600"/>
    <mergeCell ref="FT599:FX599"/>
    <mergeCell ref="FY599:GB599"/>
    <mergeCell ref="GH599:GK599"/>
    <mergeCell ref="GL599:GO599"/>
    <mergeCell ref="GC599:GF599"/>
    <mergeCell ref="FT602:FX602"/>
    <mergeCell ref="FY602:GB602"/>
    <mergeCell ref="GH602:GK602"/>
    <mergeCell ref="GL602:GO602"/>
    <mergeCell ref="GC602:GF602"/>
    <mergeCell ref="FT601:FX601"/>
    <mergeCell ref="FY601:GB601"/>
    <mergeCell ref="GH601:GK601"/>
    <mergeCell ref="GL601:GO601"/>
    <mergeCell ref="GC601:GF601"/>
    <mergeCell ref="FT604:FX604"/>
    <mergeCell ref="FY604:GB604"/>
    <mergeCell ref="GH604:GK604"/>
    <mergeCell ref="GL604:GO604"/>
    <mergeCell ref="GC604:GF604"/>
    <mergeCell ref="FT603:FX603"/>
    <mergeCell ref="FY603:GB603"/>
    <mergeCell ref="GH603:GK603"/>
    <mergeCell ref="GL603:GO603"/>
    <mergeCell ref="GC603:GF603"/>
    <mergeCell ref="FT590:FX590"/>
    <mergeCell ref="FY590:GB590"/>
    <mergeCell ref="GH590:GK590"/>
    <mergeCell ref="GL590:GO590"/>
    <mergeCell ref="GC590:GF590"/>
    <mergeCell ref="FT589:FX589"/>
    <mergeCell ref="FY589:GB589"/>
    <mergeCell ref="GH589:GK589"/>
    <mergeCell ref="GL589:GO589"/>
    <mergeCell ref="GC589:GF589"/>
    <mergeCell ref="FT592:FX592"/>
    <mergeCell ref="FY592:GB592"/>
    <mergeCell ref="GH592:GK592"/>
    <mergeCell ref="GL592:GO592"/>
    <mergeCell ref="GC592:GF592"/>
    <mergeCell ref="FT591:FX591"/>
    <mergeCell ref="FY591:GB591"/>
    <mergeCell ref="GH591:GK591"/>
    <mergeCell ref="GL591:GO591"/>
    <mergeCell ref="GC591:GF591"/>
    <mergeCell ref="FT594:FX594"/>
    <mergeCell ref="FY594:GB594"/>
    <mergeCell ref="GH594:GK594"/>
    <mergeCell ref="GL594:GO594"/>
    <mergeCell ref="GC594:GF594"/>
    <mergeCell ref="FT593:FX593"/>
    <mergeCell ref="FY593:GB593"/>
    <mergeCell ref="GH593:GK593"/>
    <mergeCell ref="GL593:GO593"/>
    <mergeCell ref="GC593:GF593"/>
    <mergeCell ref="FT596:FX596"/>
    <mergeCell ref="FY596:GB596"/>
    <mergeCell ref="GH596:GK596"/>
    <mergeCell ref="GL596:GO596"/>
    <mergeCell ref="GC596:GF596"/>
    <mergeCell ref="FT595:FX595"/>
    <mergeCell ref="FY595:GB595"/>
    <mergeCell ref="GH595:GK595"/>
    <mergeCell ref="GL595:GO595"/>
    <mergeCell ref="GC595:GF595"/>
    <mergeCell ref="FT582:FX582"/>
    <mergeCell ref="FY582:GB582"/>
    <mergeCell ref="GH582:GK582"/>
    <mergeCell ref="GL582:GO582"/>
    <mergeCell ref="GC582:GF582"/>
    <mergeCell ref="FT581:FX581"/>
    <mergeCell ref="FY581:GB581"/>
    <mergeCell ref="GH581:GK581"/>
    <mergeCell ref="GL581:GO581"/>
    <mergeCell ref="GC581:GF581"/>
    <mergeCell ref="FT584:FX584"/>
    <mergeCell ref="FY584:GB584"/>
    <mergeCell ref="GH584:GK584"/>
    <mergeCell ref="GL584:GO584"/>
    <mergeCell ref="GC584:GF584"/>
    <mergeCell ref="FT583:FX583"/>
    <mergeCell ref="FY583:GB583"/>
    <mergeCell ref="GH583:GK583"/>
    <mergeCell ref="GL583:GO583"/>
    <mergeCell ref="GC583:GF583"/>
    <mergeCell ref="FT586:FX586"/>
    <mergeCell ref="FY586:GB586"/>
    <mergeCell ref="GH586:GK586"/>
    <mergeCell ref="GL586:GO586"/>
    <mergeCell ref="GC586:GF586"/>
    <mergeCell ref="FT585:FX585"/>
    <mergeCell ref="FY585:GB585"/>
    <mergeCell ref="GH585:GK585"/>
    <mergeCell ref="GL585:GO585"/>
    <mergeCell ref="GC585:GF585"/>
    <mergeCell ref="FT588:FX588"/>
    <mergeCell ref="FY588:GB588"/>
    <mergeCell ref="GH588:GK588"/>
    <mergeCell ref="GL588:GO588"/>
    <mergeCell ref="GC588:GF588"/>
    <mergeCell ref="FT587:FX587"/>
    <mergeCell ref="FY587:GB587"/>
    <mergeCell ref="GH587:GK587"/>
    <mergeCell ref="GL587:GO587"/>
    <mergeCell ref="GC587:GF587"/>
    <mergeCell ref="FT574:FX574"/>
    <mergeCell ref="FY574:GB574"/>
    <mergeCell ref="GH574:GK574"/>
    <mergeCell ref="GL574:GO574"/>
    <mergeCell ref="GC574:GF574"/>
    <mergeCell ref="FT573:FX573"/>
    <mergeCell ref="FY573:GB573"/>
    <mergeCell ref="GH573:GK573"/>
    <mergeCell ref="GL573:GO573"/>
    <mergeCell ref="GC573:GF573"/>
    <mergeCell ref="FT576:FX576"/>
    <mergeCell ref="FY576:GB576"/>
    <mergeCell ref="GH576:GK576"/>
    <mergeCell ref="GL576:GO576"/>
    <mergeCell ref="GC576:GF576"/>
    <mergeCell ref="FT575:FX575"/>
    <mergeCell ref="FY575:GB575"/>
    <mergeCell ref="GH575:GK575"/>
    <mergeCell ref="GL575:GO575"/>
    <mergeCell ref="GC575:GF575"/>
    <mergeCell ref="FT578:FX578"/>
    <mergeCell ref="FY578:GB578"/>
    <mergeCell ref="GH578:GK578"/>
    <mergeCell ref="GL578:GO578"/>
    <mergeCell ref="GC578:GF578"/>
    <mergeCell ref="FT577:FX577"/>
    <mergeCell ref="FY577:GB577"/>
    <mergeCell ref="GH577:GK577"/>
    <mergeCell ref="GL577:GO577"/>
    <mergeCell ref="GC577:GF577"/>
    <mergeCell ref="FT580:FX580"/>
    <mergeCell ref="FY580:GB580"/>
    <mergeCell ref="GH580:GK580"/>
    <mergeCell ref="GL580:GO580"/>
    <mergeCell ref="GC580:GF580"/>
    <mergeCell ref="FT579:FX579"/>
    <mergeCell ref="FY579:GB579"/>
    <mergeCell ref="GH579:GK579"/>
    <mergeCell ref="GL579:GO579"/>
    <mergeCell ref="GC579:GF579"/>
    <mergeCell ref="FT566:FX566"/>
    <mergeCell ref="FY566:GB566"/>
    <mergeCell ref="GH566:GK566"/>
    <mergeCell ref="GL566:GO566"/>
    <mergeCell ref="GC566:GF566"/>
    <mergeCell ref="FT565:FX565"/>
    <mergeCell ref="FY565:GB565"/>
    <mergeCell ref="GH565:GK565"/>
    <mergeCell ref="GL565:GO565"/>
    <mergeCell ref="GC565:GF565"/>
    <mergeCell ref="FT568:FX568"/>
    <mergeCell ref="FY568:GB568"/>
    <mergeCell ref="GH568:GK568"/>
    <mergeCell ref="GL568:GO568"/>
    <mergeCell ref="GC568:GF568"/>
    <mergeCell ref="FT567:FX567"/>
    <mergeCell ref="FY567:GB567"/>
    <mergeCell ref="GH567:GK567"/>
    <mergeCell ref="GL567:GO567"/>
    <mergeCell ref="GC567:GF567"/>
    <mergeCell ref="FT570:FX570"/>
    <mergeCell ref="FY570:GB570"/>
    <mergeCell ref="GH570:GK570"/>
    <mergeCell ref="GL570:GO570"/>
    <mergeCell ref="GC570:GF570"/>
    <mergeCell ref="FT569:FX569"/>
    <mergeCell ref="FY569:GB569"/>
    <mergeCell ref="GH569:GK569"/>
    <mergeCell ref="GL569:GO569"/>
    <mergeCell ref="GC569:GF569"/>
    <mergeCell ref="FT572:FX572"/>
    <mergeCell ref="FY572:GB572"/>
    <mergeCell ref="GH572:GK572"/>
    <mergeCell ref="GL572:GO572"/>
    <mergeCell ref="GC572:GF572"/>
    <mergeCell ref="FT571:FX571"/>
    <mergeCell ref="FY571:GB571"/>
    <mergeCell ref="GH571:GK571"/>
    <mergeCell ref="GL571:GO571"/>
    <mergeCell ref="GC571:GF571"/>
    <mergeCell ref="FT558:FX558"/>
    <mergeCell ref="FY558:GB558"/>
    <mergeCell ref="GH558:GK558"/>
    <mergeCell ref="GL558:GO558"/>
    <mergeCell ref="GC558:GF558"/>
    <mergeCell ref="FT557:FX557"/>
    <mergeCell ref="FY557:GB557"/>
    <mergeCell ref="GH557:GK557"/>
    <mergeCell ref="GL557:GO557"/>
    <mergeCell ref="GC557:GF557"/>
    <mergeCell ref="FT560:FX560"/>
    <mergeCell ref="FY560:GB560"/>
    <mergeCell ref="GH560:GK560"/>
    <mergeCell ref="GL560:GO560"/>
    <mergeCell ref="GC560:GF560"/>
    <mergeCell ref="FT559:FX559"/>
    <mergeCell ref="FY559:GB559"/>
    <mergeCell ref="GH559:GK559"/>
    <mergeCell ref="GL559:GO559"/>
    <mergeCell ref="GC559:GF559"/>
    <mergeCell ref="FT562:FX562"/>
    <mergeCell ref="FY562:GB562"/>
    <mergeCell ref="GH562:GK562"/>
    <mergeCell ref="GL562:GO562"/>
    <mergeCell ref="GC562:GF562"/>
    <mergeCell ref="FT561:FX561"/>
    <mergeCell ref="FY561:GB561"/>
    <mergeCell ref="GH561:GK561"/>
    <mergeCell ref="GL561:GO561"/>
    <mergeCell ref="GC561:GF561"/>
    <mergeCell ref="FT564:FX564"/>
    <mergeCell ref="FY564:GB564"/>
    <mergeCell ref="GH564:GK564"/>
    <mergeCell ref="GL564:GO564"/>
    <mergeCell ref="GC564:GF564"/>
    <mergeCell ref="FT563:FX563"/>
    <mergeCell ref="FY563:GB563"/>
    <mergeCell ref="GH563:GK563"/>
    <mergeCell ref="GL563:GO563"/>
    <mergeCell ref="GC563:GF563"/>
    <mergeCell ref="FT550:FX550"/>
    <mergeCell ref="FY550:GB550"/>
    <mergeCell ref="GH550:GK550"/>
    <mergeCell ref="GL550:GO550"/>
    <mergeCell ref="GC550:GF550"/>
    <mergeCell ref="FT549:FX549"/>
    <mergeCell ref="FY549:GB549"/>
    <mergeCell ref="GH549:GK549"/>
    <mergeCell ref="GL549:GO549"/>
    <mergeCell ref="GC549:GF549"/>
    <mergeCell ref="FT552:FX552"/>
    <mergeCell ref="FY552:GB552"/>
    <mergeCell ref="GH552:GK552"/>
    <mergeCell ref="GL552:GO552"/>
    <mergeCell ref="GC552:GF552"/>
    <mergeCell ref="FT551:FX551"/>
    <mergeCell ref="FY551:GB551"/>
    <mergeCell ref="GH551:GK551"/>
    <mergeCell ref="GL551:GO551"/>
    <mergeCell ref="GC551:GF551"/>
    <mergeCell ref="FT554:FX554"/>
    <mergeCell ref="FY554:GB554"/>
    <mergeCell ref="GH554:GK554"/>
    <mergeCell ref="GL554:GO554"/>
    <mergeCell ref="GC554:GF554"/>
    <mergeCell ref="FT553:FX553"/>
    <mergeCell ref="FY553:GB553"/>
    <mergeCell ref="GH553:GK553"/>
    <mergeCell ref="GL553:GO553"/>
    <mergeCell ref="GC553:GF553"/>
    <mergeCell ref="FT556:FX556"/>
    <mergeCell ref="FY556:GB556"/>
    <mergeCell ref="GH556:GK556"/>
    <mergeCell ref="GL556:GO556"/>
    <mergeCell ref="GC556:GF556"/>
    <mergeCell ref="FT555:FX555"/>
    <mergeCell ref="FY555:GB555"/>
    <mergeCell ref="GH555:GK555"/>
    <mergeCell ref="GL555:GO555"/>
    <mergeCell ref="GC555:GF555"/>
    <mergeCell ref="FT542:FX542"/>
    <mergeCell ref="FY542:GB542"/>
    <mergeCell ref="GH542:GK542"/>
    <mergeCell ref="GL542:GO542"/>
    <mergeCell ref="GC542:GF542"/>
    <mergeCell ref="FT541:FX541"/>
    <mergeCell ref="FY541:GB541"/>
    <mergeCell ref="GH541:GK541"/>
    <mergeCell ref="GL541:GO541"/>
    <mergeCell ref="GC541:GF541"/>
    <mergeCell ref="FT544:FX544"/>
    <mergeCell ref="FY544:GB544"/>
    <mergeCell ref="GH544:GK544"/>
    <mergeCell ref="GL544:GO544"/>
    <mergeCell ref="GC544:GF544"/>
    <mergeCell ref="FT543:FX543"/>
    <mergeCell ref="FY543:GB543"/>
    <mergeCell ref="GH543:GK543"/>
    <mergeCell ref="GL543:GO543"/>
    <mergeCell ref="GC543:GF543"/>
    <mergeCell ref="FT546:FX546"/>
    <mergeCell ref="FY546:GB546"/>
    <mergeCell ref="GH546:GK546"/>
    <mergeCell ref="GL546:GO546"/>
    <mergeCell ref="GC546:GF546"/>
    <mergeCell ref="FT545:FX545"/>
    <mergeCell ref="FY545:GB545"/>
    <mergeCell ref="GH545:GK545"/>
    <mergeCell ref="GL545:GO545"/>
    <mergeCell ref="GC545:GF545"/>
    <mergeCell ref="FT548:FX548"/>
    <mergeCell ref="FY548:GB548"/>
    <mergeCell ref="GH548:GK548"/>
    <mergeCell ref="GL548:GO548"/>
    <mergeCell ref="GC548:GF548"/>
    <mergeCell ref="FT547:FX547"/>
    <mergeCell ref="FY547:GB547"/>
    <mergeCell ref="GH547:GK547"/>
    <mergeCell ref="GL547:GO547"/>
    <mergeCell ref="GC547:GF547"/>
    <mergeCell ref="FT534:FX534"/>
    <mergeCell ref="FY534:GB534"/>
    <mergeCell ref="GH534:GK534"/>
    <mergeCell ref="GL534:GO534"/>
    <mergeCell ref="GC534:GF534"/>
    <mergeCell ref="FT533:FX533"/>
    <mergeCell ref="FY533:GB533"/>
    <mergeCell ref="GH533:GK533"/>
    <mergeCell ref="GL533:GO533"/>
    <mergeCell ref="GC533:GF533"/>
    <mergeCell ref="FT536:FX536"/>
    <mergeCell ref="FY536:GB536"/>
    <mergeCell ref="GH536:GK536"/>
    <mergeCell ref="GL536:GO536"/>
    <mergeCell ref="GC536:GF536"/>
    <mergeCell ref="FT535:FX535"/>
    <mergeCell ref="FY535:GB535"/>
    <mergeCell ref="GH535:GK535"/>
    <mergeCell ref="GL535:GO535"/>
    <mergeCell ref="GC535:GF535"/>
    <mergeCell ref="FT538:FX538"/>
    <mergeCell ref="FY538:GB538"/>
    <mergeCell ref="GH538:GK538"/>
    <mergeCell ref="GL538:GO538"/>
    <mergeCell ref="GC538:GF538"/>
    <mergeCell ref="FT537:FX537"/>
    <mergeCell ref="FY537:GB537"/>
    <mergeCell ref="GH537:GK537"/>
    <mergeCell ref="GL537:GO537"/>
    <mergeCell ref="GC537:GF537"/>
    <mergeCell ref="FT540:FX540"/>
    <mergeCell ref="FY540:GB540"/>
    <mergeCell ref="GH540:GK540"/>
    <mergeCell ref="GL540:GO540"/>
    <mergeCell ref="GC540:GF540"/>
    <mergeCell ref="FT539:FX539"/>
    <mergeCell ref="FY539:GB539"/>
    <mergeCell ref="GH539:GK539"/>
    <mergeCell ref="GL539:GO539"/>
    <mergeCell ref="GC539:GF539"/>
    <mergeCell ref="FT526:FX526"/>
    <mergeCell ref="FY526:GB526"/>
    <mergeCell ref="GH526:GK526"/>
    <mergeCell ref="GL526:GO526"/>
    <mergeCell ref="GC526:GF526"/>
    <mergeCell ref="FT525:FX525"/>
    <mergeCell ref="FY525:GB525"/>
    <mergeCell ref="GH525:GK525"/>
    <mergeCell ref="GL525:GO525"/>
    <mergeCell ref="GC525:GF525"/>
    <mergeCell ref="FT528:FX528"/>
    <mergeCell ref="FY528:GB528"/>
    <mergeCell ref="GH528:GK528"/>
    <mergeCell ref="GL528:GO528"/>
    <mergeCell ref="GC528:GF528"/>
    <mergeCell ref="FT527:FX527"/>
    <mergeCell ref="FY527:GB527"/>
    <mergeCell ref="GH527:GK527"/>
    <mergeCell ref="GL527:GO527"/>
    <mergeCell ref="GC527:GF527"/>
    <mergeCell ref="FT530:FX530"/>
    <mergeCell ref="FY530:GB530"/>
    <mergeCell ref="GH530:GK530"/>
    <mergeCell ref="GL530:GO530"/>
    <mergeCell ref="GC530:GF530"/>
    <mergeCell ref="FT529:FX529"/>
    <mergeCell ref="FY529:GB529"/>
    <mergeCell ref="GH529:GK529"/>
    <mergeCell ref="GL529:GO529"/>
    <mergeCell ref="GC529:GF529"/>
    <mergeCell ref="FT532:FX532"/>
    <mergeCell ref="FY532:GB532"/>
    <mergeCell ref="GH532:GK532"/>
    <mergeCell ref="GL532:GO532"/>
    <mergeCell ref="GC532:GF532"/>
    <mergeCell ref="FT531:FX531"/>
    <mergeCell ref="FY531:GB531"/>
    <mergeCell ref="GH531:GK531"/>
    <mergeCell ref="GL531:GO531"/>
    <mergeCell ref="GC531:GF531"/>
    <mergeCell ref="FT518:FX518"/>
    <mergeCell ref="FY518:GB518"/>
    <mergeCell ref="GH518:GK518"/>
    <mergeCell ref="GL518:GO518"/>
    <mergeCell ref="GC518:GF518"/>
    <mergeCell ref="FT517:FX517"/>
    <mergeCell ref="FY517:GB517"/>
    <mergeCell ref="GH517:GK517"/>
    <mergeCell ref="GL517:GO517"/>
    <mergeCell ref="GC517:GF517"/>
    <mergeCell ref="FT520:FX520"/>
    <mergeCell ref="FY520:GB520"/>
    <mergeCell ref="GH520:GK520"/>
    <mergeCell ref="GL520:GO520"/>
    <mergeCell ref="GC520:GF520"/>
    <mergeCell ref="FT519:FX519"/>
    <mergeCell ref="FY519:GB519"/>
    <mergeCell ref="GH519:GK519"/>
    <mergeCell ref="GL519:GO519"/>
    <mergeCell ref="GC519:GF519"/>
    <mergeCell ref="FT522:FX522"/>
    <mergeCell ref="FY522:GB522"/>
    <mergeCell ref="GH522:GK522"/>
    <mergeCell ref="GL522:GO522"/>
    <mergeCell ref="GC522:GF522"/>
    <mergeCell ref="FT521:FX521"/>
    <mergeCell ref="FY521:GB521"/>
    <mergeCell ref="GH521:GK521"/>
    <mergeCell ref="GL521:GO521"/>
    <mergeCell ref="GC521:GF521"/>
    <mergeCell ref="FT524:FX524"/>
    <mergeCell ref="FY524:GB524"/>
    <mergeCell ref="GH524:GK524"/>
    <mergeCell ref="GL524:GO524"/>
    <mergeCell ref="GC524:GF524"/>
    <mergeCell ref="FT523:FX523"/>
    <mergeCell ref="FY523:GB523"/>
    <mergeCell ref="GH523:GK523"/>
    <mergeCell ref="GL523:GO523"/>
    <mergeCell ref="GC523:GF523"/>
    <mergeCell ref="FT510:FX510"/>
    <mergeCell ref="FY510:GB510"/>
    <mergeCell ref="GH510:GK510"/>
    <mergeCell ref="GL510:GO510"/>
    <mergeCell ref="GC510:GF510"/>
    <mergeCell ref="FT509:FX509"/>
    <mergeCell ref="FY509:GB509"/>
    <mergeCell ref="GH509:GK509"/>
    <mergeCell ref="GL509:GO509"/>
    <mergeCell ref="GC509:GF509"/>
    <mergeCell ref="FT512:FX512"/>
    <mergeCell ref="FY512:GB512"/>
    <mergeCell ref="GH512:GK512"/>
    <mergeCell ref="GL512:GO512"/>
    <mergeCell ref="GC512:GF512"/>
    <mergeCell ref="FT511:FX511"/>
    <mergeCell ref="FY511:GB511"/>
    <mergeCell ref="GH511:GK511"/>
    <mergeCell ref="GL511:GO511"/>
    <mergeCell ref="GC511:GF511"/>
    <mergeCell ref="FT514:FX514"/>
    <mergeCell ref="FY514:GB514"/>
    <mergeCell ref="GH514:GK514"/>
    <mergeCell ref="GL514:GO514"/>
    <mergeCell ref="GC514:GF514"/>
    <mergeCell ref="FT513:FX513"/>
    <mergeCell ref="FY513:GB513"/>
    <mergeCell ref="GH513:GK513"/>
    <mergeCell ref="GL513:GO513"/>
    <mergeCell ref="GC513:GF513"/>
    <mergeCell ref="FT516:FX516"/>
    <mergeCell ref="FY516:GB516"/>
    <mergeCell ref="GH516:GK516"/>
    <mergeCell ref="GL516:GO516"/>
    <mergeCell ref="GC516:GF516"/>
    <mergeCell ref="FT515:FX515"/>
    <mergeCell ref="FY515:GB515"/>
    <mergeCell ref="GH515:GK515"/>
    <mergeCell ref="GL515:GO515"/>
    <mergeCell ref="GC515:GF515"/>
    <mergeCell ref="FT502:FX502"/>
    <mergeCell ref="FY502:GB502"/>
    <mergeCell ref="GH502:GK502"/>
    <mergeCell ref="GL502:GO502"/>
    <mergeCell ref="GC502:GF502"/>
    <mergeCell ref="FT501:FX501"/>
    <mergeCell ref="FY501:GB501"/>
    <mergeCell ref="GH501:GK501"/>
    <mergeCell ref="GL501:GO501"/>
    <mergeCell ref="GC501:GF501"/>
    <mergeCell ref="FT504:FX504"/>
    <mergeCell ref="FY504:GB504"/>
    <mergeCell ref="GH504:GK504"/>
    <mergeCell ref="GL504:GO504"/>
    <mergeCell ref="GC504:GF504"/>
    <mergeCell ref="FT503:FX503"/>
    <mergeCell ref="FY503:GB503"/>
    <mergeCell ref="GH503:GK503"/>
    <mergeCell ref="GL503:GO503"/>
    <mergeCell ref="GC503:GF503"/>
    <mergeCell ref="FT506:FX506"/>
    <mergeCell ref="FY506:GB506"/>
    <mergeCell ref="GH506:GK506"/>
    <mergeCell ref="GL506:GO506"/>
    <mergeCell ref="GC506:GF506"/>
    <mergeCell ref="FT505:FX505"/>
    <mergeCell ref="FY505:GB505"/>
    <mergeCell ref="GH505:GK505"/>
    <mergeCell ref="GL505:GO505"/>
    <mergeCell ref="GC505:GF505"/>
    <mergeCell ref="FT508:FX508"/>
    <mergeCell ref="FY508:GB508"/>
    <mergeCell ref="GH508:GK508"/>
    <mergeCell ref="GL508:GO508"/>
    <mergeCell ref="GC508:GF508"/>
    <mergeCell ref="FT507:FX507"/>
    <mergeCell ref="FY507:GB507"/>
    <mergeCell ref="GH507:GK507"/>
    <mergeCell ref="GL507:GO507"/>
    <mergeCell ref="GC507:GF507"/>
    <mergeCell ref="FT494:FX494"/>
    <mergeCell ref="FY494:GB494"/>
    <mergeCell ref="GH494:GK494"/>
    <mergeCell ref="GL494:GO494"/>
    <mergeCell ref="GC494:GF494"/>
    <mergeCell ref="FT493:FX493"/>
    <mergeCell ref="FY493:GB493"/>
    <mergeCell ref="GH493:GK493"/>
    <mergeCell ref="GL493:GO493"/>
    <mergeCell ref="GC493:GF493"/>
    <mergeCell ref="FT496:FX496"/>
    <mergeCell ref="FY496:GB496"/>
    <mergeCell ref="GH496:GK496"/>
    <mergeCell ref="GL496:GO496"/>
    <mergeCell ref="GC496:GF496"/>
    <mergeCell ref="FT495:FX495"/>
    <mergeCell ref="FY495:GB495"/>
    <mergeCell ref="GH495:GK495"/>
    <mergeCell ref="GL495:GO495"/>
    <mergeCell ref="GC495:GF495"/>
    <mergeCell ref="FT498:FX498"/>
    <mergeCell ref="FY498:GB498"/>
    <mergeCell ref="GH498:GK498"/>
    <mergeCell ref="GL498:GO498"/>
    <mergeCell ref="GC498:GF498"/>
    <mergeCell ref="FT497:FX497"/>
    <mergeCell ref="FY497:GB497"/>
    <mergeCell ref="GH497:GK497"/>
    <mergeCell ref="GL497:GO497"/>
    <mergeCell ref="GC497:GF497"/>
    <mergeCell ref="FT500:FX500"/>
    <mergeCell ref="FY500:GB500"/>
    <mergeCell ref="GH500:GK500"/>
    <mergeCell ref="GL500:GO500"/>
    <mergeCell ref="GC500:GF500"/>
    <mergeCell ref="FT499:FX499"/>
    <mergeCell ref="FY499:GB499"/>
    <mergeCell ref="GH499:GK499"/>
    <mergeCell ref="GL499:GO499"/>
    <mergeCell ref="GC499:GF499"/>
    <mergeCell ref="FT486:FX486"/>
    <mergeCell ref="FY486:GB486"/>
    <mergeCell ref="GH486:GK486"/>
    <mergeCell ref="GL486:GO486"/>
    <mergeCell ref="GC486:GF486"/>
    <mergeCell ref="FT485:FX485"/>
    <mergeCell ref="FY485:GB485"/>
    <mergeCell ref="GH485:GK485"/>
    <mergeCell ref="GL485:GO485"/>
    <mergeCell ref="GC485:GF485"/>
    <mergeCell ref="FT488:FX488"/>
    <mergeCell ref="FY488:GB488"/>
    <mergeCell ref="GH488:GK488"/>
    <mergeCell ref="GL488:GO488"/>
    <mergeCell ref="GC488:GF488"/>
    <mergeCell ref="FT487:FX487"/>
    <mergeCell ref="FY487:GB487"/>
    <mergeCell ref="GH487:GK487"/>
    <mergeCell ref="GL487:GO487"/>
    <mergeCell ref="GC487:GF487"/>
    <mergeCell ref="FT490:FX490"/>
    <mergeCell ref="FY490:GB490"/>
    <mergeCell ref="GH490:GK490"/>
    <mergeCell ref="GL490:GO490"/>
    <mergeCell ref="GC490:GF490"/>
    <mergeCell ref="FT489:FX489"/>
    <mergeCell ref="FY489:GB489"/>
    <mergeCell ref="GH489:GK489"/>
    <mergeCell ref="GL489:GO489"/>
    <mergeCell ref="GC489:GF489"/>
    <mergeCell ref="FT492:FX492"/>
    <mergeCell ref="FY492:GB492"/>
    <mergeCell ref="GH492:GK492"/>
    <mergeCell ref="GL492:GO492"/>
    <mergeCell ref="GC492:GF492"/>
    <mergeCell ref="FT491:FX491"/>
    <mergeCell ref="FY491:GB491"/>
    <mergeCell ref="GH491:GK491"/>
    <mergeCell ref="GL491:GO491"/>
    <mergeCell ref="GC491:GF491"/>
    <mergeCell ref="FT478:FX478"/>
    <mergeCell ref="FY478:GB478"/>
    <mergeCell ref="GH478:GK478"/>
    <mergeCell ref="GL478:GO478"/>
    <mergeCell ref="GC478:GF478"/>
    <mergeCell ref="FT477:FX477"/>
    <mergeCell ref="FY477:GB477"/>
    <mergeCell ref="GH477:GK477"/>
    <mergeCell ref="GL477:GO477"/>
    <mergeCell ref="GC477:GF477"/>
    <mergeCell ref="FT480:FX480"/>
    <mergeCell ref="FY480:GB480"/>
    <mergeCell ref="GH480:GK480"/>
    <mergeCell ref="GL480:GO480"/>
    <mergeCell ref="GC480:GF480"/>
    <mergeCell ref="FT479:FX479"/>
    <mergeCell ref="FY479:GB479"/>
    <mergeCell ref="GH479:GK479"/>
    <mergeCell ref="GL479:GO479"/>
    <mergeCell ref="GC479:GF479"/>
    <mergeCell ref="FT482:FX482"/>
    <mergeCell ref="FY482:GB482"/>
    <mergeCell ref="GH482:GK482"/>
    <mergeCell ref="GL482:GO482"/>
    <mergeCell ref="GC482:GF482"/>
    <mergeCell ref="FT481:FX481"/>
    <mergeCell ref="FY481:GB481"/>
    <mergeCell ref="GH481:GK481"/>
    <mergeCell ref="GL481:GO481"/>
    <mergeCell ref="GC481:GF481"/>
    <mergeCell ref="FT484:FX484"/>
    <mergeCell ref="FY484:GB484"/>
    <mergeCell ref="GH484:GK484"/>
    <mergeCell ref="GL484:GO484"/>
    <mergeCell ref="GC484:GF484"/>
    <mergeCell ref="FT483:FX483"/>
    <mergeCell ref="FY483:GB483"/>
    <mergeCell ref="GH483:GK483"/>
    <mergeCell ref="GL483:GO483"/>
    <mergeCell ref="GC483:GF483"/>
    <mergeCell ref="FT470:FX470"/>
    <mergeCell ref="FY470:GB470"/>
    <mergeCell ref="GH470:GK470"/>
    <mergeCell ref="GL470:GO470"/>
    <mergeCell ref="GC470:GF470"/>
    <mergeCell ref="FT469:FX469"/>
    <mergeCell ref="FY469:GB469"/>
    <mergeCell ref="GH469:GK469"/>
    <mergeCell ref="GL469:GO469"/>
    <mergeCell ref="GC469:GF469"/>
    <mergeCell ref="FT472:FX472"/>
    <mergeCell ref="FY472:GB472"/>
    <mergeCell ref="GH472:GK472"/>
    <mergeCell ref="GL472:GO472"/>
    <mergeCell ref="GC472:GF472"/>
    <mergeCell ref="FT471:FX471"/>
    <mergeCell ref="FY471:GB471"/>
    <mergeCell ref="GH471:GK471"/>
    <mergeCell ref="GL471:GO471"/>
    <mergeCell ref="GC471:GF471"/>
    <mergeCell ref="FT474:FX474"/>
    <mergeCell ref="FY474:GB474"/>
    <mergeCell ref="GH474:GK474"/>
    <mergeCell ref="GL474:GO474"/>
    <mergeCell ref="GC474:GF474"/>
    <mergeCell ref="FT473:FX473"/>
    <mergeCell ref="FY473:GB473"/>
    <mergeCell ref="GH473:GK473"/>
    <mergeCell ref="GL473:GO473"/>
    <mergeCell ref="GC473:GF473"/>
    <mergeCell ref="FT476:FX476"/>
    <mergeCell ref="FY476:GB476"/>
    <mergeCell ref="GH476:GK476"/>
    <mergeCell ref="GL476:GO476"/>
    <mergeCell ref="GC476:GF476"/>
    <mergeCell ref="FT475:FX475"/>
    <mergeCell ref="FY475:GB475"/>
    <mergeCell ref="GH475:GK475"/>
    <mergeCell ref="GL475:GO475"/>
    <mergeCell ref="GC475:GF475"/>
    <mergeCell ref="FT462:FX462"/>
    <mergeCell ref="FY462:GB462"/>
    <mergeCell ref="GH462:GK462"/>
    <mergeCell ref="GL462:GO462"/>
    <mergeCell ref="GC462:GF462"/>
    <mergeCell ref="FT461:FX461"/>
    <mergeCell ref="FY461:GB461"/>
    <mergeCell ref="GH461:GK461"/>
    <mergeCell ref="GL461:GO461"/>
    <mergeCell ref="GC461:GF461"/>
    <mergeCell ref="FT464:FX464"/>
    <mergeCell ref="FY464:GB464"/>
    <mergeCell ref="GH464:GK464"/>
    <mergeCell ref="GL464:GO464"/>
    <mergeCell ref="GC464:GF464"/>
    <mergeCell ref="FT463:FX463"/>
    <mergeCell ref="FY463:GB463"/>
    <mergeCell ref="GH463:GK463"/>
    <mergeCell ref="GL463:GO463"/>
    <mergeCell ref="GC463:GF463"/>
    <mergeCell ref="FT466:FX466"/>
    <mergeCell ref="FY466:GB466"/>
    <mergeCell ref="GH466:GK466"/>
    <mergeCell ref="GL466:GO466"/>
    <mergeCell ref="GC466:GF466"/>
    <mergeCell ref="FT465:FX465"/>
    <mergeCell ref="FY465:GB465"/>
    <mergeCell ref="GH465:GK465"/>
    <mergeCell ref="GL465:GO465"/>
    <mergeCell ref="GC465:GF465"/>
    <mergeCell ref="FT468:FX468"/>
    <mergeCell ref="FY468:GB468"/>
    <mergeCell ref="GH468:GK468"/>
    <mergeCell ref="GL468:GO468"/>
    <mergeCell ref="GC468:GF468"/>
    <mergeCell ref="FT467:FX467"/>
    <mergeCell ref="FY467:GB467"/>
    <mergeCell ref="GH467:GK467"/>
    <mergeCell ref="GL467:GO467"/>
    <mergeCell ref="GC467:GF467"/>
    <mergeCell ref="FT454:FX454"/>
    <mergeCell ref="FY454:GB454"/>
    <mergeCell ref="GH454:GK454"/>
    <mergeCell ref="GL454:GO454"/>
    <mergeCell ref="GC454:GF454"/>
    <mergeCell ref="FT453:FX453"/>
    <mergeCell ref="FY453:GB453"/>
    <mergeCell ref="GH453:GK453"/>
    <mergeCell ref="GL453:GO453"/>
    <mergeCell ref="GC453:GF453"/>
    <mergeCell ref="FT456:FX456"/>
    <mergeCell ref="FY456:GB456"/>
    <mergeCell ref="GH456:GK456"/>
    <mergeCell ref="GL456:GO456"/>
    <mergeCell ref="GC456:GF456"/>
    <mergeCell ref="FT455:FX455"/>
    <mergeCell ref="FY455:GB455"/>
    <mergeCell ref="GH455:GK455"/>
    <mergeCell ref="GL455:GO455"/>
    <mergeCell ref="GC455:GF455"/>
    <mergeCell ref="FT458:FX458"/>
    <mergeCell ref="FY458:GB458"/>
    <mergeCell ref="GH458:GK458"/>
    <mergeCell ref="GL458:GO458"/>
    <mergeCell ref="GC458:GF458"/>
    <mergeCell ref="FT457:FX457"/>
    <mergeCell ref="FY457:GB457"/>
    <mergeCell ref="GH457:GK457"/>
    <mergeCell ref="GL457:GO457"/>
    <mergeCell ref="GC457:GF457"/>
    <mergeCell ref="FT460:FX460"/>
    <mergeCell ref="FY460:GB460"/>
    <mergeCell ref="GH460:GK460"/>
    <mergeCell ref="GL460:GO460"/>
    <mergeCell ref="GC460:GF460"/>
    <mergeCell ref="FT459:FX459"/>
    <mergeCell ref="FY459:GB459"/>
    <mergeCell ref="GH459:GK459"/>
    <mergeCell ref="GL459:GO459"/>
    <mergeCell ref="GC459:GF459"/>
    <mergeCell ref="FT446:FX446"/>
    <mergeCell ref="FY446:GB446"/>
    <mergeCell ref="GH446:GK446"/>
    <mergeCell ref="GL446:GO446"/>
    <mergeCell ref="GC446:GF446"/>
    <mergeCell ref="FT445:FX445"/>
    <mergeCell ref="FY445:GB445"/>
    <mergeCell ref="GH445:GK445"/>
    <mergeCell ref="GL445:GO445"/>
    <mergeCell ref="GC445:GF445"/>
    <mergeCell ref="FT448:FX448"/>
    <mergeCell ref="FY448:GB448"/>
    <mergeCell ref="GH448:GK448"/>
    <mergeCell ref="GL448:GO448"/>
    <mergeCell ref="GC448:GF448"/>
    <mergeCell ref="FT447:FX447"/>
    <mergeCell ref="FY447:GB447"/>
    <mergeCell ref="GH447:GK447"/>
    <mergeCell ref="GL447:GO447"/>
    <mergeCell ref="GC447:GF447"/>
    <mergeCell ref="FT450:FX450"/>
    <mergeCell ref="FY450:GB450"/>
    <mergeCell ref="GH450:GK450"/>
    <mergeCell ref="GL450:GO450"/>
    <mergeCell ref="GC450:GF450"/>
    <mergeCell ref="FT449:FX449"/>
    <mergeCell ref="FY449:GB449"/>
    <mergeCell ref="GH449:GK449"/>
    <mergeCell ref="GL449:GO449"/>
    <mergeCell ref="GC449:GF449"/>
    <mergeCell ref="FY452:GB452"/>
    <mergeCell ref="GH452:GK452"/>
    <mergeCell ref="GL452:GO452"/>
    <mergeCell ref="GC452:GF452"/>
    <mergeCell ref="FT451:FX451"/>
    <mergeCell ref="FY451:GB451"/>
    <mergeCell ref="GH451:GK451"/>
    <mergeCell ref="GL451:GO451"/>
    <mergeCell ref="GC451:GF451"/>
    <mergeCell ref="FT452:FX452"/>
    <mergeCell ref="FT438:FX438"/>
    <mergeCell ref="FY438:GB438"/>
    <mergeCell ref="GH438:GK438"/>
    <mergeCell ref="GL438:GO438"/>
    <mergeCell ref="GC438:GF438"/>
    <mergeCell ref="FT437:FX437"/>
    <mergeCell ref="FY437:GB437"/>
    <mergeCell ref="GH437:GK437"/>
    <mergeCell ref="GL437:GO437"/>
    <mergeCell ref="GC437:GF437"/>
    <mergeCell ref="FT440:FX440"/>
    <mergeCell ref="FY440:GB440"/>
    <mergeCell ref="GH440:GK440"/>
    <mergeCell ref="GL440:GO440"/>
    <mergeCell ref="GC440:GF440"/>
    <mergeCell ref="FT439:FX439"/>
    <mergeCell ref="FY439:GB439"/>
    <mergeCell ref="GH439:GK439"/>
    <mergeCell ref="GL439:GO439"/>
    <mergeCell ref="GC439:GF439"/>
    <mergeCell ref="FT442:FX442"/>
    <mergeCell ref="FY442:GB442"/>
    <mergeCell ref="GH442:GK442"/>
    <mergeCell ref="GL442:GO442"/>
    <mergeCell ref="GC442:GF442"/>
    <mergeCell ref="FT441:FX441"/>
    <mergeCell ref="FY441:GB441"/>
    <mergeCell ref="GH441:GK441"/>
    <mergeCell ref="GL441:GO441"/>
    <mergeCell ref="GC441:GF441"/>
    <mergeCell ref="FT444:FX444"/>
    <mergeCell ref="FY444:GB444"/>
    <mergeCell ref="GH444:GK444"/>
    <mergeCell ref="GL444:GO444"/>
    <mergeCell ref="GC444:GF444"/>
    <mergeCell ref="FT443:FX443"/>
    <mergeCell ref="FY443:GB443"/>
    <mergeCell ref="GH443:GK443"/>
    <mergeCell ref="GL443:GO443"/>
    <mergeCell ref="GC443:GF443"/>
    <mergeCell ref="FT430:FX430"/>
    <mergeCell ref="FY430:GB430"/>
    <mergeCell ref="GH430:GK430"/>
    <mergeCell ref="GL430:GO430"/>
    <mergeCell ref="GC430:GF430"/>
    <mergeCell ref="FT429:FX429"/>
    <mergeCell ref="FY429:GB429"/>
    <mergeCell ref="GH429:GK429"/>
    <mergeCell ref="GL429:GO429"/>
    <mergeCell ref="GC429:GF429"/>
    <mergeCell ref="FT432:FX432"/>
    <mergeCell ref="FY432:GB432"/>
    <mergeCell ref="GH432:GK432"/>
    <mergeCell ref="GL432:GO432"/>
    <mergeCell ref="GC432:GF432"/>
    <mergeCell ref="FT431:FX431"/>
    <mergeCell ref="FY431:GB431"/>
    <mergeCell ref="GH431:GK431"/>
    <mergeCell ref="GL431:GO431"/>
    <mergeCell ref="GC431:GF431"/>
    <mergeCell ref="FT434:FX434"/>
    <mergeCell ref="FY434:GB434"/>
    <mergeCell ref="GH434:GK434"/>
    <mergeCell ref="GL434:GO434"/>
    <mergeCell ref="GC434:GF434"/>
    <mergeCell ref="FT433:FX433"/>
    <mergeCell ref="FY433:GB433"/>
    <mergeCell ref="GH433:GK433"/>
    <mergeCell ref="GL433:GO433"/>
    <mergeCell ref="GC433:GF433"/>
    <mergeCell ref="FT436:FX436"/>
    <mergeCell ref="FY436:GB436"/>
    <mergeCell ref="GH436:GK436"/>
    <mergeCell ref="GL436:GO436"/>
    <mergeCell ref="GC436:GF436"/>
    <mergeCell ref="FT435:FX435"/>
    <mergeCell ref="FY435:GB435"/>
    <mergeCell ref="GH435:GK435"/>
    <mergeCell ref="GL435:GO435"/>
    <mergeCell ref="GC435:GF435"/>
    <mergeCell ref="FT422:FX422"/>
    <mergeCell ref="FY422:GB422"/>
    <mergeCell ref="GH422:GK422"/>
    <mergeCell ref="GL422:GO422"/>
    <mergeCell ref="GC422:GF422"/>
    <mergeCell ref="FT421:FX421"/>
    <mergeCell ref="FY421:GB421"/>
    <mergeCell ref="GH421:GK421"/>
    <mergeCell ref="GL421:GO421"/>
    <mergeCell ref="GC421:GF421"/>
    <mergeCell ref="FT424:FX424"/>
    <mergeCell ref="FY424:GB424"/>
    <mergeCell ref="GH424:GK424"/>
    <mergeCell ref="GL424:GO424"/>
    <mergeCell ref="GC424:GF424"/>
    <mergeCell ref="FT423:FX423"/>
    <mergeCell ref="FY423:GB423"/>
    <mergeCell ref="GH423:GK423"/>
    <mergeCell ref="GL423:GO423"/>
    <mergeCell ref="GC423:GF423"/>
    <mergeCell ref="FT426:FX426"/>
    <mergeCell ref="FY426:GB426"/>
    <mergeCell ref="GH426:GK426"/>
    <mergeCell ref="GL426:GO426"/>
    <mergeCell ref="GC426:GF426"/>
    <mergeCell ref="FT425:FX425"/>
    <mergeCell ref="FY425:GB425"/>
    <mergeCell ref="GH425:GK425"/>
    <mergeCell ref="GL425:GO425"/>
    <mergeCell ref="GC425:GF425"/>
    <mergeCell ref="FT428:FX428"/>
    <mergeCell ref="FY428:GB428"/>
    <mergeCell ref="GH428:GK428"/>
    <mergeCell ref="GL428:GO428"/>
    <mergeCell ref="GC428:GF428"/>
    <mergeCell ref="FT427:FX427"/>
    <mergeCell ref="FY427:GB427"/>
    <mergeCell ref="GH427:GK427"/>
    <mergeCell ref="GL427:GO427"/>
    <mergeCell ref="GC427:GF427"/>
    <mergeCell ref="FT414:FX414"/>
    <mergeCell ref="FY414:GB414"/>
    <mergeCell ref="GH414:GK414"/>
    <mergeCell ref="GL414:GO414"/>
    <mergeCell ref="GC414:GF414"/>
    <mergeCell ref="FT413:FX413"/>
    <mergeCell ref="FY413:GB413"/>
    <mergeCell ref="GH413:GK413"/>
    <mergeCell ref="GL413:GO413"/>
    <mergeCell ref="GC413:GF413"/>
    <mergeCell ref="FT416:FX416"/>
    <mergeCell ref="FY416:GB416"/>
    <mergeCell ref="GH416:GK416"/>
    <mergeCell ref="GL416:GO416"/>
    <mergeCell ref="GC416:GF416"/>
    <mergeCell ref="FT415:FX415"/>
    <mergeCell ref="FY415:GB415"/>
    <mergeCell ref="GH415:GK415"/>
    <mergeCell ref="GL415:GO415"/>
    <mergeCell ref="GC415:GF415"/>
    <mergeCell ref="FY418:GB418"/>
    <mergeCell ref="GH418:GK418"/>
    <mergeCell ref="GL418:GO418"/>
    <mergeCell ref="GC418:GF418"/>
    <mergeCell ref="FT417:FX417"/>
    <mergeCell ref="FY417:GB417"/>
    <mergeCell ref="GH417:GK417"/>
    <mergeCell ref="GL417:GO417"/>
    <mergeCell ref="GC417:GF417"/>
    <mergeCell ref="FT420:FX420"/>
    <mergeCell ref="FY420:GB420"/>
    <mergeCell ref="GH420:GK420"/>
    <mergeCell ref="GL420:GO420"/>
    <mergeCell ref="GC420:GF420"/>
    <mergeCell ref="FT419:FX419"/>
    <mergeCell ref="FY419:GB419"/>
    <mergeCell ref="GH419:GK419"/>
    <mergeCell ref="GL419:GO419"/>
    <mergeCell ref="GC419:GF419"/>
    <mergeCell ref="FT418:FX418"/>
    <mergeCell ref="GL406:GO406"/>
    <mergeCell ref="GC406:GF406"/>
    <mergeCell ref="FT405:FX405"/>
    <mergeCell ref="FY405:GB405"/>
    <mergeCell ref="GH405:GK405"/>
    <mergeCell ref="GL405:GO405"/>
    <mergeCell ref="GC405:GF405"/>
    <mergeCell ref="FT408:FX408"/>
    <mergeCell ref="FY408:GB408"/>
    <mergeCell ref="GH408:GK408"/>
    <mergeCell ref="GL408:GO408"/>
    <mergeCell ref="GC408:GF408"/>
    <mergeCell ref="FT407:FX407"/>
    <mergeCell ref="FY407:GB407"/>
    <mergeCell ref="GH407:GK407"/>
    <mergeCell ref="GL407:GO407"/>
    <mergeCell ref="GC407:GF407"/>
    <mergeCell ref="GL410:GO410"/>
    <mergeCell ref="GC410:GF410"/>
    <mergeCell ref="FT409:FX409"/>
    <mergeCell ref="FY409:GB409"/>
    <mergeCell ref="GH409:GK409"/>
    <mergeCell ref="GL409:GO409"/>
    <mergeCell ref="GC409:GF409"/>
    <mergeCell ref="FT412:FX412"/>
    <mergeCell ref="FY412:GB412"/>
    <mergeCell ref="GH412:GK412"/>
    <mergeCell ref="GL412:GO412"/>
    <mergeCell ref="GC412:GF412"/>
    <mergeCell ref="FT411:FX411"/>
    <mergeCell ref="FY411:GB411"/>
    <mergeCell ref="GH411:GK411"/>
    <mergeCell ref="GL411:GO411"/>
    <mergeCell ref="GC411:GF411"/>
    <mergeCell ref="FT410:FX410"/>
    <mergeCell ref="FY410:GB410"/>
    <mergeCell ref="GH410:GK410"/>
    <mergeCell ref="FT406:FX406"/>
    <mergeCell ref="FY406:GB406"/>
    <mergeCell ref="GH406:GK406"/>
    <mergeCell ref="GL398:GO398"/>
    <mergeCell ref="GC398:GF398"/>
    <mergeCell ref="FT397:FX397"/>
    <mergeCell ref="FY397:GB397"/>
    <mergeCell ref="GH397:GK397"/>
    <mergeCell ref="GL397:GO397"/>
    <mergeCell ref="GC397:GF397"/>
    <mergeCell ref="FT400:FX400"/>
    <mergeCell ref="FY400:GB400"/>
    <mergeCell ref="GH400:GK400"/>
    <mergeCell ref="GL400:GO400"/>
    <mergeCell ref="GC400:GF400"/>
    <mergeCell ref="FT399:FX399"/>
    <mergeCell ref="FY399:GB399"/>
    <mergeCell ref="GH399:GK399"/>
    <mergeCell ref="GL399:GO399"/>
    <mergeCell ref="GC399:GF399"/>
    <mergeCell ref="GL402:GO402"/>
    <mergeCell ref="GC402:GF402"/>
    <mergeCell ref="FT401:FX401"/>
    <mergeCell ref="FY401:GB401"/>
    <mergeCell ref="GH401:GK401"/>
    <mergeCell ref="GL401:GO401"/>
    <mergeCell ref="GC401:GF401"/>
    <mergeCell ref="FT404:FX404"/>
    <mergeCell ref="FY404:GB404"/>
    <mergeCell ref="GH404:GK404"/>
    <mergeCell ref="GL404:GO404"/>
    <mergeCell ref="GC404:GF404"/>
    <mergeCell ref="FT403:FX403"/>
    <mergeCell ref="FY403:GB403"/>
    <mergeCell ref="GH403:GK403"/>
    <mergeCell ref="GL403:GO403"/>
    <mergeCell ref="GC403:GF403"/>
    <mergeCell ref="FT402:FX402"/>
    <mergeCell ref="FY402:GB402"/>
    <mergeCell ref="GH402:GK402"/>
    <mergeCell ref="FT398:FX398"/>
    <mergeCell ref="FY398:GB398"/>
    <mergeCell ref="GH398:GK398"/>
    <mergeCell ref="GL390:GO390"/>
    <mergeCell ref="GC390:GF390"/>
    <mergeCell ref="FT389:FX389"/>
    <mergeCell ref="FY389:GB389"/>
    <mergeCell ref="GH389:GK389"/>
    <mergeCell ref="GL389:GO389"/>
    <mergeCell ref="GC389:GF389"/>
    <mergeCell ref="FT392:FX392"/>
    <mergeCell ref="FY392:GB392"/>
    <mergeCell ref="GH392:GK392"/>
    <mergeCell ref="GL392:GO392"/>
    <mergeCell ref="GC392:GF392"/>
    <mergeCell ref="FT391:FX391"/>
    <mergeCell ref="FY391:GB391"/>
    <mergeCell ref="GH391:GK391"/>
    <mergeCell ref="GL391:GO391"/>
    <mergeCell ref="GC391:GF391"/>
    <mergeCell ref="GL394:GO394"/>
    <mergeCell ref="GC394:GF394"/>
    <mergeCell ref="FT393:FX393"/>
    <mergeCell ref="FY393:GB393"/>
    <mergeCell ref="GH393:GK393"/>
    <mergeCell ref="GL393:GO393"/>
    <mergeCell ref="GC393:GF393"/>
    <mergeCell ref="FT396:FX396"/>
    <mergeCell ref="FY396:GB396"/>
    <mergeCell ref="GH396:GK396"/>
    <mergeCell ref="GL396:GO396"/>
    <mergeCell ref="GC396:GF396"/>
    <mergeCell ref="FT395:FX395"/>
    <mergeCell ref="FY395:GB395"/>
    <mergeCell ref="GH395:GK395"/>
    <mergeCell ref="GL395:GO395"/>
    <mergeCell ref="GC395:GF395"/>
    <mergeCell ref="FT394:FX394"/>
    <mergeCell ref="FY394:GB394"/>
    <mergeCell ref="GH394:GK394"/>
    <mergeCell ref="FT390:FX390"/>
    <mergeCell ref="FY390:GB390"/>
    <mergeCell ref="GH390:GK390"/>
    <mergeCell ref="GL382:GO382"/>
    <mergeCell ref="GC382:GF382"/>
    <mergeCell ref="FT381:FX381"/>
    <mergeCell ref="FY381:GB381"/>
    <mergeCell ref="GH381:GK381"/>
    <mergeCell ref="GL381:GO381"/>
    <mergeCell ref="GC381:GF381"/>
    <mergeCell ref="FT384:FX384"/>
    <mergeCell ref="FY384:GB384"/>
    <mergeCell ref="GH384:GK384"/>
    <mergeCell ref="GL384:GO384"/>
    <mergeCell ref="GC384:GF384"/>
    <mergeCell ref="FT383:FX383"/>
    <mergeCell ref="FY383:GB383"/>
    <mergeCell ref="GH383:GK383"/>
    <mergeCell ref="GL383:GO383"/>
    <mergeCell ref="GC383:GF383"/>
    <mergeCell ref="GL386:GO386"/>
    <mergeCell ref="GC386:GF386"/>
    <mergeCell ref="FT385:FX385"/>
    <mergeCell ref="FY385:GB385"/>
    <mergeCell ref="GH385:GK385"/>
    <mergeCell ref="GL385:GO385"/>
    <mergeCell ref="GC385:GF385"/>
    <mergeCell ref="FT388:FX388"/>
    <mergeCell ref="FY388:GB388"/>
    <mergeCell ref="GH388:GK388"/>
    <mergeCell ref="GL388:GO388"/>
    <mergeCell ref="GC388:GF388"/>
    <mergeCell ref="FT387:FX387"/>
    <mergeCell ref="FY387:GB387"/>
    <mergeCell ref="GH387:GK387"/>
    <mergeCell ref="GL387:GO387"/>
    <mergeCell ref="GC387:GF387"/>
    <mergeCell ref="FT386:FX386"/>
    <mergeCell ref="FY386:GB386"/>
    <mergeCell ref="GH386:GK386"/>
    <mergeCell ref="FT382:FX382"/>
    <mergeCell ref="FY382:GB382"/>
    <mergeCell ref="GH382:GK382"/>
    <mergeCell ref="GL374:GO374"/>
    <mergeCell ref="GC374:GF374"/>
    <mergeCell ref="FT373:FX373"/>
    <mergeCell ref="FY373:GB373"/>
    <mergeCell ref="GH373:GK373"/>
    <mergeCell ref="GL373:GO373"/>
    <mergeCell ref="GC373:GF373"/>
    <mergeCell ref="FT376:FX376"/>
    <mergeCell ref="FY376:GB376"/>
    <mergeCell ref="GH376:GK376"/>
    <mergeCell ref="GL376:GO376"/>
    <mergeCell ref="GC376:GF376"/>
    <mergeCell ref="FT375:FX375"/>
    <mergeCell ref="FY375:GB375"/>
    <mergeCell ref="GH375:GK375"/>
    <mergeCell ref="GL375:GO375"/>
    <mergeCell ref="GC375:GF375"/>
    <mergeCell ref="GL378:GO378"/>
    <mergeCell ref="GC378:GF378"/>
    <mergeCell ref="FT377:FX377"/>
    <mergeCell ref="FY377:GB377"/>
    <mergeCell ref="GH377:GK377"/>
    <mergeCell ref="GL377:GO377"/>
    <mergeCell ref="GC377:GF377"/>
    <mergeCell ref="FT380:FX380"/>
    <mergeCell ref="FY380:GB380"/>
    <mergeCell ref="GH380:GK380"/>
    <mergeCell ref="GL380:GO380"/>
    <mergeCell ref="GC380:GF380"/>
    <mergeCell ref="FT379:FX379"/>
    <mergeCell ref="FY379:GB379"/>
    <mergeCell ref="GH379:GK379"/>
    <mergeCell ref="GL379:GO379"/>
    <mergeCell ref="GC379:GF379"/>
    <mergeCell ref="FT378:FX378"/>
    <mergeCell ref="FY378:GB378"/>
    <mergeCell ref="GH378:GK378"/>
    <mergeCell ref="FT374:FX374"/>
    <mergeCell ref="FY374:GB374"/>
    <mergeCell ref="GH374:GK374"/>
    <mergeCell ref="FT368:FX368"/>
    <mergeCell ref="FY368:GB368"/>
    <mergeCell ref="GH368:GK368"/>
    <mergeCell ref="GL368:GO368"/>
    <mergeCell ref="GC368:GF368"/>
    <mergeCell ref="FT367:FX367"/>
    <mergeCell ref="FY367:GB367"/>
    <mergeCell ref="GH367:GK367"/>
    <mergeCell ref="GL367:GO367"/>
    <mergeCell ref="GC367:GF367"/>
    <mergeCell ref="GL370:GO370"/>
    <mergeCell ref="GC370:GF370"/>
    <mergeCell ref="FT369:FX369"/>
    <mergeCell ref="FY369:GB369"/>
    <mergeCell ref="GH369:GK369"/>
    <mergeCell ref="GL369:GO369"/>
    <mergeCell ref="GC369:GF369"/>
    <mergeCell ref="FT372:FX372"/>
    <mergeCell ref="FY372:GB372"/>
    <mergeCell ref="GH372:GK372"/>
    <mergeCell ref="GL372:GO372"/>
    <mergeCell ref="GC372:GF372"/>
    <mergeCell ref="FT371:FX371"/>
    <mergeCell ref="FY371:GB371"/>
    <mergeCell ref="GH371:GK371"/>
    <mergeCell ref="GL371:GO371"/>
    <mergeCell ref="GC371:GF371"/>
    <mergeCell ref="FT370:FX370"/>
    <mergeCell ref="FY370:GB370"/>
    <mergeCell ref="GH370:GK370"/>
    <mergeCell ref="FT366:FX366"/>
    <mergeCell ref="FY366:GB366"/>
    <mergeCell ref="GH366:GK366"/>
    <mergeCell ref="GL360:GO360"/>
    <mergeCell ref="GH355:GK355"/>
    <mergeCell ref="GL355:GO355"/>
    <mergeCell ref="GH356:GK356"/>
    <mergeCell ref="GL357:GO357"/>
    <mergeCell ref="GH358:GK358"/>
    <mergeCell ref="GL358:GO358"/>
    <mergeCell ref="GH359:GK359"/>
    <mergeCell ref="GL359:GO359"/>
    <mergeCell ref="GH361:GK361"/>
    <mergeCell ref="GL361:GO361"/>
    <mergeCell ref="GL362:GO362"/>
    <mergeCell ref="GC362:GF362"/>
    <mergeCell ref="GC361:GF361"/>
    <mergeCell ref="FT364:FX364"/>
    <mergeCell ref="FY364:GB364"/>
    <mergeCell ref="GH364:GK364"/>
    <mergeCell ref="GL364:GO364"/>
    <mergeCell ref="GC364:GF364"/>
    <mergeCell ref="FT363:FX363"/>
    <mergeCell ref="FY363:GB363"/>
    <mergeCell ref="GH363:GK363"/>
    <mergeCell ref="GL363:GO363"/>
    <mergeCell ref="GC363:GF363"/>
    <mergeCell ref="GC356:GF356"/>
    <mergeCell ref="GC357:GF357"/>
    <mergeCell ref="GC351:GF351"/>
    <mergeCell ref="GL366:GO366"/>
    <mergeCell ref="GC366:GF366"/>
    <mergeCell ref="FT365:FX365"/>
    <mergeCell ref="FY365:GB365"/>
    <mergeCell ref="GH365:GK365"/>
    <mergeCell ref="GL365:GO365"/>
    <mergeCell ref="GC365:GF365"/>
    <mergeCell ref="GQ336:GT336"/>
    <mergeCell ref="GC336:GF336"/>
    <mergeCell ref="GC338:GF338"/>
    <mergeCell ref="GH338:GK338"/>
    <mergeCell ref="GL338:GO338"/>
    <mergeCell ref="GQ338:GT338"/>
    <mergeCell ref="GL336:GO336"/>
    <mergeCell ref="GC341:GF341"/>
    <mergeCell ref="FT348:FX348"/>
    <mergeCell ref="FT342:FX342"/>
    <mergeCell ref="FT343:FX343"/>
    <mergeCell ref="FT344:FX344"/>
    <mergeCell ref="FY340:GB340"/>
    <mergeCell ref="FY341:GB341"/>
    <mergeCell ref="FY342:GB342"/>
    <mergeCell ref="FT347:FX347"/>
    <mergeCell ref="GC346:GF346"/>
    <mergeCell ref="GH345:GK345"/>
    <mergeCell ref="GH346:GK346"/>
    <mergeCell ref="GL347:GO347"/>
    <mergeCell ref="GL339:GO339"/>
    <mergeCell ref="GL340:GO340"/>
    <mergeCell ref="GL341:GO341"/>
    <mergeCell ref="GL342:GO342"/>
    <mergeCell ref="GH342:GK342"/>
    <mergeCell ref="GH343:GK343"/>
    <mergeCell ref="GH344:GK344"/>
    <mergeCell ref="GL343:GO343"/>
    <mergeCell ref="GL344:GO344"/>
    <mergeCell ref="GL345:GO345"/>
    <mergeCell ref="GL346:GO346"/>
    <mergeCell ref="GH348:GK348"/>
    <mergeCell ref="FY349:GB349"/>
    <mergeCell ref="GC343:GF343"/>
    <mergeCell ref="GC344:GF344"/>
    <mergeCell ref="GC345:GF345"/>
    <mergeCell ref="FY347:GB347"/>
    <mergeCell ref="GL348:GO348"/>
    <mergeCell ref="GC348:GF348"/>
    <mergeCell ref="GL349:GO349"/>
    <mergeCell ref="GH349:GK349"/>
    <mergeCell ref="FY338:GB338"/>
    <mergeCell ref="FY339:GB339"/>
    <mergeCell ref="GL350:GO350"/>
    <mergeCell ref="GH350:GK350"/>
    <mergeCell ref="FY348:GB348"/>
    <mergeCell ref="FT349:FX349"/>
    <mergeCell ref="GH351:GK351"/>
    <mergeCell ref="FT352:FX352"/>
    <mergeCell ref="FY352:GB352"/>
    <mergeCell ref="FT355:FX355"/>
    <mergeCell ref="FY355:GB355"/>
    <mergeCell ref="FT351:FX351"/>
    <mergeCell ref="FY351:GB351"/>
    <mergeCell ref="FT353:FX353"/>
    <mergeCell ref="FY353:GB353"/>
    <mergeCell ref="FT354:FX354"/>
    <mergeCell ref="FT360:FX360"/>
    <mergeCell ref="FY360:GB360"/>
    <mergeCell ref="FT361:FX361"/>
    <mergeCell ref="FY361:GB361"/>
    <mergeCell ref="GH354:GK354"/>
    <mergeCell ref="GH357:GK357"/>
    <mergeCell ref="GH347:GK347"/>
    <mergeCell ref="FT341:FX341"/>
    <mergeCell ref="GH336:GK336"/>
    <mergeCell ref="GH339:GK339"/>
    <mergeCell ref="GH340:GK340"/>
    <mergeCell ref="GC340:GF340"/>
    <mergeCell ref="FY344:GB344"/>
    <mergeCell ref="FY343:GB343"/>
    <mergeCell ref="GC342:GF342"/>
    <mergeCell ref="GH341:GK341"/>
    <mergeCell ref="FT350:FX350"/>
    <mergeCell ref="FY350:GB350"/>
    <mergeCell ref="FT362:FX362"/>
    <mergeCell ref="FY362:GB362"/>
    <mergeCell ref="GH362:GK362"/>
    <mergeCell ref="GC359:GF359"/>
    <mergeCell ref="GC360:GF360"/>
    <mergeCell ref="GC358:GF358"/>
    <mergeCell ref="FY354:GB354"/>
    <mergeCell ref="GC339:GF339"/>
    <mergeCell ref="FT336:FX336"/>
    <mergeCell ref="FT338:FX338"/>
    <mergeCell ref="FT339:FX339"/>
    <mergeCell ref="FY336:GB336"/>
    <mergeCell ref="GC347:GF347"/>
    <mergeCell ref="GC349:GF349"/>
    <mergeCell ref="GC350:GF350"/>
    <mergeCell ref="FT346:FX346"/>
    <mergeCell ref="GL354:GO354"/>
    <mergeCell ref="FT359:FX359"/>
    <mergeCell ref="FY359:GB359"/>
    <mergeCell ref="FT356:FX356"/>
    <mergeCell ref="FY356:GB356"/>
    <mergeCell ref="FT357:FX357"/>
    <mergeCell ref="FY357:GB357"/>
    <mergeCell ref="FT358:FX358"/>
    <mergeCell ref="FY358:GB358"/>
    <mergeCell ref="GL356:GO356"/>
    <mergeCell ref="GL351:GO351"/>
    <mergeCell ref="GH352:GK352"/>
    <mergeCell ref="GL352:GO352"/>
    <mergeCell ref="GH353:GK353"/>
    <mergeCell ref="GL353:GO353"/>
    <mergeCell ref="GH360:GK360"/>
    <mergeCell ref="FD606:FH606"/>
    <mergeCell ref="FD607:FH607"/>
    <mergeCell ref="FD596:FH596"/>
    <mergeCell ref="FD597:FH597"/>
    <mergeCell ref="FD598:FH598"/>
    <mergeCell ref="FD599:FH599"/>
    <mergeCell ref="FD600:FH600"/>
    <mergeCell ref="FD601:FH601"/>
    <mergeCell ref="FD602:FH602"/>
    <mergeCell ref="FD603:FH603"/>
    <mergeCell ref="FD604:FH604"/>
    <mergeCell ref="FD605:FH605"/>
    <mergeCell ref="FD608:FH608"/>
    <mergeCell ref="FD609:FH609"/>
    <mergeCell ref="FD610:FH610"/>
    <mergeCell ref="FD611:FH611"/>
    <mergeCell ref="FD612:FH612"/>
    <mergeCell ref="FD613:FH613"/>
    <mergeCell ref="FD614:FH614"/>
    <mergeCell ref="FD615:FH615"/>
    <mergeCell ref="FD616:FH616"/>
    <mergeCell ref="FD617:FH617"/>
    <mergeCell ref="FD630:FH630"/>
    <mergeCell ref="FD631:FH631"/>
    <mergeCell ref="FD620:FH620"/>
    <mergeCell ref="FD621:FH621"/>
    <mergeCell ref="FD622:FH622"/>
    <mergeCell ref="FD623:FH623"/>
    <mergeCell ref="FD624:FH624"/>
    <mergeCell ref="FD625:FH625"/>
    <mergeCell ref="FD626:FH626"/>
    <mergeCell ref="FD627:FH627"/>
    <mergeCell ref="FD628:FH628"/>
    <mergeCell ref="FD629:FH629"/>
    <mergeCell ref="FD570:FH570"/>
    <mergeCell ref="FD571:FH571"/>
    <mergeCell ref="FD560:FH560"/>
    <mergeCell ref="FD561:FH561"/>
    <mergeCell ref="FD562:FH562"/>
    <mergeCell ref="FD563:FH563"/>
    <mergeCell ref="FD564:FH564"/>
    <mergeCell ref="FD565:FH565"/>
    <mergeCell ref="FD566:FH566"/>
    <mergeCell ref="FD567:FH567"/>
    <mergeCell ref="FD568:FH568"/>
    <mergeCell ref="FD569:FH569"/>
    <mergeCell ref="FD582:FH582"/>
    <mergeCell ref="FD583:FH583"/>
    <mergeCell ref="FD572:FH572"/>
    <mergeCell ref="FD573:FH573"/>
    <mergeCell ref="FD574:FH574"/>
    <mergeCell ref="FD575:FH575"/>
    <mergeCell ref="FD576:FH576"/>
    <mergeCell ref="FD577:FH577"/>
    <mergeCell ref="FD578:FH578"/>
    <mergeCell ref="FD579:FH579"/>
    <mergeCell ref="FD580:FH580"/>
    <mergeCell ref="FD581:FH581"/>
    <mergeCell ref="FD594:FH594"/>
    <mergeCell ref="FD595:FH595"/>
    <mergeCell ref="FD584:FH584"/>
    <mergeCell ref="FD585:FH585"/>
    <mergeCell ref="FD586:FH586"/>
    <mergeCell ref="FD587:FH587"/>
    <mergeCell ref="FD588:FH588"/>
    <mergeCell ref="FD589:FH589"/>
    <mergeCell ref="FD590:FH590"/>
    <mergeCell ref="FD591:FH591"/>
    <mergeCell ref="FD592:FH592"/>
    <mergeCell ref="FD593:FH593"/>
    <mergeCell ref="FD534:FH534"/>
    <mergeCell ref="FD535:FH535"/>
    <mergeCell ref="FD524:FH524"/>
    <mergeCell ref="FD525:FH525"/>
    <mergeCell ref="FD526:FH526"/>
    <mergeCell ref="FD527:FH527"/>
    <mergeCell ref="FD528:FH528"/>
    <mergeCell ref="FD529:FH529"/>
    <mergeCell ref="FD530:FH530"/>
    <mergeCell ref="FD531:FH531"/>
    <mergeCell ref="FD532:FH532"/>
    <mergeCell ref="FD533:FH533"/>
    <mergeCell ref="FD546:FH546"/>
    <mergeCell ref="FD547:FH547"/>
    <mergeCell ref="FD536:FH536"/>
    <mergeCell ref="FD537:FH537"/>
    <mergeCell ref="FD538:FH538"/>
    <mergeCell ref="FD539:FH539"/>
    <mergeCell ref="FD540:FH540"/>
    <mergeCell ref="FD541:FH541"/>
    <mergeCell ref="FD542:FH542"/>
    <mergeCell ref="FD543:FH543"/>
    <mergeCell ref="FD544:FH544"/>
    <mergeCell ref="FD545:FH545"/>
    <mergeCell ref="FD558:FH558"/>
    <mergeCell ref="FD559:FH559"/>
    <mergeCell ref="FD548:FH548"/>
    <mergeCell ref="FD549:FH549"/>
    <mergeCell ref="FD550:FH550"/>
    <mergeCell ref="FD551:FH551"/>
    <mergeCell ref="FD552:FH552"/>
    <mergeCell ref="FD553:FH553"/>
    <mergeCell ref="FD554:FH554"/>
    <mergeCell ref="FD555:FH555"/>
    <mergeCell ref="FD556:FH556"/>
    <mergeCell ref="FD557:FH557"/>
    <mergeCell ref="FD498:FH498"/>
    <mergeCell ref="FD499:FH499"/>
    <mergeCell ref="FD488:FH488"/>
    <mergeCell ref="FD489:FH489"/>
    <mergeCell ref="FD490:FH490"/>
    <mergeCell ref="FD491:FH491"/>
    <mergeCell ref="FD492:FH492"/>
    <mergeCell ref="FD493:FH493"/>
    <mergeCell ref="FD494:FH494"/>
    <mergeCell ref="FD495:FH495"/>
    <mergeCell ref="FD496:FH496"/>
    <mergeCell ref="FD497:FH497"/>
    <mergeCell ref="FD510:FH510"/>
    <mergeCell ref="FD511:FH511"/>
    <mergeCell ref="FD500:FH500"/>
    <mergeCell ref="FD501:FH501"/>
    <mergeCell ref="FD502:FH502"/>
    <mergeCell ref="FD503:FH503"/>
    <mergeCell ref="FD504:FH504"/>
    <mergeCell ref="FD505:FH505"/>
    <mergeCell ref="FD506:FH506"/>
    <mergeCell ref="FD507:FH507"/>
    <mergeCell ref="FD508:FH508"/>
    <mergeCell ref="FD509:FH509"/>
    <mergeCell ref="FD522:FH522"/>
    <mergeCell ref="FD523:FH523"/>
    <mergeCell ref="FD512:FH512"/>
    <mergeCell ref="FD513:FH513"/>
    <mergeCell ref="FD514:FH514"/>
    <mergeCell ref="FD515:FH515"/>
    <mergeCell ref="FD516:FH516"/>
    <mergeCell ref="FD517:FH517"/>
    <mergeCell ref="FD518:FH518"/>
    <mergeCell ref="FD519:FH519"/>
    <mergeCell ref="FD520:FH520"/>
    <mergeCell ref="FD521:FH521"/>
    <mergeCell ref="FD443:FH443"/>
    <mergeCell ref="FD444:FH444"/>
    <mergeCell ref="FD445:FH445"/>
    <mergeCell ref="FD446:FH446"/>
    <mergeCell ref="FD447:FH447"/>
    <mergeCell ref="FD448:FH448"/>
    <mergeCell ref="FD449:FH449"/>
    <mergeCell ref="FD462:FH462"/>
    <mergeCell ref="FD463:FH463"/>
    <mergeCell ref="FD452:FH452"/>
    <mergeCell ref="FD453:FH453"/>
    <mergeCell ref="FD454:FH454"/>
    <mergeCell ref="FD455:FH455"/>
    <mergeCell ref="FD456:FH456"/>
    <mergeCell ref="FD457:FH457"/>
    <mergeCell ref="FD458:FH458"/>
    <mergeCell ref="FD459:FH459"/>
    <mergeCell ref="FD460:FH460"/>
    <mergeCell ref="FD461:FH461"/>
    <mergeCell ref="FD474:FH474"/>
    <mergeCell ref="FD475:FH475"/>
    <mergeCell ref="FD464:FH464"/>
    <mergeCell ref="FD465:FH465"/>
    <mergeCell ref="FD466:FH466"/>
    <mergeCell ref="FD467:FH467"/>
    <mergeCell ref="FD468:FH468"/>
    <mergeCell ref="FD469:FH469"/>
    <mergeCell ref="FD470:FH470"/>
    <mergeCell ref="FD471:FH471"/>
    <mergeCell ref="FD472:FH472"/>
    <mergeCell ref="FD473:FH473"/>
    <mergeCell ref="FD486:FH486"/>
    <mergeCell ref="FD487:FH487"/>
    <mergeCell ref="FD476:FH476"/>
    <mergeCell ref="FD477:FH477"/>
    <mergeCell ref="FD478:FH478"/>
    <mergeCell ref="FD479:FH479"/>
    <mergeCell ref="FD480:FH480"/>
    <mergeCell ref="FD481:FH481"/>
    <mergeCell ref="FD482:FH482"/>
    <mergeCell ref="FD483:FH483"/>
    <mergeCell ref="FD484:FH484"/>
    <mergeCell ref="FD485:FH485"/>
    <mergeCell ref="FD402:FH402"/>
    <mergeCell ref="FD403:FH403"/>
    <mergeCell ref="EX609:FB609"/>
    <mergeCell ref="EX610:FB610"/>
    <mergeCell ref="EX611:FB611"/>
    <mergeCell ref="EX612:FB612"/>
    <mergeCell ref="EX613:FB613"/>
    <mergeCell ref="EX614:FB614"/>
    <mergeCell ref="EX615:FB615"/>
    <mergeCell ref="EX616:FB616"/>
    <mergeCell ref="EX617:FB617"/>
    <mergeCell ref="EX618:FB618"/>
    <mergeCell ref="EX631:FB631"/>
    <mergeCell ref="FD392:FH392"/>
    <mergeCell ref="FD393:FH393"/>
    <mergeCell ref="FD394:FH394"/>
    <mergeCell ref="FD395:FH395"/>
    <mergeCell ref="FD396:FH396"/>
    <mergeCell ref="FD397:FH397"/>
    <mergeCell ref="FD398:FH398"/>
    <mergeCell ref="FD399:FH399"/>
    <mergeCell ref="FD400:FH400"/>
    <mergeCell ref="FD401:FH401"/>
    <mergeCell ref="FD414:FH414"/>
    <mergeCell ref="FD415:FH415"/>
    <mergeCell ref="FD404:FH404"/>
    <mergeCell ref="FD405:FH405"/>
    <mergeCell ref="FD406:FH406"/>
    <mergeCell ref="FD407:FH407"/>
    <mergeCell ref="FD408:FH408"/>
    <mergeCell ref="FD409:FH409"/>
    <mergeCell ref="FD410:FH410"/>
    <mergeCell ref="FD411:FH411"/>
    <mergeCell ref="FD412:FH412"/>
    <mergeCell ref="FD413:FH413"/>
    <mergeCell ref="FD426:FH426"/>
    <mergeCell ref="FD427:FH427"/>
    <mergeCell ref="FD416:FH416"/>
    <mergeCell ref="FD417:FH417"/>
    <mergeCell ref="FD418:FH418"/>
    <mergeCell ref="FD419:FH419"/>
    <mergeCell ref="FD420:FH420"/>
    <mergeCell ref="FD421:FH421"/>
    <mergeCell ref="FD422:FH422"/>
    <mergeCell ref="FD423:FH423"/>
    <mergeCell ref="FD424:FH424"/>
    <mergeCell ref="FD425:FH425"/>
    <mergeCell ref="FD438:FH438"/>
    <mergeCell ref="FD439:FH439"/>
    <mergeCell ref="FD428:FH428"/>
    <mergeCell ref="FD429:FH429"/>
    <mergeCell ref="FD430:FH430"/>
    <mergeCell ref="FD431:FH431"/>
    <mergeCell ref="FD432:FH432"/>
    <mergeCell ref="FD433:FH433"/>
    <mergeCell ref="FD434:FH434"/>
    <mergeCell ref="FD435:FH435"/>
    <mergeCell ref="FD436:FH436"/>
    <mergeCell ref="FD437:FH437"/>
    <mergeCell ref="FD450:FH450"/>
    <mergeCell ref="FD451:FH451"/>
    <mergeCell ref="FD440:FH440"/>
    <mergeCell ref="FD441:FH441"/>
    <mergeCell ref="FD442:FH442"/>
    <mergeCell ref="FD358:FH358"/>
    <mergeCell ref="EX339:FB339"/>
    <mergeCell ref="FD341:FH341"/>
    <mergeCell ref="FD342:FH342"/>
    <mergeCell ref="FD343:FH343"/>
    <mergeCell ref="FD344:FH344"/>
    <mergeCell ref="FD345:FH345"/>
    <mergeCell ref="EX346:FB346"/>
    <mergeCell ref="EX342:FB342"/>
    <mergeCell ref="EX356:FB356"/>
    <mergeCell ref="FD359:FH359"/>
    <mergeCell ref="FD336:FH336"/>
    <mergeCell ref="CN337:CQ337"/>
    <mergeCell ref="FD361:FH361"/>
    <mergeCell ref="FD350:FH350"/>
    <mergeCell ref="FD351:FH351"/>
    <mergeCell ref="FD352:FH352"/>
    <mergeCell ref="FD353:FH353"/>
    <mergeCell ref="FD354:FH354"/>
    <mergeCell ref="FD355:FH355"/>
    <mergeCell ref="FD356:FH356"/>
    <mergeCell ref="FD357:FH357"/>
    <mergeCell ref="FD360:FH360"/>
    <mergeCell ref="FD379:FH379"/>
    <mergeCell ref="FD368:FH368"/>
    <mergeCell ref="FD369:FH369"/>
    <mergeCell ref="FD370:FH370"/>
    <mergeCell ref="FD371:FH371"/>
    <mergeCell ref="FD372:FH372"/>
    <mergeCell ref="FD373:FH373"/>
    <mergeCell ref="FD374:FH374"/>
    <mergeCell ref="FD390:FH390"/>
    <mergeCell ref="FD391:FH391"/>
    <mergeCell ref="FD380:FH380"/>
    <mergeCell ref="FD381:FH381"/>
    <mergeCell ref="FD382:FH382"/>
    <mergeCell ref="FD383:FH383"/>
    <mergeCell ref="FD384:FH384"/>
    <mergeCell ref="FD385:FH385"/>
    <mergeCell ref="FD386:FH386"/>
    <mergeCell ref="FD387:FH387"/>
    <mergeCell ref="FD388:FH388"/>
    <mergeCell ref="FD389:FH389"/>
    <mergeCell ref="EX336:FB336"/>
    <mergeCell ref="EX338:FB338"/>
    <mergeCell ref="DU339:DW339"/>
    <mergeCell ref="FD338:FH338"/>
    <mergeCell ref="DX339:DZ339"/>
    <mergeCell ref="EA339:ED339"/>
    <mergeCell ref="DU338:DW338"/>
    <mergeCell ref="DX345:DZ345"/>
    <mergeCell ref="DX337:DZ337"/>
    <mergeCell ref="FD346:FH346"/>
    <mergeCell ref="EF339:EJ339"/>
    <mergeCell ref="EF340:EJ340"/>
    <mergeCell ref="EF341:EJ341"/>
    <mergeCell ref="EA337:ED337"/>
    <mergeCell ref="DX346:DZ346"/>
    <mergeCell ref="EA346:ED346"/>
    <mergeCell ref="EA338:ED338"/>
    <mergeCell ref="EA353:ED353"/>
    <mergeCell ref="DX352:DZ352"/>
    <mergeCell ref="DD339:DG339"/>
    <mergeCell ref="DH339:DJ339"/>
    <mergeCell ref="EX632:FB632"/>
    <mergeCell ref="EX621:FB621"/>
    <mergeCell ref="EX622:FB622"/>
    <mergeCell ref="EX623:FB623"/>
    <mergeCell ref="EX624:FB624"/>
    <mergeCell ref="EX625:FB625"/>
    <mergeCell ref="EX626:FB626"/>
    <mergeCell ref="FD648:FH648"/>
    <mergeCell ref="FD649:FH649"/>
    <mergeCell ref="EX643:FB643"/>
    <mergeCell ref="EX644:FB644"/>
    <mergeCell ref="EX645:FB645"/>
    <mergeCell ref="EX646:FB646"/>
    <mergeCell ref="FD645:FH645"/>
    <mergeCell ref="FD646:FH646"/>
    <mergeCell ref="EX649:FB649"/>
    <mergeCell ref="EX638:FB638"/>
    <mergeCell ref="EX647:FB647"/>
    <mergeCell ref="EX648:FB648"/>
    <mergeCell ref="EX639:FB639"/>
    <mergeCell ref="FD647:FH647"/>
    <mergeCell ref="FD644:FH644"/>
    <mergeCell ref="FD638:FH638"/>
    <mergeCell ref="FD639:FH639"/>
    <mergeCell ref="FD642:FH642"/>
    <mergeCell ref="FD643:FH643"/>
    <mergeCell ref="EX635:FB635"/>
    <mergeCell ref="EX636:FB636"/>
    <mergeCell ref="EX637:FB637"/>
    <mergeCell ref="FD618:FH618"/>
    <mergeCell ref="FD619:FH619"/>
    <mergeCell ref="EX640:FB640"/>
    <mergeCell ref="EX641:FB641"/>
    <mergeCell ref="EX642:FB642"/>
    <mergeCell ref="EX633:FB633"/>
    <mergeCell ref="EX634:FB634"/>
    <mergeCell ref="EX627:FB627"/>
    <mergeCell ref="EX628:FB628"/>
    <mergeCell ref="EX629:FB629"/>
    <mergeCell ref="EX630:FB630"/>
    <mergeCell ref="EX619:FB619"/>
    <mergeCell ref="EX620:FB620"/>
    <mergeCell ref="FD632:FH632"/>
    <mergeCell ref="FD633:FH633"/>
    <mergeCell ref="FD640:FH640"/>
    <mergeCell ref="FD641:FH641"/>
    <mergeCell ref="FD634:FH634"/>
    <mergeCell ref="FD635:FH635"/>
    <mergeCell ref="FD636:FH636"/>
    <mergeCell ref="FD637:FH637"/>
    <mergeCell ref="EX583:FB583"/>
    <mergeCell ref="EX584:FB584"/>
    <mergeCell ref="EX573:FB573"/>
    <mergeCell ref="EX574:FB574"/>
    <mergeCell ref="EX575:FB575"/>
    <mergeCell ref="EX576:FB576"/>
    <mergeCell ref="EX577:FB577"/>
    <mergeCell ref="EX578:FB578"/>
    <mergeCell ref="EX579:FB579"/>
    <mergeCell ref="EX580:FB580"/>
    <mergeCell ref="EX581:FB581"/>
    <mergeCell ref="EX582:FB582"/>
    <mergeCell ref="EX595:FB595"/>
    <mergeCell ref="EX596:FB596"/>
    <mergeCell ref="EX585:FB585"/>
    <mergeCell ref="EX586:FB586"/>
    <mergeCell ref="EX587:FB587"/>
    <mergeCell ref="EX588:FB588"/>
    <mergeCell ref="EX589:FB589"/>
    <mergeCell ref="EX590:FB590"/>
    <mergeCell ref="EX591:FB591"/>
    <mergeCell ref="EX592:FB592"/>
    <mergeCell ref="EX593:FB593"/>
    <mergeCell ref="EX594:FB594"/>
    <mergeCell ref="EX607:FB607"/>
    <mergeCell ref="EX608:FB608"/>
    <mergeCell ref="EX597:FB597"/>
    <mergeCell ref="EX598:FB598"/>
    <mergeCell ref="EX599:FB599"/>
    <mergeCell ref="EX600:FB600"/>
    <mergeCell ref="EX601:FB601"/>
    <mergeCell ref="EX602:FB602"/>
    <mergeCell ref="EX603:FB603"/>
    <mergeCell ref="EX604:FB604"/>
    <mergeCell ref="EX605:FB605"/>
    <mergeCell ref="EX606:FB606"/>
    <mergeCell ref="EX547:FB547"/>
    <mergeCell ref="EX548:FB548"/>
    <mergeCell ref="EX537:FB537"/>
    <mergeCell ref="EX538:FB538"/>
    <mergeCell ref="EX539:FB539"/>
    <mergeCell ref="EX540:FB540"/>
    <mergeCell ref="EX541:FB541"/>
    <mergeCell ref="EX542:FB542"/>
    <mergeCell ref="EX543:FB543"/>
    <mergeCell ref="EX544:FB544"/>
    <mergeCell ref="EX545:FB545"/>
    <mergeCell ref="EX546:FB546"/>
    <mergeCell ref="EX559:FB559"/>
    <mergeCell ref="EX560:FB560"/>
    <mergeCell ref="EX549:FB549"/>
    <mergeCell ref="EX550:FB550"/>
    <mergeCell ref="EX551:FB551"/>
    <mergeCell ref="EX552:FB552"/>
    <mergeCell ref="EX553:FB553"/>
    <mergeCell ref="EX554:FB554"/>
    <mergeCell ref="EX555:FB555"/>
    <mergeCell ref="EX556:FB556"/>
    <mergeCell ref="EX557:FB557"/>
    <mergeCell ref="EX558:FB558"/>
    <mergeCell ref="EX571:FB571"/>
    <mergeCell ref="EX572:FB572"/>
    <mergeCell ref="EX561:FB561"/>
    <mergeCell ref="EX562:FB562"/>
    <mergeCell ref="EX563:FB563"/>
    <mergeCell ref="EX564:FB564"/>
    <mergeCell ref="EX565:FB565"/>
    <mergeCell ref="EX566:FB566"/>
    <mergeCell ref="EX567:FB567"/>
    <mergeCell ref="EX568:FB568"/>
    <mergeCell ref="EX569:FB569"/>
    <mergeCell ref="EX570:FB570"/>
    <mergeCell ref="EX511:FB511"/>
    <mergeCell ref="EX512:FB512"/>
    <mergeCell ref="EX501:FB501"/>
    <mergeCell ref="EX502:FB502"/>
    <mergeCell ref="EX503:FB503"/>
    <mergeCell ref="EX504:FB504"/>
    <mergeCell ref="EX505:FB505"/>
    <mergeCell ref="EX506:FB506"/>
    <mergeCell ref="EX507:FB507"/>
    <mergeCell ref="EX508:FB508"/>
    <mergeCell ref="EX509:FB509"/>
    <mergeCell ref="EX510:FB510"/>
    <mergeCell ref="EX523:FB523"/>
    <mergeCell ref="EX524:FB524"/>
    <mergeCell ref="EX513:FB513"/>
    <mergeCell ref="EX514:FB514"/>
    <mergeCell ref="EX515:FB515"/>
    <mergeCell ref="EX516:FB516"/>
    <mergeCell ref="EX517:FB517"/>
    <mergeCell ref="EX518:FB518"/>
    <mergeCell ref="EX519:FB519"/>
    <mergeCell ref="EX520:FB520"/>
    <mergeCell ref="EX521:FB521"/>
    <mergeCell ref="EX522:FB522"/>
    <mergeCell ref="EX535:FB535"/>
    <mergeCell ref="EX536:FB536"/>
    <mergeCell ref="EX525:FB525"/>
    <mergeCell ref="EX526:FB526"/>
    <mergeCell ref="EX527:FB527"/>
    <mergeCell ref="EX528:FB528"/>
    <mergeCell ref="EX529:FB529"/>
    <mergeCell ref="EX530:FB530"/>
    <mergeCell ref="EX531:FB531"/>
    <mergeCell ref="EX532:FB532"/>
    <mergeCell ref="EX533:FB533"/>
    <mergeCell ref="EX534:FB534"/>
    <mergeCell ref="EX475:FB475"/>
    <mergeCell ref="EX476:FB476"/>
    <mergeCell ref="EX465:FB465"/>
    <mergeCell ref="EX466:FB466"/>
    <mergeCell ref="EX467:FB467"/>
    <mergeCell ref="EX468:FB468"/>
    <mergeCell ref="EX469:FB469"/>
    <mergeCell ref="EX470:FB470"/>
    <mergeCell ref="EX471:FB471"/>
    <mergeCell ref="EX472:FB472"/>
    <mergeCell ref="EX473:FB473"/>
    <mergeCell ref="EX474:FB474"/>
    <mergeCell ref="EX487:FB487"/>
    <mergeCell ref="EX488:FB488"/>
    <mergeCell ref="EX477:FB477"/>
    <mergeCell ref="EX478:FB478"/>
    <mergeCell ref="EX479:FB479"/>
    <mergeCell ref="EX480:FB480"/>
    <mergeCell ref="EX481:FB481"/>
    <mergeCell ref="EX482:FB482"/>
    <mergeCell ref="EX483:FB483"/>
    <mergeCell ref="EX484:FB484"/>
    <mergeCell ref="EX485:FB485"/>
    <mergeCell ref="EX486:FB486"/>
    <mergeCell ref="EX499:FB499"/>
    <mergeCell ref="EX500:FB500"/>
    <mergeCell ref="EX489:FB489"/>
    <mergeCell ref="EX490:FB490"/>
    <mergeCell ref="EX491:FB491"/>
    <mergeCell ref="EX492:FB492"/>
    <mergeCell ref="EX493:FB493"/>
    <mergeCell ref="EX494:FB494"/>
    <mergeCell ref="EX495:FB495"/>
    <mergeCell ref="EX496:FB496"/>
    <mergeCell ref="EX497:FB497"/>
    <mergeCell ref="EX498:FB498"/>
    <mergeCell ref="EX439:FB439"/>
    <mergeCell ref="EX440:FB440"/>
    <mergeCell ref="EX429:FB429"/>
    <mergeCell ref="EX430:FB430"/>
    <mergeCell ref="EX431:FB431"/>
    <mergeCell ref="EX432:FB432"/>
    <mergeCell ref="EX433:FB433"/>
    <mergeCell ref="EX434:FB434"/>
    <mergeCell ref="EX435:FB435"/>
    <mergeCell ref="EX436:FB436"/>
    <mergeCell ref="EX437:FB437"/>
    <mergeCell ref="EX438:FB438"/>
    <mergeCell ref="EX451:FB451"/>
    <mergeCell ref="EX452:FB452"/>
    <mergeCell ref="EX441:FB441"/>
    <mergeCell ref="EX442:FB442"/>
    <mergeCell ref="EX443:FB443"/>
    <mergeCell ref="EX444:FB444"/>
    <mergeCell ref="EX445:FB445"/>
    <mergeCell ref="EX446:FB446"/>
    <mergeCell ref="EX447:FB447"/>
    <mergeCell ref="EX448:FB448"/>
    <mergeCell ref="EX449:FB449"/>
    <mergeCell ref="EX450:FB450"/>
    <mergeCell ref="EX463:FB463"/>
    <mergeCell ref="EX464:FB464"/>
    <mergeCell ref="EX453:FB453"/>
    <mergeCell ref="EX454:FB454"/>
    <mergeCell ref="EX455:FB455"/>
    <mergeCell ref="EX456:FB456"/>
    <mergeCell ref="EX457:FB457"/>
    <mergeCell ref="EX458:FB458"/>
    <mergeCell ref="EX459:FB459"/>
    <mergeCell ref="EX460:FB460"/>
    <mergeCell ref="EX461:FB461"/>
    <mergeCell ref="EX462:FB462"/>
    <mergeCell ref="EX387:FB387"/>
    <mergeCell ref="EX388:FB388"/>
    <mergeCell ref="EX389:FB389"/>
    <mergeCell ref="EX403:FB403"/>
    <mergeCell ref="EX404:FB404"/>
    <mergeCell ref="EX393:FB393"/>
    <mergeCell ref="EX394:FB394"/>
    <mergeCell ref="EX395:FB395"/>
    <mergeCell ref="EX396:FB396"/>
    <mergeCell ref="EX397:FB397"/>
    <mergeCell ref="EX398:FB398"/>
    <mergeCell ref="EX399:FB399"/>
    <mergeCell ref="EX400:FB400"/>
    <mergeCell ref="EX401:FB401"/>
    <mergeCell ref="EX402:FB402"/>
    <mergeCell ref="EX415:FB415"/>
    <mergeCell ref="EX416:FB416"/>
    <mergeCell ref="EX405:FB405"/>
    <mergeCell ref="EX406:FB406"/>
    <mergeCell ref="EX407:FB407"/>
    <mergeCell ref="EX408:FB408"/>
    <mergeCell ref="EX409:FB409"/>
    <mergeCell ref="EX410:FB410"/>
    <mergeCell ref="EX411:FB411"/>
    <mergeCell ref="EX412:FB412"/>
    <mergeCell ref="EX413:FB413"/>
    <mergeCell ref="EX414:FB414"/>
    <mergeCell ref="EX427:FB427"/>
    <mergeCell ref="EX428:FB428"/>
    <mergeCell ref="EX417:FB417"/>
    <mergeCell ref="EX418:FB418"/>
    <mergeCell ref="EX419:FB419"/>
    <mergeCell ref="EX420:FB420"/>
    <mergeCell ref="EX421:FB421"/>
    <mergeCell ref="EX422:FB422"/>
    <mergeCell ref="EX423:FB423"/>
    <mergeCell ref="EX424:FB424"/>
    <mergeCell ref="EX425:FB425"/>
    <mergeCell ref="EX426:FB426"/>
    <mergeCell ref="EX364:FB364"/>
    <mergeCell ref="CR443:CT443"/>
    <mergeCell ref="CU443:CW443"/>
    <mergeCell ref="CX443:DA443"/>
    <mergeCell ref="N439:R439"/>
    <mergeCell ref="H440:L440"/>
    <mergeCell ref="N443:R443"/>
    <mergeCell ref="EX379:FB379"/>
    <mergeCell ref="EX380:FB380"/>
    <mergeCell ref="EX374:FB374"/>
    <mergeCell ref="EX360:FB360"/>
    <mergeCell ref="EX361:FB361"/>
    <mergeCell ref="EX371:FB371"/>
    <mergeCell ref="EX372:FB372"/>
    <mergeCell ref="EX365:FB365"/>
    <mergeCell ref="EX362:FB362"/>
    <mergeCell ref="EX363:FB363"/>
    <mergeCell ref="EX359:FB359"/>
    <mergeCell ref="EX351:FB351"/>
    <mergeCell ref="EX343:FB343"/>
    <mergeCell ref="EX344:FB344"/>
    <mergeCell ref="EX345:FB345"/>
    <mergeCell ref="EX358:FB358"/>
    <mergeCell ref="EX349:FB349"/>
    <mergeCell ref="EX347:FB347"/>
    <mergeCell ref="EX348:FB348"/>
    <mergeCell ref="EX350:FB350"/>
    <mergeCell ref="EX357:FB357"/>
    <mergeCell ref="EX352:FB352"/>
    <mergeCell ref="EX353:FB353"/>
    <mergeCell ref="EX354:FB354"/>
    <mergeCell ref="EX355:FB355"/>
    <mergeCell ref="FD347:FH347"/>
    <mergeCell ref="FD348:FH348"/>
    <mergeCell ref="FD349:FH349"/>
    <mergeCell ref="EX366:FB366"/>
    <mergeCell ref="EX367:FB367"/>
    <mergeCell ref="EX368:FB368"/>
    <mergeCell ref="EX369:FB369"/>
    <mergeCell ref="FD362:FH362"/>
    <mergeCell ref="FD363:FH363"/>
    <mergeCell ref="FD364:FH364"/>
    <mergeCell ref="FD365:FH365"/>
    <mergeCell ref="FD366:FH366"/>
    <mergeCell ref="FD367:FH367"/>
    <mergeCell ref="EX370:FB370"/>
    <mergeCell ref="EX375:FB375"/>
    <mergeCell ref="EX376:FB376"/>
    <mergeCell ref="EX377:FB377"/>
    <mergeCell ref="EX378:FB378"/>
    <mergeCell ref="FD375:FH375"/>
    <mergeCell ref="FD376:FH376"/>
    <mergeCell ref="FD377:FH377"/>
    <mergeCell ref="EX373:FB373"/>
    <mergeCell ref="FD378:FH378"/>
    <mergeCell ref="EX391:FB391"/>
    <mergeCell ref="EX390:FB390"/>
    <mergeCell ref="EX392:FB392"/>
    <mergeCell ref="EX381:FB381"/>
    <mergeCell ref="EX382:FB382"/>
    <mergeCell ref="EX383:FB383"/>
    <mergeCell ref="EX384:FB384"/>
    <mergeCell ref="EX385:FB385"/>
    <mergeCell ref="EX386:FB386"/>
    <mergeCell ref="CX649:DA649"/>
    <mergeCell ref="CN648:CQ648"/>
    <mergeCell ref="CR648:CT648"/>
    <mergeCell ref="CU648:CW648"/>
    <mergeCell ref="CX648:DA648"/>
    <mergeCell ref="CU649:CW649"/>
    <mergeCell ref="CR649:CT649"/>
    <mergeCell ref="CN649:CQ649"/>
    <mergeCell ref="G287:I287"/>
    <mergeCell ref="Q280:R280"/>
    <mergeCell ref="O283:P283"/>
    <mergeCell ref="Q286:R286"/>
    <mergeCell ref="O287:P287"/>
    <mergeCell ref="Q284:R284"/>
    <mergeCell ref="G280:I280"/>
    <mergeCell ref="J283:K283"/>
    <mergeCell ref="J285:K285"/>
    <mergeCell ref="G281:I281"/>
    <mergeCell ref="J290:K290"/>
    <mergeCell ref="J287:K287"/>
    <mergeCell ref="J289:K289"/>
    <mergeCell ref="J284:K284"/>
    <mergeCell ref="T285:U285"/>
    <mergeCell ref="J286:K286"/>
    <mergeCell ref="O288:P288"/>
    <mergeCell ref="J288:K288"/>
    <mergeCell ref="O286:P286"/>
    <mergeCell ref="Q285:R285"/>
    <mergeCell ref="Q291:R291"/>
    <mergeCell ref="Q282:R282"/>
    <mergeCell ref="Q281:R281"/>
    <mergeCell ref="T290:U290"/>
    <mergeCell ref="Q288:R288"/>
    <mergeCell ref="Q283:R283"/>
    <mergeCell ref="T286:U286"/>
    <mergeCell ref="T288:U288"/>
    <mergeCell ref="Q287:R287"/>
    <mergeCell ref="T282:U282"/>
    <mergeCell ref="D372:G375"/>
    <mergeCell ref="J295:K295"/>
    <mergeCell ref="N436:R436"/>
    <mergeCell ref="H372:AO373"/>
    <mergeCell ref="F377:AN378"/>
    <mergeCell ref="AH295:AN295"/>
    <mergeCell ref="D295:F295"/>
    <mergeCell ref="V295:W295"/>
    <mergeCell ref="G295:I295"/>
    <mergeCell ref="D297:F297"/>
    <mergeCell ref="N440:R440"/>
    <mergeCell ref="N442:R442"/>
    <mergeCell ref="CN440:CQ440"/>
    <mergeCell ref="BX442:CA442"/>
    <mergeCell ref="CB442:CD442"/>
    <mergeCell ref="CE442:CG442"/>
    <mergeCell ref="CH442:CK442"/>
    <mergeCell ref="BX441:CA441"/>
    <mergeCell ref="CB441:CD441"/>
    <mergeCell ref="CE441:CG441"/>
    <mergeCell ref="H439:L439"/>
    <mergeCell ref="H443:L443"/>
    <mergeCell ref="H441:L441"/>
    <mergeCell ref="L284:M284"/>
    <mergeCell ref="V288:W288"/>
    <mergeCell ref="V284:W284"/>
    <mergeCell ref="AA478:AD478"/>
    <mergeCell ref="X478:Z478"/>
    <mergeCell ref="AA475:AD475"/>
    <mergeCell ref="BE335:BE337"/>
    <mergeCell ref="CX646:DA646"/>
    <mergeCell ref="X476:Z476"/>
    <mergeCell ref="CN637:CQ637"/>
    <mergeCell ref="X477:Z477"/>
    <mergeCell ref="X479:Z479"/>
    <mergeCell ref="CU647:CW647"/>
    <mergeCell ref="CR644:CT644"/>
    <mergeCell ref="CU644:CW644"/>
    <mergeCell ref="CR647:CT647"/>
    <mergeCell ref="CN646:CQ646"/>
    <mergeCell ref="CX647:DA647"/>
    <mergeCell ref="CR646:CT646"/>
    <mergeCell ref="CU646:CW646"/>
    <mergeCell ref="CX639:DA639"/>
    <mergeCell ref="CR640:CT640"/>
    <mergeCell ref="CU638:CW638"/>
    <mergeCell ref="CX638:DA638"/>
    <mergeCell ref="CU640:CW640"/>
    <mergeCell ref="CX640:DA640"/>
    <mergeCell ref="CU645:CW645"/>
    <mergeCell ref="CU338:CW338"/>
    <mergeCell ref="CN644:CQ644"/>
    <mergeCell ref="CR642:CT642"/>
    <mergeCell ref="CR636:CT636"/>
    <mergeCell ref="CR634:CT634"/>
    <mergeCell ref="CU637:CW637"/>
    <mergeCell ref="CN635:CQ635"/>
    <mergeCell ref="CU642:CW642"/>
    <mergeCell ref="CN338:CQ338"/>
    <mergeCell ref="CN642:CQ642"/>
    <mergeCell ref="CN647:CQ647"/>
    <mergeCell ref="CN645:CQ645"/>
    <mergeCell ref="CN643:CQ643"/>
    <mergeCell ref="CR645:CT645"/>
    <mergeCell ref="CR338:CT338"/>
    <mergeCell ref="CR635:CT635"/>
    <mergeCell ref="CN633:CQ633"/>
    <mergeCell ref="CR633:CT633"/>
    <mergeCell ref="CR632:CT632"/>
    <mergeCell ref="CN638:CQ638"/>
    <mergeCell ref="W544:Z544"/>
    <mergeCell ref="CN352:CQ352"/>
    <mergeCell ref="CR352:CT352"/>
    <mergeCell ref="CU352:CW352"/>
    <mergeCell ref="CX352:DA352"/>
    <mergeCell ref="CN355:CQ355"/>
    <mergeCell ref="CR355:CT355"/>
    <mergeCell ref="CU355:CW355"/>
    <mergeCell ref="CX355:DA355"/>
    <mergeCell ref="CN354:CQ354"/>
    <mergeCell ref="CR354:CT354"/>
    <mergeCell ref="CU354:CW354"/>
    <mergeCell ref="CX354:DA354"/>
    <mergeCell ref="CN357:CQ357"/>
    <mergeCell ref="CR357:CT357"/>
    <mergeCell ref="CU357:CW357"/>
    <mergeCell ref="CX357:DA357"/>
    <mergeCell ref="CX338:DA338"/>
    <mergeCell ref="CX337:DA337"/>
    <mergeCell ref="CR337:CT337"/>
    <mergeCell ref="CU632:CW632"/>
    <mergeCell ref="CX632:DA632"/>
    <mergeCell ref="CN629:CQ629"/>
    <mergeCell ref="CR629:CT629"/>
    <mergeCell ref="CU629:CW629"/>
    <mergeCell ref="CX629:DA629"/>
    <mergeCell ref="CN630:CQ630"/>
    <mergeCell ref="CX637:DA637"/>
    <mergeCell ref="CR637:CT637"/>
    <mergeCell ref="CU633:CW633"/>
    <mergeCell ref="CX633:DA633"/>
    <mergeCell ref="CU636:CW636"/>
    <mergeCell ref="CN631:CQ631"/>
    <mergeCell ref="CR631:CT631"/>
    <mergeCell ref="CU631:CW631"/>
    <mergeCell ref="CX631:DA631"/>
    <mergeCell ref="CN632:CQ632"/>
    <mergeCell ref="CR639:CT639"/>
    <mergeCell ref="CN634:CQ634"/>
    <mergeCell ref="CX636:DA636"/>
    <mergeCell ref="CN636:CQ636"/>
    <mergeCell ref="CU639:CW639"/>
    <mergeCell ref="CR638:CT638"/>
    <mergeCell ref="CU635:CW635"/>
    <mergeCell ref="CX635:DA635"/>
    <mergeCell ref="CU634:CW634"/>
    <mergeCell ref="CX634:DA634"/>
    <mergeCell ref="CX645:DA645"/>
    <mergeCell ref="CX644:DA644"/>
    <mergeCell ref="CR643:CT643"/>
    <mergeCell ref="CU643:CW643"/>
    <mergeCell ref="CU641:CW641"/>
    <mergeCell ref="CX643:DA643"/>
    <mergeCell ref="CX642:DA642"/>
    <mergeCell ref="CR641:CT641"/>
    <mergeCell ref="CX641:DA641"/>
    <mergeCell ref="CN641:CQ641"/>
    <mergeCell ref="CN639:CQ639"/>
    <mergeCell ref="CN640:CQ640"/>
    <mergeCell ref="CR622:CT622"/>
    <mergeCell ref="CU622:CW622"/>
    <mergeCell ref="CX622:DA622"/>
    <mergeCell ref="CN621:CQ621"/>
    <mergeCell ref="CR621:CT621"/>
    <mergeCell ref="CU621:CW621"/>
    <mergeCell ref="CX621:DA621"/>
    <mergeCell ref="CN622:CQ622"/>
    <mergeCell ref="CR624:CT624"/>
    <mergeCell ref="CU624:CW624"/>
    <mergeCell ref="CX624:DA624"/>
    <mergeCell ref="CN623:CQ623"/>
    <mergeCell ref="CR623:CT623"/>
    <mergeCell ref="CU623:CW623"/>
    <mergeCell ref="CX623:DA623"/>
    <mergeCell ref="CN624:CQ624"/>
    <mergeCell ref="CR626:CT626"/>
    <mergeCell ref="CU626:CW626"/>
    <mergeCell ref="CX626:DA626"/>
    <mergeCell ref="CN625:CQ625"/>
    <mergeCell ref="CR625:CT625"/>
    <mergeCell ref="CU625:CW625"/>
    <mergeCell ref="CX625:DA625"/>
    <mergeCell ref="CN626:CQ626"/>
    <mergeCell ref="CR628:CT628"/>
    <mergeCell ref="CU628:CW628"/>
    <mergeCell ref="CX628:DA628"/>
    <mergeCell ref="CN627:CQ627"/>
    <mergeCell ref="CR627:CT627"/>
    <mergeCell ref="CU627:CW627"/>
    <mergeCell ref="CX627:DA627"/>
    <mergeCell ref="CN628:CQ628"/>
    <mergeCell ref="CR630:CT630"/>
    <mergeCell ref="CU630:CW630"/>
    <mergeCell ref="CX630:DA630"/>
    <mergeCell ref="CR612:CT612"/>
    <mergeCell ref="CU612:CW612"/>
    <mergeCell ref="CX612:DA612"/>
    <mergeCell ref="CN611:CQ611"/>
    <mergeCell ref="CR611:CT611"/>
    <mergeCell ref="CU611:CW611"/>
    <mergeCell ref="CX611:DA611"/>
    <mergeCell ref="CN612:CQ612"/>
    <mergeCell ref="CR614:CT614"/>
    <mergeCell ref="CU614:CW614"/>
    <mergeCell ref="CX614:DA614"/>
    <mergeCell ref="CN613:CQ613"/>
    <mergeCell ref="CR613:CT613"/>
    <mergeCell ref="CU613:CW613"/>
    <mergeCell ref="CX613:DA613"/>
    <mergeCell ref="CN614:CQ614"/>
    <mergeCell ref="CR616:CT616"/>
    <mergeCell ref="CU616:CW616"/>
    <mergeCell ref="CX616:DA616"/>
    <mergeCell ref="CN615:CQ615"/>
    <mergeCell ref="CR615:CT615"/>
    <mergeCell ref="CU615:CW615"/>
    <mergeCell ref="CX615:DA615"/>
    <mergeCell ref="CN616:CQ616"/>
    <mergeCell ref="CR618:CT618"/>
    <mergeCell ref="CU618:CW618"/>
    <mergeCell ref="CX618:DA618"/>
    <mergeCell ref="CN617:CQ617"/>
    <mergeCell ref="CR617:CT617"/>
    <mergeCell ref="CU617:CW617"/>
    <mergeCell ref="CX617:DA617"/>
    <mergeCell ref="CN618:CQ618"/>
    <mergeCell ref="CR620:CT620"/>
    <mergeCell ref="CU620:CW620"/>
    <mergeCell ref="CX620:DA620"/>
    <mergeCell ref="CN619:CQ619"/>
    <mergeCell ref="CR619:CT619"/>
    <mergeCell ref="CU619:CW619"/>
    <mergeCell ref="CX619:DA619"/>
    <mergeCell ref="CN620:CQ620"/>
    <mergeCell ref="CN602:CQ602"/>
    <mergeCell ref="CR602:CT602"/>
    <mergeCell ref="CU602:CW602"/>
    <mergeCell ref="CX602:DA602"/>
    <mergeCell ref="CN601:CQ601"/>
    <mergeCell ref="CR601:CT601"/>
    <mergeCell ref="CU601:CW601"/>
    <mergeCell ref="CX601:DA601"/>
    <mergeCell ref="CN604:CQ604"/>
    <mergeCell ref="CR604:CT604"/>
    <mergeCell ref="CU604:CW604"/>
    <mergeCell ref="CX604:DA604"/>
    <mergeCell ref="CN603:CQ603"/>
    <mergeCell ref="CR603:CT603"/>
    <mergeCell ref="CU603:CW603"/>
    <mergeCell ref="CX603:DA603"/>
    <mergeCell ref="CR606:CT606"/>
    <mergeCell ref="CU606:CW606"/>
    <mergeCell ref="CX606:DA606"/>
    <mergeCell ref="CN605:CQ605"/>
    <mergeCell ref="CR605:CT605"/>
    <mergeCell ref="CU605:CW605"/>
    <mergeCell ref="CX605:DA605"/>
    <mergeCell ref="CN606:CQ606"/>
    <mergeCell ref="CR608:CT608"/>
    <mergeCell ref="CU608:CW608"/>
    <mergeCell ref="CX608:DA608"/>
    <mergeCell ref="CN607:CQ607"/>
    <mergeCell ref="CR607:CT607"/>
    <mergeCell ref="CU607:CW607"/>
    <mergeCell ref="CX607:DA607"/>
    <mergeCell ref="CN608:CQ608"/>
    <mergeCell ref="CR610:CT610"/>
    <mergeCell ref="CU610:CW610"/>
    <mergeCell ref="CX610:DA610"/>
    <mergeCell ref="CN609:CQ609"/>
    <mergeCell ref="CR609:CT609"/>
    <mergeCell ref="CU609:CW609"/>
    <mergeCell ref="CX609:DA609"/>
    <mergeCell ref="CN610:CQ610"/>
    <mergeCell ref="CN592:CQ592"/>
    <mergeCell ref="CR592:CT592"/>
    <mergeCell ref="CU592:CW592"/>
    <mergeCell ref="CX592:DA592"/>
    <mergeCell ref="CN591:CQ591"/>
    <mergeCell ref="CR591:CT591"/>
    <mergeCell ref="CU591:CW591"/>
    <mergeCell ref="CX591:DA591"/>
    <mergeCell ref="CN594:CQ594"/>
    <mergeCell ref="CR594:CT594"/>
    <mergeCell ref="CU594:CW594"/>
    <mergeCell ref="CX594:DA594"/>
    <mergeCell ref="CN593:CQ593"/>
    <mergeCell ref="CR593:CT593"/>
    <mergeCell ref="CU593:CW593"/>
    <mergeCell ref="CX593:DA593"/>
    <mergeCell ref="CN596:CQ596"/>
    <mergeCell ref="CR596:CT596"/>
    <mergeCell ref="CU596:CW596"/>
    <mergeCell ref="CX596:DA596"/>
    <mergeCell ref="CN595:CQ595"/>
    <mergeCell ref="CR595:CT595"/>
    <mergeCell ref="CU595:CW595"/>
    <mergeCell ref="CX595:DA595"/>
    <mergeCell ref="CN598:CQ598"/>
    <mergeCell ref="CR598:CT598"/>
    <mergeCell ref="CU598:CW598"/>
    <mergeCell ref="CX598:DA598"/>
    <mergeCell ref="CN597:CQ597"/>
    <mergeCell ref="CR597:CT597"/>
    <mergeCell ref="CU597:CW597"/>
    <mergeCell ref="CX597:DA597"/>
    <mergeCell ref="CN600:CQ600"/>
    <mergeCell ref="CR600:CT600"/>
    <mergeCell ref="CU600:CW600"/>
    <mergeCell ref="CX600:DA600"/>
    <mergeCell ref="CN599:CQ599"/>
    <mergeCell ref="CR599:CT599"/>
    <mergeCell ref="CU599:CW599"/>
    <mergeCell ref="CX599:DA599"/>
    <mergeCell ref="CN582:CQ582"/>
    <mergeCell ref="CR582:CT582"/>
    <mergeCell ref="CU582:CW582"/>
    <mergeCell ref="CX582:DA582"/>
    <mergeCell ref="CN581:CQ581"/>
    <mergeCell ref="CR581:CT581"/>
    <mergeCell ref="CU581:CW581"/>
    <mergeCell ref="CX581:DA581"/>
    <mergeCell ref="CN584:CQ584"/>
    <mergeCell ref="CR584:CT584"/>
    <mergeCell ref="CU584:CW584"/>
    <mergeCell ref="CX584:DA584"/>
    <mergeCell ref="CN583:CQ583"/>
    <mergeCell ref="CR583:CT583"/>
    <mergeCell ref="CU583:CW583"/>
    <mergeCell ref="CX583:DA583"/>
    <mergeCell ref="CN586:CQ586"/>
    <mergeCell ref="CR586:CT586"/>
    <mergeCell ref="CU586:CW586"/>
    <mergeCell ref="CX586:DA586"/>
    <mergeCell ref="CN585:CQ585"/>
    <mergeCell ref="CR585:CT585"/>
    <mergeCell ref="CU585:CW585"/>
    <mergeCell ref="CX585:DA585"/>
    <mergeCell ref="CN588:CQ588"/>
    <mergeCell ref="CR588:CT588"/>
    <mergeCell ref="CU588:CW588"/>
    <mergeCell ref="CX588:DA588"/>
    <mergeCell ref="CN587:CQ587"/>
    <mergeCell ref="CR587:CT587"/>
    <mergeCell ref="CU587:CW587"/>
    <mergeCell ref="CX587:DA587"/>
    <mergeCell ref="CN590:CQ590"/>
    <mergeCell ref="CR590:CT590"/>
    <mergeCell ref="CU590:CW590"/>
    <mergeCell ref="CX590:DA590"/>
    <mergeCell ref="CN589:CQ589"/>
    <mergeCell ref="CR589:CT589"/>
    <mergeCell ref="CU589:CW589"/>
    <mergeCell ref="CX589:DA589"/>
    <mergeCell ref="CN572:CQ572"/>
    <mergeCell ref="CR572:CT572"/>
    <mergeCell ref="CU572:CW572"/>
    <mergeCell ref="CX572:DA572"/>
    <mergeCell ref="CN571:CQ571"/>
    <mergeCell ref="CR571:CT571"/>
    <mergeCell ref="CU571:CW571"/>
    <mergeCell ref="CX571:DA571"/>
    <mergeCell ref="CN574:CQ574"/>
    <mergeCell ref="CR574:CT574"/>
    <mergeCell ref="CU574:CW574"/>
    <mergeCell ref="CX574:DA574"/>
    <mergeCell ref="CN573:CQ573"/>
    <mergeCell ref="CR573:CT573"/>
    <mergeCell ref="CU573:CW573"/>
    <mergeCell ref="CX573:DA573"/>
    <mergeCell ref="CN576:CQ576"/>
    <mergeCell ref="CR576:CT576"/>
    <mergeCell ref="CU576:CW576"/>
    <mergeCell ref="CX576:DA576"/>
    <mergeCell ref="CN575:CQ575"/>
    <mergeCell ref="CR575:CT575"/>
    <mergeCell ref="CU575:CW575"/>
    <mergeCell ref="CX575:DA575"/>
    <mergeCell ref="CN578:CQ578"/>
    <mergeCell ref="CR578:CT578"/>
    <mergeCell ref="CU578:CW578"/>
    <mergeCell ref="CX578:DA578"/>
    <mergeCell ref="CN577:CQ577"/>
    <mergeCell ref="CR577:CT577"/>
    <mergeCell ref="CU577:CW577"/>
    <mergeCell ref="CX577:DA577"/>
    <mergeCell ref="CN580:CQ580"/>
    <mergeCell ref="CR580:CT580"/>
    <mergeCell ref="CU580:CW580"/>
    <mergeCell ref="CX580:DA580"/>
    <mergeCell ref="CN579:CQ579"/>
    <mergeCell ref="CR579:CT579"/>
    <mergeCell ref="CU579:CW579"/>
    <mergeCell ref="CX579:DA579"/>
    <mergeCell ref="CN562:CQ562"/>
    <mergeCell ref="CR562:CT562"/>
    <mergeCell ref="CU562:CW562"/>
    <mergeCell ref="CX562:DA562"/>
    <mergeCell ref="CN561:CQ561"/>
    <mergeCell ref="CR561:CT561"/>
    <mergeCell ref="CU561:CW561"/>
    <mergeCell ref="CX561:DA561"/>
    <mergeCell ref="CN564:CQ564"/>
    <mergeCell ref="CR564:CT564"/>
    <mergeCell ref="CU564:CW564"/>
    <mergeCell ref="CX564:DA564"/>
    <mergeCell ref="CN563:CQ563"/>
    <mergeCell ref="CR563:CT563"/>
    <mergeCell ref="CU563:CW563"/>
    <mergeCell ref="CX563:DA563"/>
    <mergeCell ref="CN566:CQ566"/>
    <mergeCell ref="CR566:CT566"/>
    <mergeCell ref="CU566:CW566"/>
    <mergeCell ref="CX566:DA566"/>
    <mergeCell ref="CN565:CQ565"/>
    <mergeCell ref="CR565:CT565"/>
    <mergeCell ref="CU565:CW565"/>
    <mergeCell ref="CX565:DA565"/>
    <mergeCell ref="CN568:CQ568"/>
    <mergeCell ref="CR568:CT568"/>
    <mergeCell ref="CU568:CW568"/>
    <mergeCell ref="CX568:DA568"/>
    <mergeCell ref="CN567:CQ567"/>
    <mergeCell ref="CR567:CT567"/>
    <mergeCell ref="CU567:CW567"/>
    <mergeCell ref="CX567:DA567"/>
    <mergeCell ref="CN570:CQ570"/>
    <mergeCell ref="CR570:CT570"/>
    <mergeCell ref="CU570:CW570"/>
    <mergeCell ref="CX570:DA570"/>
    <mergeCell ref="CN569:CQ569"/>
    <mergeCell ref="CR569:CT569"/>
    <mergeCell ref="CU569:CW569"/>
    <mergeCell ref="CX569:DA569"/>
    <mergeCell ref="CN552:CQ552"/>
    <mergeCell ref="CR552:CT552"/>
    <mergeCell ref="CU552:CW552"/>
    <mergeCell ref="CX552:DA552"/>
    <mergeCell ref="CN551:CQ551"/>
    <mergeCell ref="CR551:CT551"/>
    <mergeCell ref="CU551:CW551"/>
    <mergeCell ref="CX551:DA551"/>
    <mergeCell ref="CN554:CQ554"/>
    <mergeCell ref="CR554:CT554"/>
    <mergeCell ref="CU554:CW554"/>
    <mergeCell ref="CX554:DA554"/>
    <mergeCell ref="CN553:CQ553"/>
    <mergeCell ref="CR553:CT553"/>
    <mergeCell ref="CU553:CW553"/>
    <mergeCell ref="CX553:DA553"/>
    <mergeCell ref="CN556:CQ556"/>
    <mergeCell ref="CR556:CT556"/>
    <mergeCell ref="CU556:CW556"/>
    <mergeCell ref="CX556:DA556"/>
    <mergeCell ref="CN555:CQ555"/>
    <mergeCell ref="CR555:CT555"/>
    <mergeCell ref="CU555:CW555"/>
    <mergeCell ref="CX555:DA555"/>
    <mergeCell ref="CN558:CQ558"/>
    <mergeCell ref="CR558:CT558"/>
    <mergeCell ref="CU558:CW558"/>
    <mergeCell ref="CX558:DA558"/>
    <mergeCell ref="CN557:CQ557"/>
    <mergeCell ref="CR557:CT557"/>
    <mergeCell ref="CU557:CW557"/>
    <mergeCell ref="CX557:DA557"/>
    <mergeCell ref="CN560:CQ560"/>
    <mergeCell ref="CR560:CT560"/>
    <mergeCell ref="CU560:CW560"/>
    <mergeCell ref="CX560:DA560"/>
    <mergeCell ref="CN559:CQ559"/>
    <mergeCell ref="CR559:CT559"/>
    <mergeCell ref="CU559:CW559"/>
    <mergeCell ref="CX559:DA559"/>
    <mergeCell ref="CN542:CQ542"/>
    <mergeCell ref="CR542:CT542"/>
    <mergeCell ref="CU542:CW542"/>
    <mergeCell ref="CX542:DA542"/>
    <mergeCell ref="CN541:CQ541"/>
    <mergeCell ref="CR541:CT541"/>
    <mergeCell ref="CU541:CW541"/>
    <mergeCell ref="CX541:DA541"/>
    <mergeCell ref="CN544:CQ544"/>
    <mergeCell ref="CR544:CT544"/>
    <mergeCell ref="CU544:CW544"/>
    <mergeCell ref="CX544:DA544"/>
    <mergeCell ref="CN543:CQ543"/>
    <mergeCell ref="CR543:CT543"/>
    <mergeCell ref="CU543:CW543"/>
    <mergeCell ref="CX543:DA543"/>
    <mergeCell ref="CN546:CQ546"/>
    <mergeCell ref="CR546:CT546"/>
    <mergeCell ref="CU546:CW546"/>
    <mergeCell ref="CX546:DA546"/>
    <mergeCell ref="CN545:CQ545"/>
    <mergeCell ref="CR545:CT545"/>
    <mergeCell ref="CU545:CW545"/>
    <mergeCell ref="CX545:DA545"/>
    <mergeCell ref="CN548:CQ548"/>
    <mergeCell ref="CR548:CT548"/>
    <mergeCell ref="CU548:CW548"/>
    <mergeCell ref="CX548:DA548"/>
    <mergeCell ref="CN547:CQ547"/>
    <mergeCell ref="CR547:CT547"/>
    <mergeCell ref="CU547:CW547"/>
    <mergeCell ref="CX547:DA547"/>
    <mergeCell ref="CN550:CQ550"/>
    <mergeCell ref="CR550:CT550"/>
    <mergeCell ref="CU550:CW550"/>
    <mergeCell ref="CX550:DA550"/>
    <mergeCell ref="CN549:CQ549"/>
    <mergeCell ref="CR549:CT549"/>
    <mergeCell ref="CU549:CW549"/>
    <mergeCell ref="CX549:DA549"/>
    <mergeCell ref="CN532:CQ532"/>
    <mergeCell ref="CR532:CT532"/>
    <mergeCell ref="CU532:CW532"/>
    <mergeCell ref="CX532:DA532"/>
    <mergeCell ref="CN531:CQ531"/>
    <mergeCell ref="CR531:CT531"/>
    <mergeCell ref="CU531:CW531"/>
    <mergeCell ref="CX531:DA531"/>
    <mergeCell ref="CN534:CQ534"/>
    <mergeCell ref="CR534:CT534"/>
    <mergeCell ref="CU534:CW534"/>
    <mergeCell ref="CX534:DA534"/>
    <mergeCell ref="CN533:CQ533"/>
    <mergeCell ref="CR533:CT533"/>
    <mergeCell ref="CU533:CW533"/>
    <mergeCell ref="CX533:DA533"/>
    <mergeCell ref="CN536:CQ536"/>
    <mergeCell ref="CR536:CT536"/>
    <mergeCell ref="CU536:CW536"/>
    <mergeCell ref="CX536:DA536"/>
    <mergeCell ref="CN535:CQ535"/>
    <mergeCell ref="CR535:CT535"/>
    <mergeCell ref="CU535:CW535"/>
    <mergeCell ref="CX535:DA535"/>
    <mergeCell ref="CN538:CQ538"/>
    <mergeCell ref="CR538:CT538"/>
    <mergeCell ref="CU538:CW538"/>
    <mergeCell ref="CX538:DA538"/>
    <mergeCell ref="CN537:CQ537"/>
    <mergeCell ref="CR537:CT537"/>
    <mergeCell ref="CU537:CW537"/>
    <mergeCell ref="CX537:DA537"/>
    <mergeCell ref="CN540:CQ540"/>
    <mergeCell ref="CR540:CT540"/>
    <mergeCell ref="CU540:CW540"/>
    <mergeCell ref="CX540:DA540"/>
    <mergeCell ref="CN539:CQ539"/>
    <mergeCell ref="CR539:CT539"/>
    <mergeCell ref="CU539:CW539"/>
    <mergeCell ref="CX539:DA539"/>
    <mergeCell ref="CN522:CQ522"/>
    <mergeCell ref="CR522:CT522"/>
    <mergeCell ref="CU522:CW522"/>
    <mergeCell ref="CX522:DA522"/>
    <mergeCell ref="CN521:CQ521"/>
    <mergeCell ref="CR521:CT521"/>
    <mergeCell ref="CU521:CW521"/>
    <mergeCell ref="CX521:DA521"/>
    <mergeCell ref="CN524:CQ524"/>
    <mergeCell ref="CR524:CT524"/>
    <mergeCell ref="CU524:CW524"/>
    <mergeCell ref="CX524:DA524"/>
    <mergeCell ref="CN523:CQ523"/>
    <mergeCell ref="CR523:CT523"/>
    <mergeCell ref="CU523:CW523"/>
    <mergeCell ref="CX523:DA523"/>
    <mergeCell ref="CN526:CQ526"/>
    <mergeCell ref="CR526:CT526"/>
    <mergeCell ref="CU526:CW526"/>
    <mergeCell ref="CX526:DA526"/>
    <mergeCell ref="CN525:CQ525"/>
    <mergeCell ref="CR525:CT525"/>
    <mergeCell ref="CU525:CW525"/>
    <mergeCell ref="CX525:DA525"/>
    <mergeCell ref="CN528:CQ528"/>
    <mergeCell ref="CR528:CT528"/>
    <mergeCell ref="CU528:CW528"/>
    <mergeCell ref="CX528:DA528"/>
    <mergeCell ref="CN527:CQ527"/>
    <mergeCell ref="CR527:CT527"/>
    <mergeCell ref="CU527:CW527"/>
    <mergeCell ref="CX527:DA527"/>
    <mergeCell ref="CN530:CQ530"/>
    <mergeCell ref="CR530:CT530"/>
    <mergeCell ref="CU530:CW530"/>
    <mergeCell ref="CX530:DA530"/>
    <mergeCell ref="CN529:CQ529"/>
    <mergeCell ref="CR529:CT529"/>
    <mergeCell ref="CU529:CW529"/>
    <mergeCell ref="CX529:DA529"/>
    <mergeCell ref="CN512:CQ512"/>
    <mergeCell ref="CR512:CT512"/>
    <mergeCell ref="CU512:CW512"/>
    <mergeCell ref="CX512:DA512"/>
    <mergeCell ref="CN511:CQ511"/>
    <mergeCell ref="CR511:CT511"/>
    <mergeCell ref="CU511:CW511"/>
    <mergeCell ref="CX511:DA511"/>
    <mergeCell ref="CN514:CQ514"/>
    <mergeCell ref="CR514:CT514"/>
    <mergeCell ref="CU514:CW514"/>
    <mergeCell ref="CX514:DA514"/>
    <mergeCell ref="CN513:CQ513"/>
    <mergeCell ref="CR513:CT513"/>
    <mergeCell ref="CU513:CW513"/>
    <mergeCell ref="CX513:DA513"/>
    <mergeCell ref="CN516:CQ516"/>
    <mergeCell ref="CR516:CT516"/>
    <mergeCell ref="CU516:CW516"/>
    <mergeCell ref="CX516:DA516"/>
    <mergeCell ref="CN515:CQ515"/>
    <mergeCell ref="CR515:CT515"/>
    <mergeCell ref="CU515:CW515"/>
    <mergeCell ref="CX515:DA515"/>
    <mergeCell ref="CN518:CQ518"/>
    <mergeCell ref="CR518:CT518"/>
    <mergeCell ref="CU518:CW518"/>
    <mergeCell ref="CX518:DA518"/>
    <mergeCell ref="CN517:CQ517"/>
    <mergeCell ref="CR517:CT517"/>
    <mergeCell ref="CU517:CW517"/>
    <mergeCell ref="CX517:DA517"/>
    <mergeCell ref="CN520:CQ520"/>
    <mergeCell ref="CR520:CT520"/>
    <mergeCell ref="CU520:CW520"/>
    <mergeCell ref="CX520:DA520"/>
    <mergeCell ref="CN519:CQ519"/>
    <mergeCell ref="CR519:CT519"/>
    <mergeCell ref="CU519:CW519"/>
    <mergeCell ref="CX519:DA519"/>
    <mergeCell ref="CN502:CQ502"/>
    <mergeCell ref="CR502:CT502"/>
    <mergeCell ref="CU502:CW502"/>
    <mergeCell ref="CX502:DA502"/>
    <mergeCell ref="CN501:CQ501"/>
    <mergeCell ref="CR501:CT501"/>
    <mergeCell ref="CU501:CW501"/>
    <mergeCell ref="CX501:DA501"/>
    <mergeCell ref="CN504:CQ504"/>
    <mergeCell ref="CR504:CT504"/>
    <mergeCell ref="CU504:CW504"/>
    <mergeCell ref="CX504:DA504"/>
    <mergeCell ref="CN503:CQ503"/>
    <mergeCell ref="CR503:CT503"/>
    <mergeCell ref="CU503:CW503"/>
    <mergeCell ref="CX503:DA503"/>
    <mergeCell ref="CN506:CQ506"/>
    <mergeCell ref="CR506:CT506"/>
    <mergeCell ref="CU506:CW506"/>
    <mergeCell ref="CX506:DA506"/>
    <mergeCell ref="CN505:CQ505"/>
    <mergeCell ref="CR505:CT505"/>
    <mergeCell ref="CU505:CW505"/>
    <mergeCell ref="CX505:DA505"/>
    <mergeCell ref="CN508:CQ508"/>
    <mergeCell ref="CR508:CT508"/>
    <mergeCell ref="CU508:CW508"/>
    <mergeCell ref="CX508:DA508"/>
    <mergeCell ref="CN507:CQ507"/>
    <mergeCell ref="CR507:CT507"/>
    <mergeCell ref="CU507:CW507"/>
    <mergeCell ref="CX507:DA507"/>
    <mergeCell ref="CN510:CQ510"/>
    <mergeCell ref="CR510:CT510"/>
    <mergeCell ref="CU510:CW510"/>
    <mergeCell ref="CX510:DA510"/>
    <mergeCell ref="CN509:CQ509"/>
    <mergeCell ref="CR509:CT509"/>
    <mergeCell ref="CU509:CW509"/>
    <mergeCell ref="CX509:DA509"/>
    <mergeCell ref="CN492:CQ492"/>
    <mergeCell ref="CR492:CT492"/>
    <mergeCell ref="CU492:CW492"/>
    <mergeCell ref="CX492:DA492"/>
    <mergeCell ref="CN491:CQ491"/>
    <mergeCell ref="CR491:CT491"/>
    <mergeCell ref="CU491:CW491"/>
    <mergeCell ref="CX491:DA491"/>
    <mergeCell ref="CN494:CQ494"/>
    <mergeCell ref="CR494:CT494"/>
    <mergeCell ref="CU494:CW494"/>
    <mergeCell ref="CX494:DA494"/>
    <mergeCell ref="CN493:CQ493"/>
    <mergeCell ref="CR493:CT493"/>
    <mergeCell ref="CU493:CW493"/>
    <mergeCell ref="CX493:DA493"/>
    <mergeCell ref="CN496:CQ496"/>
    <mergeCell ref="CR496:CT496"/>
    <mergeCell ref="CU496:CW496"/>
    <mergeCell ref="CX496:DA496"/>
    <mergeCell ref="CN495:CQ495"/>
    <mergeCell ref="CR495:CT495"/>
    <mergeCell ref="CU495:CW495"/>
    <mergeCell ref="CX495:DA495"/>
    <mergeCell ref="CN498:CQ498"/>
    <mergeCell ref="CR498:CT498"/>
    <mergeCell ref="CU498:CW498"/>
    <mergeCell ref="CX498:DA498"/>
    <mergeCell ref="CN497:CQ497"/>
    <mergeCell ref="CR497:CT497"/>
    <mergeCell ref="CU497:CW497"/>
    <mergeCell ref="CX497:DA497"/>
    <mergeCell ref="CN500:CQ500"/>
    <mergeCell ref="CR500:CT500"/>
    <mergeCell ref="CU500:CW500"/>
    <mergeCell ref="CX500:DA500"/>
    <mergeCell ref="CN499:CQ499"/>
    <mergeCell ref="CR499:CT499"/>
    <mergeCell ref="CU499:CW499"/>
    <mergeCell ref="CX499:DA499"/>
    <mergeCell ref="CN482:CQ482"/>
    <mergeCell ref="CR482:CT482"/>
    <mergeCell ref="CU482:CW482"/>
    <mergeCell ref="CX482:DA482"/>
    <mergeCell ref="CN481:CQ481"/>
    <mergeCell ref="CR481:CT481"/>
    <mergeCell ref="CU481:CW481"/>
    <mergeCell ref="CX481:DA481"/>
    <mergeCell ref="CN484:CQ484"/>
    <mergeCell ref="CR484:CT484"/>
    <mergeCell ref="CU484:CW484"/>
    <mergeCell ref="CX484:DA484"/>
    <mergeCell ref="CN483:CQ483"/>
    <mergeCell ref="CR483:CT483"/>
    <mergeCell ref="CU483:CW483"/>
    <mergeCell ref="CX483:DA483"/>
    <mergeCell ref="CN486:CQ486"/>
    <mergeCell ref="CR486:CT486"/>
    <mergeCell ref="CU486:CW486"/>
    <mergeCell ref="CX486:DA486"/>
    <mergeCell ref="CN485:CQ485"/>
    <mergeCell ref="CR485:CT485"/>
    <mergeCell ref="CU485:CW485"/>
    <mergeCell ref="CX485:DA485"/>
    <mergeCell ref="CN488:CQ488"/>
    <mergeCell ref="CR488:CT488"/>
    <mergeCell ref="CU488:CW488"/>
    <mergeCell ref="CX488:DA488"/>
    <mergeCell ref="CN487:CQ487"/>
    <mergeCell ref="CR487:CT487"/>
    <mergeCell ref="CU487:CW487"/>
    <mergeCell ref="CX487:DA487"/>
    <mergeCell ref="CN490:CQ490"/>
    <mergeCell ref="CR490:CT490"/>
    <mergeCell ref="CU490:CW490"/>
    <mergeCell ref="CX490:DA490"/>
    <mergeCell ref="CN489:CQ489"/>
    <mergeCell ref="CR489:CT489"/>
    <mergeCell ref="CU489:CW489"/>
    <mergeCell ref="CX489:DA489"/>
    <mergeCell ref="CN472:CQ472"/>
    <mergeCell ref="CR472:CT472"/>
    <mergeCell ref="CU472:CW472"/>
    <mergeCell ref="CX472:DA472"/>
    <mergeCell ref="CN471:CQ471"/>
    <mergeCell ref="CR471:CT471"/>
    <mergeCell ref="CU471:CW471"/>
    <mergeCell ref="CX471:DA471"/>
    <mergeCell ref="CN474:CQ474"/>
    <mergeCell ref="CR474:CT474"/>
    <mergeCell ref="CU474:CW474"/>
    <mergeCell ref="CX474:DA474"/>
    <mergeCell ref="CN473:CQ473"/>
    <mergeCell ref="CR473:CT473"/>
    <mergeCell ref="CU473:CW473"/>
    <mergeCell ref="CX473:DA473"/>
    <mergeCell ref="CN476:CQ476"/>
    <mergeCell ref="CR476:CT476"/>
    <mergeCell ref="CU476:CW476"/>
    <mergeCell ref="CX476:DA476"/>
    <mergeCell ref="CN475:CQ475"/>
    <mergeCell ref="CR475:CT475"/>
    <mergeCell ref="CU475:CW475"/>
    <mergeCell ref="CX475:DA475"/>
    <mergeCell ref="CN478:CQ478"/>
    <mergeCell ref="CR478:CT478"/>
    <mergeCell ref="CU478:CW478"/>
    <mergeCell ref="CX478:DA478"/>
    <mergeCell ref="CN477:CQ477"/>
    <mergeCell ref="CR477:CT477"/>
    <mergeCell ref="CU477:CW477"/>
    <mergeCell ref="CX477:DA477"/>
    <mergeCell ref="CN480:CQ480"/>
    <mergeCell ref="CR480:CT480"/>
    <mergeCell ref="CU480:CW480"/>
    <mergeCell ref="CX480:DA480"/>
    <mergeCell ref="CN479:CQ479"/>
    <mergeCell ref="CR479:CT479"/>
    <mergeCell ref="CU479:CW479"/>
    <mergeCell ref="CX479:DA479"/>
    <mergeCell ref="CN462:CQ462"/>
    <mergeCell ref="CR462:CT462"/>
    <mergeCell ref="CU462:CW462"/>
    <mergeCell ref="CX462:DA462"/>
    <mergeCell ref="CN461:CQ461"/>
    <mergeCell ref="CR461:CT461"/>
    <mergeCell ref="CU461:CW461"/>
    <mergeCell ref="CX461:DA461"/>
    <mergeCell ref="CN464:CQ464"/>
    <mergeCell ref="CR464:CT464"/>
    <mergeCell ref="CU464:CW464"/>
    <mergeCell ref="CX464:DA464"/>
    <mergeCell ref="CN463:CQ463"/>
    <mergeCell ref="CR463:CT463"/>
    <mergeCell ref="CU463:CW463"/>
    <mergeCell ref="CX463:DA463"/>
    <mergeCell ref="CN466:CQ466"/>
    <mergeCell ref="CR466:CT466"/>
    <mergeCell ref="CU466:CW466"/>
    <mergeCell ref="CX466:DA466"/>
    <mergeCell ref="CN465:CQ465"/>
    <mergeCell ref="CR465:CT465"/>
    <mergeCell ref="CU465:CW465"/>
    <mergeCell ref="CX465:DA465"/>
    <mergeCell ref="CN468:CQ468"/>
    <mergeCell ref="CR468:CT468"/>
    <mergeCell ref="CU468:CW468"/>
    <mergeCell ref="CX468:DA468"/>
    <mergeCell ref="CN467:CQ467"/>
    <mergeCell ref="CR467:CT467"/>
    <mergeCell ref="CU467:CW467"/>
    <mergeCell ref="CX467:DA467"/>
    <mergeCell ref="CN470:CQ470"/>
    <mergeCell ref="CR470:CT470"/>
    <mergeCell ref="CU470:CW470"/>
    <mergeCell ref="CX470:DA470"/>
    <mergeCell ref="CN469:CQ469"/>
    <mergeCell ref="CR469:CT469"/>
    <mergeCell ref="CU469:CW469"/>
    <mergeCell ref="CX469:DA469"/>
    <mergeCell ref="CN452:CQ452"/>
    <mergeCell ref="CR452:CT452"/>
    <mergeCell ref="CU452:CW452"/>
    <mergeCell ref="CX452:DA452"/>
    <mergeCell ref="CN451:CQ451"/>
    <mergeCell ref="CR451:CT451"/>
    <mergeCell ref="CU451:CW451"/>
    <mergeCell ref="CX451:DA451"/>
    <mergeCell ref="CN454:CQ454"/>
    <mergeCell ref="CR454:CT454"/>
    <mergeCell ref="CU454:CW454"/>
    <mergeCell ref="CX454:DA454"/>
    <mergeCell ref="CN453:CQ453"/>
    <mergeCell ref="CR453:CT453"/>
    <mergeCell ref="CU453:CW453"/>
    <mergeCell ref="CX453:DA453"/>
    <mergeCell ref="CN456:CQ456"/>
    <mergeCell ref="CR456:CT456"/>
    <mergeCell ref="CU456:CW456"/>
    <mergeCell ref="CX456:DA456"/>
    <mergeCell ref="CN455:CQ455"/>
    <mergeCell ref="CR455:CT455"/>
    <mergeCell ref="CU455:CW455"/>
    <mergeCell ref="CX455:DA455"/>
    <mergeCell ref="CN458:CQ458"/>
    <mergeCell ref="CR458:CT458"/>
    <mergeCell ref="CU458:CW458"/>
    <mergeCell ref="CX458:DA458"/>
    <mergeCell ref="CN457:CQ457"/>
    <mergeCell ref="CR457:CT457"/>
    <mergeCell ref="CU457:CW457"/>
    <mergeCell ref="CX457:DA457"/>
    <mergeCell ref="CN460:CQ460"/>
    <mergeCell ref="CR460:CT460"/>
    <mergeCell ref="CU460:CW460"/>
    <mergeCell ref="CX460:DA460"/>
    <mergeCell ref="CN459:CQ459"/>
    <mergeCell ref="CR459:CT459"/>
    <mergeCell ref="CU459:CW459"/>
    <mergeCell ref="CX459:DA459"/>
    <mergeCell ref="CN446:CQ446"/>
    <mergeCell ref="CR446:CT446"/>
    <mergeCell ref="CU446:CW446"/>
    <mergeCell ref="CX446:DA446"/>
    <mergeCell ref="CR445:CT445"/>
    <mergeCell ref="CU445:CW445"/>
    <mergeCell ref="CX445:DA445"/>
    <mergeCell ref="CN448:CQ448"/>
    <mergeCell ref="CR448:CT448"/>
    <mergeCell ref="CU448:CW448"/>
    <mergeCell ref="CX448:DA448"/>
    <mergeCell ref="CN447:CQ447"/>
    <mergeCell ref="CR447:CT447"/>
    <mergeCell ref="CU447:CW447"/>
    <mergeCell ref="CX447:DA447"/>
    <mergeCell ref="CN450:CQ450"/>
    <mergeCell ref="CR450:CT450"/>
    <mergeCell ref="CU450:CW450"/>
    <mergeCell ref="CX450:DA450"/>
    <mergeCell ref="CN449:CQ449"/>
    <mergeCell ref="CR449:CT449"/>
    <mergeCell ref="CU449:CW449"/>
    <mergeCell ref="CX449:DA449"/>
    <mergeCell ref="CN433:CQ433"/>
    <mergeCell ref="CR433:CT433"/>
    <mergeCell ref="CU433:CW433"/>
    <mergeCell ref="CX433:DA433"/>
    <mergeCell ref="CN432:CQ432"/>
    <mergeCell ref="CR432:CT432"/>
    <mergeCell ref="CU432:CW432"/>
    <mergeCell ref="CX432:DA432"/>
    <mergeCell ref="CN435:CQ435"/>
    <mergeCell ref="CR435:CT435"/>
    <mergeCell ref="CU435:CW435"/>
    <mergeCell ref="CX435:DA435"/>
    <mergeCell ref="CN434:CQ434"/>
    <mergeCell ref="CR434:CT434"/>
    <mergeCell ref="CU434:CW434"/>
    <mergeCell ref="CX434:DA434"/>
    <mergeCell ref="CN437:CQ437"/>
    <mergeCell ref="CR437:CT437"/>
    <mergeCell ref="CU437:CW437"/>
    <mergeCell ref="CX437:DA437"/>
    <mergeCell ref="CR436:CT436"/>
    <mergeCell ref="CU436:CW436"/>
    <mergeCell ref="CX436:DA436"/>
    <mergeCell ref="CN436:CQ436"/>
    <mergeCell ref="CR439:CT439"/>
    <mergeCell ref="CU439:CW439"/>
    <mergeCell ref="CX439:DA439"/>
    <mergeCell ref="CN438:CQ438"/>
    <mergeCell ref="CR438:CT438"/>
    <mergeCell ref="CU438:CW438"/>
    <mergeCell ref="CX438:DA438"/>
    <mergeCell ref="CN439:CQ439"/>
    <mergeCell ref="CR441:CT441"/>
    <mergeCell ref="CU441:CW441"/>
    <mergeCell ref="CX441:DA441"/>
    <mergeCell ref="CN441:CQ441"/>
    <mergeCell ref="CR440:CT440"/>
    <mergeCell ref="CU440:CW440"/>
    <mergeCell ref="CX440:DA440"/>
    <mergeCell ref="CN444:CQ444"/>
    <mergeCell ref="CR444:CT444"/>
    <mergeCell ref="CN424:CQ424"/>
    <mergeCell ref="CR424:CT424"/>
    <mergeCell ref="CU424:CW424"/>
    <mergeCell ref="CX424:DA424"/>
    <mergeCell ref="CN427:CQ427"/>
    <mergeCell ref="CR427:CT427"/>
    <mergeCell ref="CU427:CW427"/>
    <mergeCell ref="CX427:DA427"/>
    <mergeCell ref="CN426:CQ426"/>
    <mergeCell ref="CR426:CT426"/>
    <mergeCell ref="CU426:CW426"/>
    <mergeCell ref="CX426:DA426"/>
    <mergeCell ref="CN429:CQ429"/>
    <mergeCell ref="CR429:CT429"/>
    <mergeCell ref="CU429:CW429"/>
    <mergeCell ref="CX429:DA429"/>
    <mergeCell ref="CN428:CQ428"/>
    <mergeCell ref="CR428:CT428"/>
    <mergeCell ref="CU428:CW428"/>
    <mergeCell ref="CX428:DA428"/>
    <mergeCell ref="CN431:CQ431"/>
    <mergeCell ref="CR431:CT431"/>
    <mergeCell ref="CU431:CW431"/>
    <mergeCell ref="CX431:DA431"/>
    <mergeCell ref="CN430:CQ430"/>
    <mergeCell ref="CR430:CT430"/>
    <mergeCell ref="CU430:CW430"/>
    <mergeCell ref="CX430:DA430"/>
    <mergeCell ref="CN413:CQ413"/>
    <mergeCell ref="CR413:CT413"/>
    <mergeCell ref="CU413:CW413"/>
    <mergeCell ref="CX413:DA413"/>
    <mergeCell ref="CN412:CQ412"/>
    <mergeCell ref="CR412:CT412"/>
    <mergeCell ref="CU412:CW412"/>
    <mergeCell ref="CX412:DA412"/>
    <mergeCell ref="CN415:CQ415"/>
    <mergeCell ref="CR415:CT415"/>
    <mergeCell ref="CU415:CW415"/>
    <mergeCell ref="CX415:DA415"/>
    <mergeCell ref="CN414:CQ414"/>
    <mergeCell ref="CR414:CT414"/>
    <mergeCell ref="CU414:CW414"/>
    <mergeCell ref="CX414:DA414"/>
    <mergeCell ref="CN417:CQ417"/>
    <mergeCell ref="CR417:CT417"/>
    <mergeCell ref="CU417:CW417"/>
    <mergeCell ref="CX417:DA417"/>
    <mergeCell ref="CN416:CQ416"/>
    <mergeCell ref="CR416:CT416"/>
    <mergeCell ref="CU416:CW416"/>
    <mergeCell ref="CX416:DA416"/>
    <mergeCell ref="CN419:CQ419"/>
    <mergeCell ref="CR419:CT419"/>
    <mergeCell ref="CU419:CW419"/>
    <mergeCell ref="CX419:DA419"/>
    <mergeCell ref="CN418:CQ418"/>
    <mergeCell ref="CR418:CT418"/>
    <mergeCell ref="CU418:CW418"/>
    <mergeCell ref="CX418:DA418"/>
    <mergeCell ref="CN421:CQ421"/>
    <mergeCell ref="CR421:CT421"/>
    <mergeCell ref="CU421:CW421"/>
    <mergeCell ref="CX421:DA421"/>
    <mergeCell ref="CN420:CQ420"/>
    <mergeCell ref="CR420:CT420"/>
    <mergeCell ref="CU420:CW420"/>
    <mergeCell ref="CX420:DA420"/>
    <mergeCell ref="CN403:CQ403"/>
    <mergeCell ref="CR403:CT403"/>
    <mergeCell ref="CU403:CW403"/>
    <mergeCell ref="CX403:DA403"/>
    <mergeCell ref="CN402:CQ402"/>
    <mergeCell ref="CR402:CT402"/>
    <mergeCell ref="CU402:CW402"/>
    <mergeCell ref="CX402:DA402"/>
    <mergeCell ref="CN405:CQ405"/>
    <mergeCell ref="CR405:CT405"/>
    <mergeCell ref="CU405:CW405"/>
    <mergeCell ref="CX405:DA405"/>
    <mergeCell ref="CN404:CQ404"/>
    <mergeCell ref="CR404:CT404"/>
    <mergeCell ref="CU404:CW404"/>
    <mergeCell ref="CX404:DA404"/>
    <mergeCell ref="CN407:CQ407"/>
    <mergeCell ref="CR407:CT407"/>
    <mergeCell ref="CU407:CW407"/>
    <mergeCell ref="CX407:DA407"/>
    <mergeCell ref="CN406:CQ406"/>
    <mergeCell ref="CR406:CT406"/>
    <mergeCell ref="CU406:CW406"/>
    <mergeCell ref="CX406:DA406"/>
    <mergeCell ref="CN409:CQ409"/>
    <mergeCell ref="CR409:CT409"/>
    <mergeCell ref="CU409:CW409"/>
    <mergeCell ref="CX409:DA409"/>
    <mergeCell ref="CN408:CQ408"/>
    <mergeCell ref="CR408:CT408"/>
    <mergeCell ref="CU408:CW408"/>
    <mergeCell ref="CX408:DA408"/>
    <mergeCell ref="CN411:CQ411"/>
    <mergeCell ref="CR411:CT411"/>
    <mergeCell ref="CU411:CW411"/>
    <mergeCell ref="CX411:DA411"/>
    <mergeCell ref="CN410:CQ410"/>
    <mergeCell ref="CR410:CT410"/>
    <mergeCell ref="CU410:CW410"/>
    <mergeCell ref="CX410:DA410"/>
    <mergeCell ref="CN393:CQ393"/>
    <mergeCell ref="CR393:CT393"/>
    <mergeCell ref="CU393:CW393"/>
    <mergeCell ref="CX393:DA393"/>
    <mergeCell ref="CN392:CQ392"/>
    <mergeCell ref="CR392:CT392"/>
    <mergeCell ref="CU392:CW392"/>
    <mergeCell ref="CX392:DA392"/>
    <mergeCell ref="CN395:CQ395"/>
    <mergeCell ref="CR395:CT395"/>
    <mergeCell ref="CU395:CW395"/>
    <mergeCell ref="CX395:DA395"/>
    <mergeCell ref="CN394:CQ394"/>
    <mergeCell ref="CR394:CT394"/>
    <mergeCell ref="CU394:CW394"/>
    <mergeCell ref="CX394:DA394"/>
    <mergeCell ref="CN397:CQ397"/>
    <mergeCell ref="CR397:CT397"/>
    <mergeCell ref="CU397:CW397"/>
    <mergeCell ref="CX397:DA397"/>
    <mergeCell ref="CN396:CQ396"/>
    <mergeCell ref="CR396:CT396"/>
    <mergeCell ref="CU396:CW396"/>
    <mergeCell ref="CX396:DA396"/>
    <mergeCell ref="CN399:CQ399"/>
    <mergeCell ref="CR399:CT399"/>
    <mergeCell ref="CU399:CW399"/>
    <mergeCell ref="CX399:DA399"/>
    <mergeCell ref="CN398:CQ398"/>
    <mergeCell ref="CR398:CT398"/>
    <mergeCell ref="CU398:CW398"/>
    <mergeCell ref="CX398:DA398"/>
    <mergeCell ref="CN401:CQ401"/>
    <mergeCell ref="CR401:CT401"/>
    <mergeCell ref="CU401:CW401"/>
    <mergeCell ref="CX401:DA401"/>
    <mergeCell ref="CN400:CQ400"/>
    <mergeCell ref="CR400:CT400"/>
    <mergeCell ref="CU400:CW400"/>
    <mergeCell ref="CX400:DA400"/>
    <mergeCell ref="CN383:CQ383"/>
    <mergeCell ref="CR383:CT383"/>
    <mergeCell ref="CU383:CW383"/>
    <mergeCell ref="CX383:DA383"/>
    <mergeCell ref="CN382:CQ382"/>
    <mergeCell ref="CR382:CT382"/>
    <mergeCell ref="CU382:CW382"/>
    <mergeCell ref="CX382:DA382"/>
    <mergeCell ref="CN385:CQ385"/>
    <mergeCell ref="CR385:CT385"/>
    <mergeCell ref="CU385:CW385"/>
    <mergeCell ref="CX385:DA385"/>
    <mergeCell ref="CN384:CQ384"/>
    <mergeCell ref="CR384:CT384"/>
    <mergeCell ref="CU384:CW384"/>
    <mergeCell ref="CX384:DA384"/>
    <mergeCell ref="CN387:CQ387"/>
    <mergeCell ref="CR387:CT387"/>
    <mergeCell ref="CU387:CW387"/>
    <mergeCell ref="CX387:DA387"/>
    <mergeCell ref="CN386:CQ386"/>
    <mergeCell ref="CR386:CT386"/>
    <mergeCell ref="CU386:CW386"/>
    <mergeCell ref="CX386:DA386"/>
    <mergeCell ref="CN389:CQ389"/>
    <mergeCell ref="CR389:CT389"/>
    <mergeCell ref="CU389:CW389"/>
    <mergeCell ref="CX389:DA389"/>
    <mergeCell ref="CN388:CQ388"/>
    <mergeCell ref="CR388:CT388"/>
    <mergeCell ref="CU388:CW388"/>
    <mergeCell ref="CX388:DA388"/>
    <mergeCell ref="CN391:CQ391"/>
    <mergeCell ref="CR391:CT391"/>
    <mergeCell ref="CU391:CW391"/>
    <mergeCell ref="CX391:DA391"/>
    <mergeCell ref="CN390:CQ390"/>
    <mergeCell ref="CR390:CT390"/>
    <mergeCell ref="CU390:CW390"/>
    <mergeCell ref="CX390:DA390"/>
    <mergeCell ref="CN373:CQ373"/>
    <mergeCell ref="CR373:CT373"/>
    <mergeCell ref="CU373:CW373"/>
    <mergeCell ref="CX373:DA373"/>
    <mergeCell ref="CN372:CQ372"/>
    <mergeCell ref="CR372:CT372"/>
    <mergeCell ref="CU372:CW372"/>
    <mergeCell ref="CX372:DA372"/>
    <mergeCell ref="CN375:CQ375"/>
    <mergeCell ref="CR375:CT375"/>
    <mergeCell ref="CU375:CW375"/>
    <mergeCell ref="CX375:DA375"/>
    <mergeCell ref="CN374:CQ374"/>
    <mergeCell ref="CR374:CT374"/>
    <mergeCell ref="CU374:CW374"/>
    <mergeCell ref="CX374:DA374"/>
    <mergeCell ref="CN377:CQ377"/>
    <mergeCell ref="CR377:CT377"/>
    <mergeCell ref="CU377:CW377"/>
    <mergeCell ref="CX377:DA377"/>
    <mergeCell ref="CN376:CQ376"/>
    <mergeCell ref="CR376:CT376"/>
    <mergeCell ref="CU376:CW376"/>
    <mergeCell ref="CX376:DA376"/>
    <mergeCell ref="CN379:CQ379"/>
    <mergeCell ref="CR379:CT379"/>
    <mergeCell ref="CU379:CW379"/>
    <mergeCell ref="CX379:DA379"/>
    <mergeCell ref="CN378:CQ378"/>
    <mergeCell ref="CR378:CT378"/>
    <mergeCell ref="CU378:CW378"/>
    <mergeCell ref="CX378:DA378"/>
    <mergeCell ref="CN381:CQ381"/>
    <mergeCell ref="CR381:CT381"/>
    <mergeCell ref="CU381:CW381"/>
    <mergeCell ref="CX381:DA381"/>
    <mergeCell ref="CN380:CQ380"/>
    <mergeCell ref="CR380:CT380"/>
    <mergeCell ref="CU380:CW380"/>
    <mergeCell ref="CX380:DA380"/>
    <mergeCell ref="CN363:CQ363"/>
    <mergeCell ref="CR363:CT363"/>
    <mergeCell ref="CU363:CW363"/>
    <mergeCell ref="CX363:DA363"/>
    <mergeCell ref="CN362:CQ362"/>
    <mergeCell ref="CR362:CT362"/>
    <mergeCell ref="CU362:CW362"/>
    <mergeCell ref="CX362:DA362"/>
    <mergeCell ref="CN365:CQ365"/>
    <mergeCell ref="CR365:CT365"/>
    <mergeCell ref="CU365:CW365"/>
    <mergeCell ref="CX365:DA365"/>
    <mergeCell ref="CN364:CQ364"/>
    <mergeCell ref="CR364:CT364"/>
    <mergeCell ref="CU364:CW364"/>
    <mergeCell ref="CX364:DA364"/>
    <mergeCell ref="CN367:CQ367"/>
    <mergeCell ref="CR367:CT367"/>
    <mergeCell ref="CU367:CW367"/>
    <mergeCell ref="CX367:DA367"/>
    <mergeCell ref="CN366:CQ366"/>
    <mergeCell ref="CR366:CT366"/>
    <mergeCell ref="CU366:CW366"/>
    <mergeCell ref="CX366:DA366"/>
    <mergeCell ref="CN369:CQ369"/>
    <mergeCell ref="CR369:CT369"/>
    <mergeCell ref="CU369:CW369"/>
    <mergeCell ref="CX369:DA369"/>
    <mergeCell ref="CN368:CQ368"/>
    <mergeCell ref="CR368:CT368"/>
    <mergeCell ref="CU368:CW368"/>
    <mergeCell ref="CX368:DA368"/>
    <mergeCell ref="CN371:CQ371"/>
    <mergeCell ref="CR371:CT371"/>
    <mergeCell ref="CU371:CW371"/>
    <mergeCell ref="CX371:DA371"/>
    <mergeCell ref="CN370:CQ370"/>
    <mergeCell ref="CR370:CT370"/>
    <mergeCell ref="CU370:CW370"/>
    <mergeCell ref="CX370:DA370"/>
    <mergeCell ref="CN356:CQ356"/>
    <mergeCell ref="CR356:CT356"/>
    <mergeCell ref="CU356:CW356"/>
    <mergeCell ref="CX356:DA356"/>
    <mergeCell ref="CN359:CQ359"/>
    <mergeCell ref="CR359:CT359"/>
    <mergeCell ref="CU359:CW359"/>
    <mergeCell ref="CX359:DA359"/>
    <mergeCell ref="CN358:CQ358"/>
    <mergeCell ref="CR358:CT358"/>
    <mergeCell ref="CU358:CW358"/>
    <mergeCell ref="CX358:DA358"/>
    <mergeCell ref="CN361:CQ361"/>
    <mergeCell ref="CR361:CT361"/>
    <mergeCell ref="CU361:CW361"/>
    <mergeCell ref="CX361:DA361"/>
    <mergeCell ref="CN360:CQ360"/>
    <mergeCell ref="CR360:CT360"/>
    <mergeCell ref="CU360:CW360"/>
    <mergeCell ref="CX360:DA360"/>
    <mergeCell ref="CU339:CW339"/>
    <mergeCell ref="CX339:DA339"/>
    <mergeCell ref="CN340:CQ340"/>
    <mergeCell ref="CR340:CT340"/>
    <mergeCell ref="CU340:CW340"/>
    <mergeCell ref="CX340:DA340"/>
    <mergeCell ref="CN339:CQ339"/>
    <mergeCell ref="CR339:CT339"/>
    <mergeCell ref="BX649:CA649"/>
    <mergeCell ref="CB649:CD649"/>
    <mergeCell ref="CE649:CG649"/>
    <mergeCell ref="CH649:CK649"/>
    <mergeCell ref="BX648:CA648"/>
    <mergeCell ref="CB648:CD648"/>
    <mergeCell ref="CE648:CG648"/>
    <mergeCell ref="CH648:CK648"/>
    <mergeCell ref="CN343:CQ343"/>
    <mergeCell ref="CR343:CT343"/>
    <mergeCell ref="CU341:CW341"/>
    <mergeCell ref="CX341:DA341"/>
    <mergeCell ref="CN342:CQ342"/>
    <mergeCell ref="CR342:CT342"/>
    <mergeCell ref="CU342:CW342"/>
    <mergeCell ref="CX342:DA342"/>
    <mergeCell ref="CN341:CQ341"/>
    <mergeCell ref="CR341:CT341"/>
    <mergeCell ref="CN345:CQ345"/>
    <mergeCell ref="CR345:CT345"/>
    <mergeCell ref="CU345:CW345"/>
    <mergeCell ref="CX345:DA345"/>
    <mergeCell ref="CU343:CW343"/>
    <mergeCell ref="CX343:DA343"/>
    <mergeCell ref="CN344:CQ344"/>
    <mergeCell ref="CR344:CT344"/>
    <mergeCell ref="CU344:CW344"/>
    <mergeCell ref="CX344:DA344"/>
    <mergeCell ref="CN347:CQ347"/>
    <mergeCell ref="CR347:CT347"/>
    <mergeCell ref="CU347:CW347"/>
    <mergeCell ref="CX347:DA347"/>
    <mergeCell ref="CN346:CQ346"/>
    <mergeCell ref="CR346:CT346"/>
    <mergeCell ref="CU346:CW346"/>
    <mergeCell ref="CX346:DA346"/>
    <mergeCell ref="CN349:CQ349"/>
    <mergeCell ref="CR349:CT349"/>
    <mergeCell ref="CU349:CW349"/>
    <mergeCell ref="CX349:DA349"/>
    <mergeCell ref="CN348:CQ348"/>
    <mergeCell ref="CR348:CT348"/>
    <mergeCell ref="CU348:CW348"/>
    <mergeCell ref="CX348:DA348"/>
    <mergeCell ref="CN351:CQ351"/>
    <mergeCell ref="CR351:CT351"/>
    <mergeCell ref="CU351:CW351"/>
    <mergeCell ref="CX351:DA351"/>
    <mergeCell ref="CN350:CQ350"/>
    <mergeCell ref="CR350:CT350"/>
    <mergeCell ref="CU350:CW350"/>
    <mergeCell ref="CX350:DA350"/>
    <mergeCell ref="CN353:CQ353"/>
    <mergeCell ref="CR353:CT353"/>
    <mergeCell ref="CU353:CW353"/>
    <mergeCell ref="CX353:DA353"/>
    <mergeCell ref="BX639:CA639"/>
    <mergeCell ref="CB639:CD639"/>
    <mergeCell ref="CE639:CG639"/>
    <mergeCell ref="CH639:CK639"/>
    <mergeCell ref="BX638:CA638"/>
    <mergeCell ref="CB638:CD638"/>
    <mergeCell ref="CE638:CG638"/>
    <mergeCell ref="CH638:CK638"/>
    <mergeCell ref="BX641:CA641"/>
    <mergeCell ref="CB641:CD641"/>
    <mergeCell ref="CE641:CG641"/>
    <mergeCell ref="CH641:CK641"/>
    <mergeCell ref="BX640:CA640"/>
    <mergeCell ref="CB640:CD640"/>
    <mergeCell ref="CE640:CG640"/>
    <mergeCell ref="CH640:CK640"/>
    <mergeCell ref="BX619:CA619"/>
    <mergeCell ref="CB619:CD619"/>
    <mergeCell ref="CE619:CG619"/>
    <mergeCell ref="CH619:CK619"/>
    <mergeCell ref="BX618:CA618"/>
    <mergeCell ref="CB618:CD618"/>
    <mergeCell ref="CE618:CG618"/>
    <mergeCell ref="CH618:CK618"/>
    <mergeCell ref="BX621:CA621"/>
    <mergeCell ref="CB621:CD621"/>
    <mergeCell ref="CE621:CG621"/>
    <mergeCell ref="CH621:CK621"/>
    <mergeCell ref="BX620:CA620"/>
    <mergeCell ref="CB620:CD620"/>
    <mergeCell ref="CE620:CG620"/>
    <mergeCell ref="CH620:CK620"/>
    <mergeCell ref="BX623:CA623"/>
    <mergeCell ref="CB623:CD623"/>
    <mergeCell ref="CE623:CG623"/>
    <mergeCell ref="CH623:CK623"/>
    <mergeCell ref="BX622:CA622"/>
    <mergeCell ref="CB622:CD622"/>
    <mergeCell ref="CE622:CG622"/>
    <mergeCell ref="CH622:CK622"/>
    <mergeCell ref="BX625:CA625"/>
    <mergeCell ref="CB625:CD625"/>
    <mergeCell ref="CE625:CG625"/>
    <mergeCell ref="CH625:CK625"/>
    <mergeCell ref="BX643:CA643"/>
    <mergeCell ref="CB643:CD643"/>
    <mergeCell ref="CE643:CG643"/>
    <mergeCell ref="CH643:CK643"/>
    <mergeCell ref="BX642:CA642"/>
    <mergeCell ref="CB642:CD642"/>
    <mergeCell ref="CE642:CG642"/>
    <mergeCell ref="CH642:CK642"/>
    <mergeCell ref="BX645:CA645"/>
    <mergeCell ref="CB645:CD645"/>
    <mergeCell ref="CE645:CG645"/>
    <mergeCell ref="CH645:CK645"/>
    <mergeCell ref="BX644:CA644"/>
    <mergeCell ref="CB644:CD644"/>
    <mergeCell ref="CE644:CG644"/>
    <mergeCell ref="CH644:CK644"/>
    <mergeCell ref="BX647:CA647"/>
    <mergeCell ref="CB647:CD647"/>
    <mergeCell ref="CE647:CG647"/>
    <mergeCell ref="CH647:CK647"/>
    <mergeCell ref="BX646:CA646"/>
    <mergeCell ref="CB646:CD646"/>
    <mergeCell ref="CE646:CG646"/>
    <mergeCell ref="CH646:CK646"/>
    <mergeCell ref="BX629:CA629"/>
    <mergeCell ref="CB629:CD629"/>
    <mergeCell ref="CE629:CG629"/>
    <mergeCell ref="CH629:CK629"/>
    <mergeCell ref="BX628:CA628"/>
    <mergeCell ref="CB628:CD628"/>
    <mergeCell ref="CE628:CG628"/>
    <mergeCell ref="CH628:CK628"/>
    <mergeCell ref="BX631:CA631"/>
    <mergeCell ref="CB631:CD631"/>
    <mergeCell ref="CE631:CG631"/>
    <mergeCell ref="CH631:CK631"/>
    <mergeCell ref="BX630:CA630"/>
    <mergeCell ref="CB630:CD630"/>
    <mergeCell ref="CE630:CG630"/>
    <mergeCell ref="CH630:CK630"/>
    <mergeCell ref="BX633:CA633"/>
    <mergeCell ref="CB633:CD633"/>
    <mergeCell ref="CE633:CG633"/>
    <mergeCell ref="CH633:CK633"/>
    <mergeCell ref="BX632:CA632"/>
    <mergeCell ref="CB632:CD632"/>
    <mergeCell ref="CE632:CG632"/>
    <mergeCell ref="CH632:CK632"/>
    <mergeCell ref="BX635:CA635"/>
    <mergeCell ref="CB635:CD635"/>
    <mergeCell ref="CE635:CG635"/>
    <mergeCell ref="CH635:CK635"/>
    <mergeCell ref="BX634:CA634"/>
    <mergeCell ref="CB634:CD634"/>
    <mergeCell ref="CE634:CG634"/>
    <mergeCell ref="CH634:CK634"/>
    <mergeCell ref="BX637:CA637"/>
    <mergeCell ref="CB637:CD637"/>
    <mergeCell ref="CE637:CG637"/>
    <mergeCell ref="CH637:CK637"/>
    <mergeCell ref="BX636:CA636"/>
    <mergeCell ref="CB636:CD636"/>
    <mergeCell ref="CE636:CG636"/>
    <mergeCell ref="CH636:CK636"/>
    <mergeCell ref="BX624:CA624"/>
    <mergeCell ref="CB624:CD624"/>
    <mergeCell ref="CE624:CG624"/>
    <mergeCell ref="CH624:CK624"/>
    <mergeCell ref="BX627:CA627"/>
    <mergeCell ref="CB627:CD627"/>
    <mergeCell ref="CE627:CG627"/>
    <mergeCell ref="CH627:CK627"/>
    <mergeCell ref="BX626:CA626"/>
    <mergeCell ref="CB626:CD626"/>
    <mergeCell ref="CE626:CG626"/>
    <mergeCell ref="CH626:CK626"/>
    <mergeCell ref="BX609:CA609"/>
    <mergeCell ref="CB609:CD609"/>
    <mergeCell ref="CE609:CG609"/>
    <mergeCell ref="CH609:CK609"/>
    <mergeCell ref="BX608:CA608"/>
    <mergeCell ref="CB608:CD608"/>
    <mergeCell ref="CE608:CG608"/>
    <mergeCell ref="CH608:CK608"/>
    <mergeCell ref="BX611:CA611"/>
    <mergeCell ref="CB611:CD611"/>
    <mergeCell ref="CE611:CG611"/>
    <mergeCell ref="CH611:CK611"/>
    <mergeCell ref="BX610:CA610"/>
    <mergeCell ref="CB610:CD610"/>
    <mergeCell ref="CE610:CG610"/>
    <mergeCell ref="CH610:CK610"/>
    <mergeCell ref="BX613:CA613"/>
    <mergeCell ref="CB613:CD613"/>
    <mergeCell ref="CE613:CG613"/>
    <mergeCell ref="CH613:CK613"/>
    <mergeCell ref="BX612:CA612"/>
    <mergeCell ref="CB612:CD612"/>
    <mergeCell ref="CE612:CG612"/>
    <mergeCell ref="CH612:CK612"/>
    <mergeCell ref="BX615:CA615"/>
    <mergeCell ref="CB615:CD615"/>
    <mergeCell ref="CE615:CG615"/>
    <mergeCell ref="CH615:CK615"/>
    <mergeCell ref="BX614:CA614"/>
    <mergeCell ref="CB614:CD614"/>
    <mergeCell ref="CE614:CG614"/>
    <mergeCell ref="CH614:CK614"/>
    <mergeCell ref="BX617:CA617"/>
    <mergeCell ref="CB617:CD617"/>
    <mergeCell ref="CE617:CG617"/>
    <mergeCell ref="CH617:CK617"/>
    <mergeCell ref="BX616:CA616"/>
    <mergeCell ref="CB616:CD616"/>
    <mergeCell ref="CE616:CG616"/>
    <mergeCell ref="CH616:CK616"/>
    <mergeCell ref="BX599:CA599"/>
    <mergeCell ref="CB599:CD599"/>
    <mergeCell ref="CE599:CG599"/>
    <mergeCell ref="CH599:CK599"/>
    <mergeCell ref="BX598:CA598"/>
    <mergeCell ref="CB598:CD598"/>
    <mergeCell ref="CE598:CG598"/>
    <mergeCell ref="CH598:CK598"/>
    <mergeCell ref="BX601:CA601"/>
    <mergeCell ref="CB601:CD601"/>
    <mergeCell ref="CE601:CG601"/>
    <mergeCell ref="CH601:CK601"/>
    <mergeCell ref="BX600:CA600"/>
    <mergeCell ref="CB600:CD600"/>
    <mergeCell ref="CE600:CG600"/>
    <mergeCell ref="CH600:CK600"/>
    <mergeCell ref="BX603:CA603"/>
    <mergeCell ref="CB603:CD603"/>
    <mergeCell ref="CE603:CG603"/>
    <mergeCell ref="CH603:CK603"/>
    <mergeCell ref="BX602:CA602"/>
    <mergeCell ref="CB602:CD602"/>
    <mergeCell ref="CE602:CG602"/>
    <mergeCell ref="CH602:CK602"/>
    <mergeCell ref="BX605:CA605"/>
    <mergeCell ref="CB605:CD605"/>
    <mergeCell ref="CE605:CG605"/>
    <mergeCell ref="CH605:CK605"/>
    <mergeCell ref="BX604:CA604"/>
    <mergeCell ref="CB604:CD604"/>
    <mergeCell ref="CE604:CG604"/>
    <mergeCell ref="CH604:CK604"/>
    <mergeCell ref="BX607:CA607"/>
    <mergeCell ref="CB607:CD607"/>
    <mergeCell ref="CE607:CG607"/>
    <mergeCell ref="CH607:CK607"/>
    <mergeCell ref="BX606:CA606"/>
    <mergeCell ref="CB606:CD606"/>
    <mergeCell ref="CE606:CG606"/>
    <mergeCell ref="CH606:CK606"/>
    <mergeCell ref="BX589:CA589"/>
    <mergeCell ref="CB589:CD589"/>
    <mergeCell ref="CE589:CG589"/>
    <mergeCell ref="CH589:CK589"/>
    <mergeCell ref="BX588:CA588"/>
    <mergeCell ref="CB588:CD588"/>
    <mergeCell ref="CE588:CG588"/>
    <mergeCell ref="CH588:CK588"/>
    <mergeCell ref="BX591:CA591"/>
    <mergeCell ref="CB591:CD591"/>
    <mergeCell ref="CE591:CG591"/>
    <mergeCell ref="CH591:CK591"/>
    <mergeCell ref="BX590:CA590"/>
    <mergeCell ref="CB590:CD590"/>
    <mergeCell ref="CE590:CG590"/>
    <mergeCell ref="CH590:CK590"/>
    <mergeCell ref="BX593:CA593"/>
    <mergeCell ref="CB593:CD593"/>
    <mergeCell ref="CE593:CG593"/>
    <mergeCell ref="CH593:CK593"/>
    <mergeCell ref="BX592:CA592"/>
    <mergeCell ref="CB592:CD592"/>
    <mergeCell ref="CE592:CG592"/>
    <mergeCell ref="CH592:CK592"/>
    <mergeCell ref="BX595:CA595"/>
    <mergeCell ref="CB595:CD595"/>
    <mergeCell ref="CE595:CG595"/>
    <mergeCell ref="CH595:CK595"/>
    <mergeCell ref="BX594:CA594"/>
    <mergeCell ref="CB594:CD594"/>
    <mergeCell ref="CE594:CG594"/>
    <mergeCell ref="CH594:CK594"/>
    <mergeCell ref="BX597:CA597"/>
    <mergeCell ref="CB597:CD597"/>
    <mergeCell ref="CE597:CG597"/>
    <mergeCell ref="CH597:CK597"/>
    <mergeCell ref="BX596:CA596"/>
    <mergeCell ref="CB596:CD596"/>
    <mergeCell ref="CE596:CG596"/>
    <mergeCell ref="CH596:CK596"/>
    <mergeCell ref="BX579:CA579"/>
    <mergeCell ref="CB579:CD579"/>
    <mergeCell ref="CE579:CG579"/>
    <mergeCell ref="CH579:CK579"/>
    <mergeCell ref="BX578:CA578"/>
    <mergeCell ref="CB578:CD578"/>
    <mergeCell ref="CE578:CG578"/>
    <mergeCell ref="CH578:CK578"/>
    <mergeCell ref="BX581:CA581"/>
    <mergeCell ref="CB581:CD581"/>
    <mergeCell ref="CE581:CG581"/>
    <mergeCell ref="CH581:CK581"/>
    <mergeCell ref="BX580:CA580"/>
    <mergeCell ref="CB580:CD580"/>
    <mergeCell ref="CE580:CG580"/>
    <mergeCell ref="CH580:CK580"/>
    <mergeCell ref="BX583:CA583"/>
    <mergeCell ref="CB583:CD583"/>
    <mergeCell ref="CE583:CG583"/>
    <mergeCell ref="CH583:CK583"/>
    <mergeCell ref="BX582:CA582"/>
    <mergeCell ref="CB582:CD582"/>
    <mergeCell ref="CE582:CG582"/>
    <mergeCell ref="CH582:CK582"/>
    <mergeCell ref="BX585:CA585"/>
    <mergeCell ref="CB585:CD585"/>
    <mergeCell ref="CE585:CG585"/>
    <mergeCell ref="CH585:CK585"/>
    <mergeCell ref="BX584:CA584"/>
    <mergeCell ref="CB584:CD584"/>
    <mergeCell ref="CE584:CG584"/>
    <mergeCell ref="CH584:CK584"/>
    <mergeCell ref="BX587:CA587"/>
    <mergeCell ref="CB587:CD587"/>
    <mergeCell ref="CE587:CG587"/>
    <mergeCell ref="CH587:CK587"/>
    <mergeCell ref="BX586:CA586"/>
    <mergeCell ref="CB586:CD586"/>
    <mergeCell ref="CE586:CG586"/>
    <mergeCell ref="CH586:CK586"/>
    <mergeCell ref="BX569:CA569"/>
    <mergeCell ref="CB569:CD569"/>
    <mergeCell ref="CE569:CG569"/>
    <mergeCell ref="CH569:CK569"/>
    <mergeCell ref="BX568:CA568"/>
    <mergeCell ref="CB568:CD568"/>
    <mergeCell ref="CE568:CG568"/>
    <mergeCell ref="CH568:CK568"/>
    <mergeCell ref="BX571:CA571"/>
    <mergeCell ref="CB571:CD571"/>
    <mergeCell ref="CE571:CG571"/>
    <mergeCell ref="CH571:CK571"/>
    <mergeCell ref="BX570:CA570"/>
    <mergeCell ref="CB570:CD570"/>
    <mergeCell ref="CE570:CG570"/>
    <mergeCell ref="CH570:CK570"/>
    <mergeCell ref="BX573:CA573"/>
    <mergeCell ref="CB573:CD573"/>
    <mergeCell ref="CE573:CG573"/>
    <mergeCell ref="CH573:CK573"/>
    <mergeCell ref="BX572:CA572"/>
    <mergeCell ref="CB572:CD572"/>
    <mergeCell ref="CE572:CG572"/>
    <mergeCell ref="CH572:CK572"/>
    <mergeCell ref="BX575:CA575"/>
    <mergeCell ref="CB575:CD575"/>
    <mergeCell ref="CE575:CG575"/>
    <mergeCell ref="CH575:CK575"/>
    <mergeCell ref="BX574:CA574"/>
    <mergeCell ref="CB574:CD574"/>
    <mergeCell ref="CE574:CG574"/>
    <mergeCell ref="CH574:CK574"/>
    <mergeCell ref="BX577:CA577"/>
    <mergeCell ref="CB577:CD577"/>
    <mergeCell ref="CE577:CG577"/>
    <mergeCell ref="CH577:CK577"/>
    <mergeCell ref="BX576:CA576"/>
    <mergeCell ref="CB576:CD576"/>
    <mergeCell ref="CE576:CG576"/>
    <mergeCell ref="CH576:CK576"/>
    <mergeCell ref="BX559:CA559"/>
    <mergeCell ref="CB559:CD559"/>
    <mergeCell ref="CE559:CG559"/>
    <mergeCell ref="CH559:CK559"/>
    <mergeCell ref="BX558:CA558"/>
    <mergeCell ref="CB558:CD558"/>
    <mergeCell ref="CE558:CG558"/>
    <mergeCell ref="CH558:CK558"/>
    <mergeCell ref="BX561:CA561"/>
    <mergeCell ref="CB561:CD561"/>
    <mergeCell ref="CE561:CG561"/>
    <mergeCell ref="CH561:CK561"/>
    <mergeCell ref="BX560:CA560"/>
    <mergeCell ref="CB560:CD560"/>
    <mergeCell ref="CE560:CG560"/>
    <mergeCell ref="CH560:CK560"/>
    <mergeCell ref="BX563:CA563"/>
    <mergeCell ref="CB563:CD563"/>
    <mergeCell ref="CE563:CG563"/>
    <mergeCell ref="CH563:CK563"/>
    <mergeCell ref="BX562:CA562"/>
    <mergeCell ref="CB562:CD562"/>
    <mergeCell ref="CE562:CG562"/>
    <mergeCell ref="CH562:CK562"/>
    <mergeCell ref="BX565:CA565"/>
    <mergeCell ref="CB565:CD565"/>
    <mergeCell ref="CE565:CG565"/>
    <mergeCell ref="CH565:CK565"/>
    <mergeCell ref="BX564:CA564"/>
    <mergeCell ref="CB564:CD564"/>
    <mergeCell ref="CE564:CG564"/>
    <mergeCell ref="CH564:CK564"/>
    <mergeCell ref="BX567:CA567"/>
    <mergeCell ref="CB567:CD567"/>
    <mergeCell ref="CE567:CG567"/>
    <mergeCell ref="CH567:CK567"/>
    <mergeCell ref="BX566:CA566"/>
    <mergeCell ref="CB566:CD566"/>
    <mergeCell ref="CE566:CG566"/>
    <mergeCell ref="CH566:CK566"/>
    <mergeCell ref="BX549:CA549"/>
    <mergeCell ref="CB549:CD549"/>
    <mergeCell ref="CE549:CG549"/>
    <mergeCell ref="CH549:CK549"/>
    <mergeCell ref="BX548:CA548"/>
    <mergeCell ref="CB548:CD548"/>
    <mergeCell ref="CE548:CG548"/>
    <mergeCell ref="CH548:CK548"/>
    <mergeCell ref="BX551:CA551"/>
    <mergeCell ref="CB551:CD551"/>
    <mergeCell ref="CE551:CG551"/>
    <mergeCell ref="CH551:CK551"/>
    <mergeCell ref="BX550:CA550"/>
    <mergeCell ref="CB550:CD550"/>
    <mergeCell ref="CE550:CG550"/>
    <mergeCell ref="CH550:CK550"/>
    <mergeCell ref="BX553:CA553"/>
    <mergeCell ref="CB553:CD553"/>
    <mergeCell ref="CE553:CG553"/>
    <mergeCell ref="CH553:CK553"/>
    <mergeCell ref="BX552:CA552"/>
    <mergeCell ref="CB552:CD552"/>
    <mergeCell ref="CE552:CG552"/>
    <mergeCell ref="CH552:CK552"/>
    <mergeCell ref="BX555:CA555"/>
    <mergeCell ref="CB555:CD555"/>
    <mergeCell ref="CE555:CG555"/>
    <mergeCell ref="CH555:CK555"/>
    <mergeCell ref="BX554:CA554"/>
    <mergeCell ref="CB554:CD554"/>
    <mergeCell ref="CE554:CG554"/>
    <mergeCell ref="CH554:CK554"/>
    <mergeCell ref="BX557:CA557"/>
    <mergeCell ref="CB557:CD557"/>
    <mergeCell ref="CE557:CG557"/>
    <mergeCell ref="CH557:CK557"/>
    <mergeCell ref="BX556:CA556"/>
    <mergeCell ref="CB556:CD556"/>
    <mergeCell ref="CE556:CG556"/>
    <mergeCell ref="CH556:CK556"/>
    <mergeCell ref="BX539:CA539"/>
    <mergeCell ref="CB539:CD539"/>
    <mergeCell ref="CE539:CG539"/>
    <mergeCell ref="CH539:CK539"/>
    <mergeCell ref="BX538:CA538"/>
    <mergeCell ref="CB538:CD538"/>
    <mergeCell ref="CE538:CG538"/>
    <mergeCell ref="CH538:CK538"/>
    <mergeCell ref="BX541:CA541"/>
    <mergeCell ref="CB541:CD541"/>
    <mergeCell ref="CE541:CG541"/>
    <mergeCell ref="CH541:CK541"/>
    <mergeCell ref="BX540:CA540"/>
    <mergeCell ref="CB540:CD540"/>
    <mergeCell ref="CE540:CG540"/>
    <mergeCell ref="CH540:CK540"/>
    <mergeCell ref="BX543:CA543"/>
    <mergeCell ref="CB543:CD543"/>
    <mergeCell ref="CE543:CG543"/>
    <mergeCell ref="CH543:CK543"/>
    <mergeCell ref="BX542:CA542"/>
    <mergeCell ref="CB542:CD542"/>
    <mergeCell ref="CE542:CG542"/>
    <mergeCell ref="CH542:CK542"/>
    <mergeCell ref="BX545:CA545"/>
    <mergeCell ref="CB545:CD545"/>
    <mergeCell ref="CE545:CG545"/>
    <mergeCell ref="CH545:CK545"/>
    <mergeCell ref="BX544:CA544"/>
    <mergeCell ref="CB544:CD544"/>
    <mergeCell ref="CE544:CG544"/>
    <mergeCell ref="CH544:CK544"/>
    <mergeCell ref="BX547:CA547"/>
    <mergeCell ref="CB547:CD547"/>
    <mergeCell ref="CE547:CG547"/>
    <mergeCell ref="CH547:CK547"/>
    <mergeCell ref="BX546:CA546"/>
    <mergeCell ref="CB546:CD546"/>
    <mergeCell ref="CE546:CG546"/>
    <mergeCell ref="CH546:CK546"/>
    <mergeCell ref="BX529:CA529"/>
    <mergeCell ref="CB529:CD529"/>
    <mergeCell ref="CE529:CG529"/>
    <mergeCell ref="CH529:CK529"/>
    <mergeCell ref="BX528:CA528"/>
    <mergeCell ref="CB528:CD528"/>
    <mergeCell ref="CE528:CG528"/>
    <mergeCell ref="CH528:CK528"/>
    <mergeCell ref="BX531:CA531"/>
    <mergeCell ref="CB531:CD531"/>
    <mergeCell ref="CE531:CG531"/>
    <mergeCell ref="CH531:CK531"/>
    <mergeCell ref="BX530:CA530"/>
    <mergeCell ref="CB530:CD530"/>
    <mergeCell ref="CE530:CG530"/>
    <mergeCell ref="CH530:CK530"/>
    <mergeCell ref="BX533:CA533"/>
    <mergeCell ref="CB533:CD533"/>
    <mergeCell ref="CE533:CG533"/>
    <mergeCell ref="CH533:CK533"/>
    <mergeCell ref="BX532:CA532"/>
    <mergeCell ref="CB532:CD532"/>
    <mergeCell ref="CE532:CG532"/>
    <mergeCell ref="CH532:CK532"/>
    <mergeCell ref="BX535:CA535"/>
    <mergeCell ref="CB535:CD535"/>
    <mergeCell ref="CE535:CG535"/>
    <mergeCell ref="CH535:CK535"/>
    <mergeCell ref="BX534:CA534"/>
    <mergeCell ref="CB534:CD534"/>
    <mergeCell ref="CE534:CG534"/>
    <mergeCell ref="CH534:CK534"/>
    <mergeCell ref="BX537:CA537"/>
    <mergeCell ref="CB537:CD537"/>
    <mergeCell ref="CE537:CG537"/>
    <mergeCell ref="CH537:CK537"/>
    <mergeCell ref="BX536:CA536"/>
    <mergeCell ref="CB536:CD536"/>
    <mergeCell ref="CE536:CG536"/>
    <mergeCell ref="CH536:CK536"/>
    <mergeCell ref="BX519:CA519"/>
    <mergeCell ref="CB519:CD519"/>
    <mergeCell ref="CE519:CG519"/>
    <mergeCell ref="CH519:CK519"/>
    <mergeCell ref="BX518:CA518"/>
    <mergeCell ref="CB518:CD518"/>
    <mergeCell ref="CE518:CG518"/>
    <mergeCell ref="CH518:CK518"/>
    <mergeCell ref="BX521:CA521"/>
    <mergeCell ref="CB521:CD521"/>
    <mergeCell ref="CE521:CG521"/>
    <mergeCell ref="CH521:CK521"/>
    <mergeCell ref="BX520:CA520"/>
    <mergeCell ref="CB520:CD520"/>
    <mergeCell ref="CE520:CG520"/>
    <mergeCell ref="CH520:CK520"/>
    <mergeCell ref="BX523:CA523"/>
    <mergeCell ref="CB523:CD523"/>
    <mergeCell ref="CE523:CG523"/>
    <mergeCell ref="CH523:CK523"/>
    <mergeCell ref="BX522:CA522"/>
    <mergeCell ref="CB522:CD522"/>
    <mergeCell ref="CE522:CG522"/>
    <mergeCell ref="CH522:CK522"/>
    <mergeCell ref="BX525:CA525"/>
    <mergeCell ref="CB525:CD525"/>
    <mergeCell ref="CE525:CG525"/>
    <mergeCell ref="CH525:CK525"/>
    <mergeCell ref="BX524:CA524"/>
    <mergeCell ref="CB524:CD524"/>
    <mergeCell ref="CE524:CG524"/>
    <mergeCell ref="CH524:CK524"/>
    <mergeCell ref="BX527:CA527"/>
    <mergeCell ref="CB527:CD527"/>
    <mergeCell ref="CE527:CG527"/>
    <mergeCell ref="CH527:CK527"/>
    <mergeCell ref="BX526:CA526"/>
    <mergeCell ref="CB526:CD526"/>
    <mergeCell ref="CE526:CG526"/>
    <mergeCell ref="CH526:CK526"/>
    <mergeCell ref="BX509:CA509"/>
    <mergeCell ref="CB509:CD509"/>
    <mergeCell ref="CE509:CG509"/>
    <mergeCell ref="CH509:CK509"/>
    <mergeCell ref="BX508:CA508"/>
    <mergeCell ref="CB508:CD508"/>
    <mergeCell ref="CE508:CG508"/>
    <mergeCell ref="CH508:CK508"/>
    <mergeCell ref="BX511:CA511"/>
    <mergeCell ref="CB511:CD511"/>
    <mergeCell ref="CE511:CG511"/>
    <mergeCell ref="CH511:CK511"/>
    <mergeCell ref="BX510:CA510"/>
    <mergeCell ref="CB510:CD510"/>
    <mergeCell ref="CE510:CG510"/>
    <mergeCell ref="CH510:CK510"/>
    <mergeCell ref="BX513:CA513"/>
    <mergeCell ref="CB513:CD513"/>
    <mergeCell ref="CE513:CG513"/>
    <mergeCell ref="CH513:CK513"/>
    <mergeCell ref="BX512:CA512"/>
    <mergeCell ref="CB512:CD512"/>
    <mergeCell ref="CE512:CG512"/>
    <mergeCell ref="CH512:CK512"/>
    <mergeCell ref="BX515:CA515"/>
    <mergeCell ref="CB515:CD515"/>
    <mergeCell ref="CE515:CG515"/>
    <mergeCell ref="CH515:CK515"/>
    <mergeCell ref="BX514:CA514"/>
    <mergeCell ref="CB514:CD514"/>
    <mergeCell ref="CE514:CG514"/>
    <mergeCell ref="CH514:CK514"/>
    <mergeCell ref="BX517:CA517"/>
    <mergeCell ref="CB517:CD517"/>
    <mergeCell ref="CE517:CG517"/>
    <mergeCell ref="CH517:CK517"/>
    <mergeCell ref="BX516:CA516"/>
    <mergeCell ref="CB516:CD516"/>
    <mergeCell ref="CE516:CG516"/>
    <mergeCell ref="CH516:CK516"/>
    <mergeCell ref="BX499:CA499"/>
    <mergeCell ref="CB499:CD499"/>
    <mergeCell ref="CE499:CG499"/>
    <mergeCell ref="CH499:CK499"/>
    <mergeCell ref="BX498:CA498"/>
    <mergeCell ref="CB498:CD498"/>
    <mergeCell ref="CE498:CG498"/>
    <mergeCell ref="CH498:CK498"/>
    <mergeCell ref="BX501:CA501"/>
    <mergeCell ref="CB501:CD501"/>
    <mergeCell ref="CE501:CG501"/>
    <mergeCell ref="CH501:CK501"/>
    <mergeCell ref="BX500:CA500"/>
    <mergeCell ref="CB500:CD500"/>
    <mergeCell ref="CE500:CG500"/>
    <mergeCell ref="CH500:CK500"/>
    <mergeCell ref="BX503:CA503"/>
    <mergeCell ref="CB503:CD503"/>
    <mergeCell ref="CE503:CG503"/>
    <mergeCell ref="CH503:CK503"/>
    <mergeCell ref="BX502:CA502"/>
    <mergeCell ref="CB502:CD502"/>
    <mergeCell ref="CE502:CG502"/>
    <mergeCell ref="CH502:CK502"/>
    <mergeCell ref="BX505:CA505"/>
    <mergeCell ref="CB505:CD505"/>
    <mergeCell ref="CE505:CG505"/>
    <mergeCell ref="CH505:CK505"/>
    <mergeCell ref="BX504:CA504"/>
    <mergeCell ref="CB504:CD504"/>
    <mergeCell ref="CE504:CG504"/>
    <mergeCell ref="CH504:CK504"/>
    <mergeCell ref="BX507:CA507"/>
    <mergeCell ref="CB507:CD507"/>
    <mergeCell ref="CE507:CG507"/>
    <mergeCell ref="CH507:CK507"/>
    <mergeCell ref="BX506:CA506"/>
    <mergeCell ref="CB506:CD506"/>
    <mergeCell ref="CE506:CG506"/>
    <mergeCell ref="CH506:CK506"/>
    <mergeCell ref="BX489:CA489"/>
    <mergeCell ref="CB489:CD489"/>
    <mergeCell ref="CE489:CG489"/>
    <mergeCell ref="CH489:CK489"/>
    <mergeCell ref="BX488:CA488"/>
    <mergeCell ref="CB488:CD488"/>
    <mergeCell ref="CE488:CG488"/>
    <mergeCell ref="CH488:CK488"/>
    <mergeCell ref="BX491:CA491"/>
    <mergeCell ref="CB491:CD491"/>
    <mergeCell ref="CE491:CG491"/>
    <mergeCell ref="CH491:CK491"/>
    <mergeCell ref="BX490:CA490"/>
    <mergeCell ref="CB490:CD490"/>
    <mergeCell ref="CE490:CG490"/>
    <mergeCell ref="CH490:CK490"/>
    <mergeCell ref="BX493:CA493"/>
    <mergeCell ref="CB493:CD493"/>
    <mergeCell ref="CE493:CG493"/>
    <mergeCell ref="CH493:CK493"/>
    <mergeCell ref="BX492:CA492"/>
    <mergeCell ref="CB492:CD492"/>
    <mergeCell ref="CE492:CG492"/>
    <mergeCell ref="CH492:CK492"/>
    <mergeCell ref="BX495:CA495"/>
    <mergeCell ref="CB495:CD495"/>
    <mergeCell ref="CE495:CG495"/>
    <mergeCell ref="CH495:CK495"/>
    <mergeCell ref="BX494:CA494"/>
    <mergeCell ref="CB494:CD494"/>
    <mergeCell ref="CE494:CG494"/>
    <mergeCell ref="CH494:CK494"/>
    <mergeCell ref="BX497:CA497"/>
    <mergeCell ref="CB497:CD497"/>
    <mergeCell ref="CE497:CG497"/>
    <mergeCell ref="CH497:CK497"/>
    <mergeCell ref="BX496:CA496"/>
    <mergeCell ref="CB496:CD496"/>
    <mergeCell ref="CE496:CG496"/>
    <mergeCell ref="CH496:CK496"/>
    <mergeCell ref="BX479:CA479"/>
    <mergeCell ref="CB479:CD479"/>
    <mergeCell ref="CE479:CG479"/>
    <mergeCell ref="CH479:CK479"/>
    <mergeCell ref="BX478:CA478"/>
    <mergeCell ref="CB478:CD478"/>
    <mergeCell ref="CE478:CG478"/>
    <mergeCell ref="CH478:CK478"/>
    <mergeCell ref="BX481:CA481"/>
    <mergeCell ref="CB481:CD481"/>
    <mergeCell ref="CE481:CG481"/>
    <mergeCell ref="CH481:CK481"/>
    <mergeCell ref="BX480:CA480"/>
    <mergeCell ref="CB480:CD480"/>
    <mergeCell ref="CE480:CG480"/>
    <mergeCell ref="CH480:CK480"/>
    <mergeCell ref="BX483:CA483"/>
    <mergeCell ref="CB483:CD483"/>
    <mergeCell ref="CE483:CG483"/>
    <mergeCell ref="CH483:CK483"/>
    <mergeCell ref="BX482:CA482"/>
    <mergeCell ref="CB482:CD482"/>
    <mergeCell ref="CE482:CG482"/>
    <mergeCell ref="CH482:CK482"/>
    <mergeCell ref="BX485:CA485"/>
    <mergeCell ref="CB485:CD485"/>
    <mergeCell ref="CE485:CG485"/>
    <mergeCell ref="CH485:CK485"/>
    <mergeCell ref="BX484:CA484"/>
    <mergeCell ref="CB484:CD484"/>
    <mergeCell ref="CE484:CG484"/>
    <mergeCell ref="CH484:CK484"/>
    <mergeCell ref="BX487:CA487"/>
    <mergeCell ref="CB487:CD487"/>
    <mergeCell ref="CE487:CG487"/>
    <mergeCell ref="CH487:CK487"/>
    <mergeCell ref="BX486:CA486"/>
    <mergeCell ref="CB486:CD486"/>
    <mergeCell ref="CE486:CG486"/>
    <mergeCell ref="CH486:CK486"/>
    <mergeCell ref="CB467:CD467"/>
    <mergeCell ref="CE467:CG467"/>
    <mergeCell ref="CH467:CK467"/>
    <mergeCell ref="BX468:CA468"/>
    <mergeCell ref="CB466:CD466"/>
    <mergeCell ref="CE466:CG466"/>
    <mergeCell ref="CH466:CK466"/>
    <mergeCell ref="CB469:CD469"/>
    <mergeCell ref="CE469:CG469"/>
    <mergeCell ref="CH469:CK469"/>
    <mergeCell ref="CB468:CD468"/>
    <mergeCell ref="CE468:CG468"/>
    <mergeCell ref="CH468:CK468"/>
    <mergeCell ref="CB471:CD471"/>
    <mergeCell ref="CE471:CG471"/>
    <mergeCell ref="CH471:CK471"/>
    <mergeCell ref="CB470:CD470"/>
    <mergeCell ref="CE470:CG470"/>
    <mergeCell ref="CH470:CK470"/>
    <mergeCell ref="CB473:CD473"/>
    <mergeCell ref="CE473:CG473"/>
    <mergeCell ref="CH473:CK473"/>
    <mergeCell ref="CB472:CD472"/>
    <mergeCell ref="CE472:CG472"/>
    <mergeCell ref="CH472:CK472"/>
    <mergeCell ref="CB475:CD475"/>
    <mergeCell ref="CE475:CG475"/>
    <mergeCell ref="CH475:CK475"/>
    <mergeCell ref="CB474:CD474"/>
    <mergeCell ref="CE474:CG474"/>
    <mergeCell ref="CH474:CK474"/>
    <mergeCell ref="BX477:CA477"/>
    <mergeCell ref="CB477:CD477"/>
    <mergeCell ref="CE477:CG477"/>
    <mergeCell ref="CH477:CK477"/>
    <mergeCell ref="CB476:CD476"/>
    <mergeCell ref="CE476:CG476"/>
    <mergeCell ref="CH476:CK476"/>
    <mergeCell ref="BX473:CA473"/>
    <mergeCell ref="BX471:CA471"/>
    <mergeCell ref="BX469:CA469"/>
    <mergeCell ref="BX467:CA467"/>
    <mergeCell ref="BX474:CA474"/>
    <mergeCell ref="BX472:CA472"/>
    <mergeCell ref="BX470:CA470"/>
    <mergeCell ref="BX475:CA475"/>
    <mergeCell ref="BX476:CA476"/>
    <mergeCell ref="CB457:CD457"/>
    <mergeCell ref="CE457:CG457"/>
    <mergeCell ref="CH457:CK457"/>
    <mergeCell ref="BX458:CA458"/>
    <mergeCell ref="CB458:CD458"/>
    <mergeCell ref="CE458:CG458"/>
    <mergeCell ref="CH458:CK458"/>
    <mergeCell ref="BX457:CA457"/>
    <mergeCell ref="CB459:CD459"/>
    <mergeCell ref="CE459:CG459"/>
    <mergeCell ref="CH459:CK459"/>
    <mergeCell ref="BX460:CA460"/>
    <mergeCell ref="CB460:CD460"/>
    <mergeCell ref="CE460:CG460"/>
    <mergeCell ref="CH460:CK460"/>
    <mergeCell ref="BX459:CA459"/>
    <mergeCell ref="CH464:CK464"/>
    <mergeCell ref="CB461:CD461"/>
    <mergeCell ref="CE461:CG461"/>
    <mergeCell ref="CH461:CK461"/>
    <mergeCell ref="BX462:CA462"/>
    <mergeCell ref="CB462:CD462"/>
    <mergeCell ref="CE462:CG462"/>
    <mergeCell ref="CH462:CK462"/>
    <mergeCell ref="BX461:CA461"/>
    <mergeCell ref="BX463:CA463"/>
    <mergeCell ref="CB465:CD465"/>
    <mergeCell ref="CE465:CG465"/>
    <mergeCell ref="CH465:CK465"/>
    <mergeCell ref="BX466:CA466"/>
    <mergeCell ref="CB463:CD463"/>
    <mergeCell ref="CE463:CG463"/>
    <mergeCell ref="CH463:CK463"/>
    <mergeCell ref="BX464:CA464"/>
    <mergeCell ref="CB464:CD464"/>
    <mergeCell ref="CE464:CG464"/>
    <mergeCell ref="BX465:CA465"/>
    <mergeCell ref="BX448:CA448"/>
    <mergeCell ref="CB448:CD448"/>
    <mergeCell ref="CE448:CG448"/>
    <mergeCell ref="CH448:CK448"/>
    <mergeCell ref="BX447:CA447"/>
    <mergeCell ref="CB447:CD447"/>
    <mergeCell ref="CE447:CG447"/>
    <mergeCell ref="CH447:CK447"/>
    <mergeCell ref="BX450:CA450"/>
    <mergeCell ref="CB450:CD450"/>
    <mergeCell ref="CE450:CG450"/>
    <mergeCell ref="CH450:CK450"/>
    <mergeCell ref="BX449:CA449"/>
    <mergeCell ref="CB449:CD449"/>
    <mergeCell ref="CE449:CG449"/>
    <mergeCell ref="CH449:CK449"/>
    <mergeCell ref="BX452:CA452"/>
    <mergeCell ref="CB452:CD452"/>
    <mergeCell ref="CE452:CG452"/>
    <mergeCell ref="CH452:CK452"/>
    <mergeCell ref="BX451:CA451"/>
    <mergeCell ref="CB451:CD451"/>
    <mergeCell ref="CE451:CG451"/>
    <mergeCell ref="CH451:CK451"/>
    <mergeCell ref="BX454:CA454"/>
    <mergeCell ref="CB454:CD454"/>
    <mergeCell ref="CE454:CG454"/>
    <mergeCell ref="CH454:CK454"/>
    <mergeCell ref="BX453:CA453"/>
    <mergeCell ref="CB453:CD453"/>
    <mergeCell ref="CE453:CG453"/>
    <mergeCell ref="CH453:CK453"/>
    <mergeCell ref="BX456:CA456"/>
    <mergeCell ref="CB456:CD456"/>
    <mergeCell ref="CE456:CG456"/>
    <mergeCell ref="CH456:CK456"/>
    <mergeCell ref="BX455:CA455"/>
    <mergeCell ref="CB455:CD455"/>
    <mergeCell ref="CE455:CG455"/>
    <mergeCell ref="CH455:CK455"/>
    <mergeCell ref="BX438:CA438"/>
    <mergeCell ref="CB438:CD438"/>
    <mergeCell ref="CE438:CG438"/>
    <mergeCell ref="CH438:CK438"/>
    <mergeCell ref="BX437:CA437"/>
    <mergeCell ref="CB437:CD437"/>
    <mergeCell ref="CE437:CG437"/>
    <mergeCell ref="CH437:CK437"/>
    <mergeCell ref="CH441:CK441"/>
    <mergeCell ref="BX440:CA440"/>
    <mergeCell ref="CB440:CD440"/>
    <mergeCell ref="CE440:CG440"/>
    <mergeCell ref="CH440:CK440"/>
    <mergeCell ref="BX439:CA439"/>
    <mergeCell ref="CB439:CD439"/>
    <mergeCell ref="CE439:CG439"/>
    <mergeCell ref="CH439:CK439"/>
    <mergeCell ref="BX444:CA444"/>
    <mergeCell ref="CB444:CD444"/>
    <mergeCell ref="CE444:CG444"/>
    <mergeCell ref="CH444:CK444"/>
    <mergeCell ref="BX443:CA443"/>
    <mergeCell ref="CB443:CD443"/>
    <mergeCell ref="CE443:CG443"/>
    <mergeCell ref="CH443:CK443"/>
    <mergeCell ref="BX446:CA446"/>
    <mergeCell ref="CB446:CD446"/>
    <mergeCell ref="CE446:CG446"/>
    <mergeCell ref="CH446:CK446"/>
    <mergeCell ref="BX445:CA445"/>
    <mergeCell ref="CB445:CD445"/>
    <mergeCell ref="CE445:CG445"/>
    <mergeCell ref="CH445:CK445"/>
    <mergeCell ref="BX428:CA428"/>
    <mergeCell ref="CB428:CD428"/>
    <mergeCell ref="CE428:CG428"/>
    <mergeCell ref="CH428:CK428"/>
    <mergeCell ref="BX427:CA427"/>
    <mergeCell ref="CB427:CD427"/>
    <mergeCell ref="CE427:CG427"/>
    <mergeCell ref="CH427:CK427"/>
    <mergeCell ref="BX430:CA430"/>
    <mergeCell ref="CB430:CD430"/>
    <mergeCell ref="CE430:CG430"/>
    <mergeCell ref="CH430:CK430"/>
    <mergeCell ref="BX429:CA429"/>
    <mergeCell ref="CB429:CD429"/>
    <mergeCell ref="CE429:CG429"/>
    <mergeCell ref="CH429:CK429"/>
    <mergeCell ref="BX432:CA432"/>
    <mergeCell ref="CB432:CD432"/>
    <mergeCell ref="CE432:CG432"/>
    <mergeCell ref="CH432:CK432"/>
    <mergeCell ref="BX431:CA431"/>
    <mergeCell ref="CB431:CD431"/>
    <mergeCell ref="CE431:CG431"/>
    <mergeCell ref="CH431:CK431"/>
    <mergeCell ref="BX434:CA434"/>
    <mergeCell ref="CB434:CD434"/>
    <mergeCell ref="CE434:CG434"/>
    <mergeCell ref="CH434:CK434"/>
    <mergeCell ref="BX433:CA433"/>
    <mergeCell ref="CB433:CD433"/>
    <mergeCell ref="CE433:CG433"/>
    <mergeCell ref="CH433:CK433"/>
    <mergeCell ref="BX436:CA436"/>
    <mergeCell ref="CB436:CD436"/>
    <mergeCell ref="CE436:CG436"/>
    <mergeCell ref="CH436:CK436"/>
    <mergeCell ref="BX435:CA435"/>
    <mergeCell ref="CB435:CD435"/>
    <mergeCell ref="CE435:CG435"/>
    <mergeCell ref="CH435:CK435"/>
    <mergeCell ref="BX418:CA418"/>
    <mergeCell ref="CB418:CD418"/>
    <mergeCell ref="CE418:CG418"/>
    <mergeCell ref="CH418:CK418"/>
    <mergeCell ref="BX417:CA417"/>
    <mergeCell ref="CB417:CD417"/>
    <mergeCell ref="CE417:CG417"/>
    <mergeCell ref="CH417:CK417"/>
    <mergeCell ref="BX420:CA420"/>
    <mergeCell ref="CB420:CD420"/>
    <mergeCell ref="CE420:CG420"/>
    <mergeCell ref="CH420:CK420"/>
    <mergeCell ref="BX419:CA419"/>
    <mergeCell ref="CB419:CD419"/>
    <mergeCell ref="CE419:CG419"/>
    <mergeCell ref="CH419:CK419"/>
    <mergeCell ref="BX422:CA422"/>
    <mergeCell ref="CB422:CD422"/>
    <mergeCell ref="CE422:CG422"/>
    <mergeCell ref="CH422:CK422"/>
    <mergeCell ref="BX421:CA421"/>
    <mergeCell ref="CB421:CD421"/>
    <mergeCell ref="CE421:CG421"/>
    <mergeCell ref="CH421:CK421"/>
    <mergeCell ref="BX424:CA424"/>
    <mergeCell ref="CB424:CD424"/>
    <mergeCell ref="CE424:CG424"/>
    <mergeCell ref="CH424:CK424"/>
    <mergeCell ref="BX423:CA423"/>
    <mergeCell ref="CB423:CD423"/>
    <mergeCell ref="CE423:CG423"/>
    <mergeCell ref="CH423:CK423"/>
    <mergeCell ref="BX426:CA426"/>
    <mergeCell ref="CB426:CD426"/>
    <mergeCell ref="CE426:CG426"/>
    <mergeCell ref="CH426:CK426"/>
    <mergeCell ref="BX425:CA425"/>
    <mergeCell ref="CB425:CD425"/>
    <mergeCell ref="CE425:CG425"/>
    <mergeCell ref="CH425:CK425"/>
    <mergeCell ref="BX408:CA408"/>
    <mergeCell ref="CB408:CD408"/>
    <mergeCell ref="CE408:CG408"/>
    <mergeCell ref="CH408:CK408"/>
    <mergeCell ref="BX407:CA407"/>
    <mergeCell ref="CB407:CD407"/>
    <mergeCell ref="CE407:CG407"/>
    <mergeCell ref="CH407:CK407"/>
    <mergeCell ref="BX410:CA410"/>
    <mergeCell ref="CB410:CD410"/>
    <mergeCell ref="CE410:CG410"/>
    <mergeCell ref="CH410:CK410"/>
    <mergeCell ref="BX409:CA409"/>
    <mergeCell ref="CB409:CD409"/>
    <mergeCell ref="CE409:CG409"/>
    <mergeCell ref="CH409:CK409"/>
    <mergeCell ref="BX412:CA412"/>
    <mergeCell ref="CB412:CD412"/>
    <mergeCell ref="CE412:CG412"/>
    <mergeCell ref="CH412:CK412"/>
    <mergeCell ref="BX411:CA411"/>
    <mergeCell ref="CB411:CD411"/>
    <mergeCell ref="CE411:CG411"/>
    <mergeCell ref="CH411:CK411"/>
    <mergeCell ref="BX414:CA414"/>
    <mergeCell ref="CB414:CD414"/>
    <mergeCell ref="CE414:CG414"/>
    <mergeCell ref="CH414:CK414"/>
    <mergeCell ref="BX413:CA413"/>
    <mergeCell ref="CB413:CD413"/>
    <mergeCell ref="CE413:CG413"/>
    <mergeCell ref="CH413:CK413"/>
    <mergeCell ref="BX416:CA416"/>
    <mergeCell ref="CB416:CD416"/>
    <mergeCell ref="CE416:CG416"/>
    <mergeCell ref="CH416:CK416"/>
    <mergeCell ref="BX415:CA415"/>
    <mergeCell ref="CB415:CD415"/>
    <mergeCell ref="CE415:CG415"/>
    <mergeCell ref="CH415:CK415"/>
    <mergeCell ref="BX398:CA398"/>
    <mergeCell ref="CB398:CD398"/>
    <mergeCell ref="CE398:CG398"/>
    <mergeCell ref="CH398:CK398"/>
    <mergeCell ref="BX397:CA397"/>
    <mergeCell ref="CB397:CD397"/>
    <mergeCell ref="CE397:CG397"/>
    <mergeCell ref="CH397:CK397"/>
    <mergeCell ref="BX400:CA400"/>
    <mergeCell ref="CB400:CD400"/>
    <mergeCell ref="CE400:CG400"/>
    <mergeCell ref="CH400:CK400"/>
    <mergeCell ref="BX399:CA399"/>
    <mergeCell ref="CB399:CD399"/>
    <mergeCell ref="CE399:CG399"/>
    <mergeCell ref="CH399:CK399"/>
    <mergeCell ref="BX402:CA402"/>
    <mergeCell ref="CB402:CD402"/>
    <mergeCell ref="CE402:CG402"/>
    <mergeCell ref="CH402:CK402"/>
    <mergeCell ref="BX401:CA401"/>
    <mergeCell ref="CB401:CD401"/>
    <mergeCell ref="CE401:CG401"/>
    <mergeCell ref="CH401:CK401"/>
    <mergeCell ref="BX404:CA404"/>
    <mergeCell ref="CB404:CD404"/>
    <mergeCell ref="CE404:CG404"/>
    <mergeCell ref="CH404:CK404"/>
    <mergeCell ref="BX403:CA403"/>
    <mergeCell ref="CB403:CD403"/>
    <mergeCell ref="CE403:CG403"/>
    <mergeCell ref="CH403:CK403"/>
    <mergeCell ref="BX406:CA406"/>
    <mergeCell ref="CB406:CD406"/>
    <mergeCell ref="CE406:CG406"/>
    <mergeCell ref="CH406:CK406"/>
    <mergeCell ref="BX405:CA405"/>
    <mergeCell ref="CB405:CD405"/>
    <mergeCell ref="CE405:CG405"/>
    <mergeCell ref="CH405:CK405"/>
    <mergeCell ref="BX388:CA388"/>
    <mergeCell ref="CB388:CD388"/>
    <mergeCell ref="CE388:CG388"/>
    <mergeCell ref="CH388:CK388"/>
    <mergeCell ref="BX387:CA387"/>
    <mergeCell ref="CB387:CD387"/>
    <mergeCell ref="CE387:CG387"/>
    <mergeCell ref="CH387:CK387"/>
    <mergeCell ref="BX390:CA390"/>
    <mergeCell ref="CB390:CD390"/>
    <mergeCell ref="CE390:CG390"/>
    <mergeCell ref="CH390:CK390"/>
    <mergeCell ref="BX389:CA389"/>
    <mergeCell ref="CB389:CD389"/>
    <mergeCell ref="CE389:CG389"/>
    <mergeCell ref="CH389:CK389"/>
    <mergeCell ref="BX392:CA392"/>
    <mergeCell ref="CB392:CD392"/>
    <mergeCell ref="CE392:CG392"/>
    <mergeCell ref="CH392:CK392"/>
    <mergeCell ref="BX391:CA391"/>
    <mergeCell ref="CB391:CD391"/>
    <mergeCell ref="CE391:CG391"/>
    <mergeCell ref="CH391:CK391"/>
    <mergeCell ref="BX394:CA394"/>
    <mergeCell ref="CB394:CD394"/>
    <mergeCell ref="CE394:CG394"/>
    <mergeCell ref="CH394:CK394"/>
    <mergeCell ref="BX393:CA393"/>
    <mergeCell ref="CB393:CD393"/>
    <mergeCell ref="CE393:CG393"/>
    <mergeCell ref="CH393:CK393"/>
    <mergeCell ref="BX396:CA396"/>
    <mergeCell ref="CB396:CD396"/>
    <mergeCell ref="CE396:CG396"/>
    <mergeCell ref="CH396:CK396"/>
    <mergeCell ref="BX395:CA395"/>
    <mergeCell ref="CB395:CD395"/>
    <mergeCell ref="CE395:CG395"/>
    <mergeCell ref="CH395:CK395"/>
    <mergeCell ref="BX378:CA378"/>
    <mergeCell ref="CB378:CD378"/>
    <mergeCell ref="CE378:CG378"/>
    <mergeCell ref="CH378:CK378"/>
    <mergeCell ref="BX377:CA377"/>
    <mergeCell ref="CB377:CD377"/>
    <mergeCell ref="CE377:CG377"/>
    <mergeCell ref="CH377:CK377"/>
    <mergeCell ref="BX380:CA380"/>
    <mergeCell ref="CB380:CD380"/>
    <mergeCell ref="CE380:CG380"/>
    <mergeCell ref="CH380:CK380"/>
    <mergeCell ref="BX379:CA379"/>
    <mergeCell ref="CB379:CD379"/>
    <mergeCell ref="CE379:CG379"/>
    <mergeCell ref="CH379:CK379"/>
    <mergeCell ref="BX382:CA382"/>
    <mergeCell ref="CB382:CD382"/>
    <mergeCell ref="CE382:CG382"/>
    <mergeCell ref="CH382:CK382"/>
    <mergeCell ref="BX381:CA381"/>
    <mergeCell ref="CB381:CD381"/>
    <mergeCell ref="CE381:CG381"/>
    <mergeCell ref="CH381:CK381"/>
    <mergeCell ref="BX384:CA384"/>
    <mergeCell ref="CB384:CD384"/>
    <mergeCell ref="CE384:CG384"/>
    <mergeCell ref="CH384:CK384"/>
    <mergeCell ref="BX383:CA383"/>
    <mergeCell ref="CB383:CD383"/>
    <mergeCell ref="CE383:CG383"/>
    <mergeCell ref="CH383:CK383"/>
    <mergeCell ref="BX386:CA386"/>
    <mergeCell ref="CB386:CD386"/>
    <mergeCell ref="CE386:CG386"/>
    <mergeCell ref="CH386:CK386"/>
    <mergeCell ref="BX385:CA385"/>
    <mergeCell ref="CB385:CD385"/>
    <mergeCell ref="CE385:CG385"/>
    <mergeCell ref="CH385:CK385"/>
    <mergeCell ref="BX368:CA368"/>
    <mergeCell ref="CB368:CD368"/>
    <mergeCell ref="CE368:CG368"/>
    <mergeCell ref="CH368:CK368"/>
    <mergeCell ref="BX369:CA369"/>
    <mergeCell ref="CB369:CD369"/>
    <mergeCell ref="CE369:CG369"/>
    <mergeCell ref="CH369:CK369"/>
    <mergeCell ref="CE371:CG371"/>
    <mergeCell ref="CH371:CK371"/>
    <mergeCell ref="BX370:CA370"/>
    <mergeCell ref="CB370:CD370"/>
    <mergeCell ref="CE370:CG370"/>
    <mergeCell ref="CH370:CK370"/>
    <mergeCell ref="BX371:CA371"/>
    <mergeCell ref="CB371:CD371"/>
    <mergeCell ref="BX372:CA372"/>
    <mergeCell ref="CB372:CD372"/>
    <mergeCell ref="CE372:CG372"/>
    <mergeCell ref="CH372:CK372"/>
    <mergeCell ref="CE374:CG374"/>
    <mergeCell ref="CH374:CK374"/>
    <mergeCell ref="BX374:CA374"/>
    <mergeCell ref="CB374:CD374"/>
    <mergeCell ref="BX373:CA373"/>
    <mergeCell ref="CB373:CD373"/>
    <mergeCell ref="CE373:CG373"/>
    <mergeCell ref="CH373:CK373"/>
    <mergeCell ref="BX376:CA376"/>
    <mergeCell ref="CB376:CD376"/>
    <mergeCell ref="CE376:CG376"/>
    <mergeCell ref="CH376:CK376"/>
    <mergeCell ref="BX375:CA375"/>
    <mergeCell ref="CB375:CD375"/>
    <mergeCell ref="CE375:CG375"/>
    <mergeCell ref="CH375:CK375"/>
    <mergeCell ref="BX360:CA360"/>
    <mergeCell ref="CB360:CD360"/>
    <mergeCell ref="CE360:CG360"/>
    <mergeCell ref="CH360:CK360"/>
    <mergeCell ref="BX359:CA359"/>
    <mergeCell ref="CB359:CD359"/>
    <mergeCell ref="CE359:CG359"/>
    <mergeCell ref="CH359:CK359"/>
    <mergeCell ref="BX362:CA362"/>
    <mergeCell ref="CB362:CD362"/>
    <mergeCell ref="CE362:CG362"/>
    <mergeCell ref="CH362:CK362"/>
    <mergeCell ref="BX361:CA361"/>
    <mergeCell ref="CB361:CD361"/>
    <mergeCell ref="CE361:CG361"/>
    <mergeCell ref="CH361:CK361"/>
    <mergeCell ref="BX364:CA364"/>
    <mergeCell ref="CB364:CD364"/>
    <mergeCell ref="CE364:CG364"/>
    <mergeCell ref="CH364:CK364"/>
    <mergeCell ref="BX363:CA363"/>
    <mergeCell ref="CB363:CD363"/>
    <mergeCell ref="CE363:CG363"/>
    <mergeCell ref="CH363:CK363"/>
    <mergeCell ref="BX366:CA366"/>
    <mergeCell ref="CB366:CD366"/>
    <mergeCell ref="CE366:CG366"/>
    <mergeCell ref="CH366:CK366"/>
    <mergeCell ref="BX365:CA365"/>
    <mergeCell ref="CB365:CD365"/>
    <mergeCell ref="CE365:CG365"/>
    <mergeCell ref="CH365:CK365"/>
    <mergeCell ref="BX367:CA367"/>
    <mergeCell ref="CB367:CD367"/>
    <mergeCell ref="CE367:CG367"/>
    <mergeCell ref="CH367:CK367"/>
    <mergeCell ref="CB349:CD349"/>
    <mergeCell ref="CE349:CG349"/>
    <mergeCell ref="CH349:CK349"/>
    <mergeCell ref="BX350:CA350"/>
    <mergeCell ref="CB350:CD350"/>
    <mergeCell ref="CE350:CG350"/>
    <mergeCell ref="CH350:CK350"/>
    <mergeCell ref="BX349:CA349"/>
    <mergeCell ref="BX352:CA352"/>
    <mergeCell ref="CB352:CD352"/>
    <mergeCell ref="CE352:CG352"/>
    <mergeCell ref="CH352:CK352"/>
    <mergeCell ref="BX351:CA351"/>
    <mergeCell ref="CB351:CD351"/>
    <mergeCell ref="CE351:CG351"/>
    <mergeCell ref="CH351:CK351"/>
    <mergeCell ref="BX354:CA354"/>
    <mergeCell ref="CB354:CD354"/>
    <mergeCell ref="CE354:CG354"/>
    <mergeCell ref="CH354:CK354"/>
    <mergeCell ref="BX353:CA353"/>
    <mergeCell ref="CB353:CD353"/>
    <mergeCell ref="CE353:CG353"/>
    <mergeCell ref="CH353:CK353"/>
    <mergeCell ref="BX356:CA356"/>
    <mergeCell ref="CB356:CD356"/>
    <mergeCell ref="CE356:CG356"/>
    <mergeCell ref="CH356:CK356"/>
    <mergeCell ref="BX355:CA355"/>
    <mergeCell ref="CB355:CD355"/>
    <mergeCell ref="CE355:CG355"/>
    <mergeCell ref="CH355:CK355"/>
    <mergeCell ref="BX358:CA358"/>
    <mergeCell ref="CB358:CD358"/>
    <mergeCell ref="CE358:CG358"/>
    <mergeCell ref="CH358:CK358"/>
    <mergeCell ref="BX357:CA357"/>
    <mergeCell ref="CB357:CD357"/>
    <mergeCell ref="CE357:CG357"/>
    <mergeCell ref="CH357:CK357"/>
    <mergeCell ref="CB339:CD339"/>
    <mergeCell ref="CE338:CG338"/>
    <mergeCell ref="CB341:CD341"/>
    <mergeCell ref="CE341:CG341"/>
    <mergeCell ref="CE340:CG340"/>
    <mergeCell ref="CE339:CG339"/>
    <mergeCell ref="CB340:CD340"/>
    <mergeCell ref="CE343:CG343"/>
    <mergeCell ref="CH343:CK343"/>
    <mergeCell ref="CH338:CK338"/>
    <mergeCell ref="CH339:CK339"/>
    <mergeCell ref="CH340:CK340"/>
    <mergeCell ref="CH341:CK341"/>
    <mergeCell ref="CB344:CD344"/>
    <mergeCell ref="CE344:CG344"/>
    <mergeCell ref="CH344:CK344"/>
    <mergeCell ref="CB342:CD342"/>
    <mergeCell ref="CB345:CD345"/>
    <mergeCell ref="CE345:CG345"/>
    <mergeCell ref="CH345:CK345"/>
    <mergeCell ref="CH342:CK342"/>
    <mergeCell ref="CE342:CG342"/>
    <mergeCell ref="CB343:CD343"/>
    <mergeCell ref="CB346:CD346"/>
    <mergeCell ref="CE346:CG346"/>
    <mergeCell ref="CH346:CK346"/>
    <mergeCell ref="CB347:CD347"/>
    <mergeCell ref="CE347:CG347"/>
    <mergeCell ref="CH347:CK347"/>
    <mergeCell ref="CB348:CD348"/>
    <mergeCell ref="CE348:CG348"/>
    <mergeCell ref="CH348:CK348"/>
    <mergeCell ref="BX344:CA344"/>
    <mergeCell ref="CH337:CK337"/>
    <mergeCell ref="BX337:CA337"/>
    <mergeCell ref="BG336:BU336"/>
    <mergeCell ref="CE337:CG337"/>
    <mergeCell ref="BR334:BU334"/>
    <mergeCell ref="BR333:BU333"/>
    <mergeCell ref="BW336:CK336"/>
    <mergeCell ref="CB337:CD337"/>
    <mergeCell ref="BW334:BX334"/>
    <mergeCell ref="BI335:BJ335"/>
    <mergeCell ref="AA290:AG290"/>
    <mergeCell ref="AA286:AG286"/>
    <mergeCell ref="AA287:AG287"/>
    <mergeCell ref="AA291:AG291"/>
    <mergeCell ref="AA289:AG289"/>
    <mergeCell ref="Y283:Z283"/>
    <mergeCell ref="BO337:BQ337"/>
    <mergeCell ref="BR337:BU337"/>
    <mergeCell ref="Y287:Z287"/>
    <mergeCell ref="AA292:AG292"/>
    <mergeCell ref="Y292:Z292"/>
    <mergeCell ref="AY193:BA193"/>
    <mergeCell ref="AA255:AG255"/>
    <mergeCell ref="AA260:AG260"/>
    <mergeCell ref="AH261:AN261"/>
    <mergeCell ref="AH258:AN258"/>
    <mergeCell ref="AH253:AN253"/>
    <mergeCell ref="AA254:AG254"/>
    <mergeCell ref="AA256:AG256"/>
    <mergeCell ref="AH254:AN254"/>
    <mergeCell ref="Y293:Z293"/>
    <mergeCell ref="BR332:BU332"/>
    <mergeCell ref="F329:AN330"/>
    <mergeCell ref="V293:W293"/>
    <mergeCell ref="D293:F293"/>
    <mergeCell ref="AH297:AN297"/>
    <mergeCell ref="AH293:AN293"/>
    <mergeCell ref="J293:K293"/>
    <mergeCell ref="T293:U293"/>
    <mergeCell ref="AA293:AG293"/>
    <mergeCell ref="BG333:BJ333"/>
    <mergeCell ref="T294:U294"/>
    <mergeCell ref="AH294:AN294"/>
    <mergeCell ref="G294:I294"/>
    <mergeCell ref="BG332:BJ332"/>
    <mergeCell ref="G247:I247"/>
    <mergeCell ref="G249:I249"/>
    <mergeCell ref="G251:I251"/>
    <mergeCell ref="G253:I253"/>
    <mergeCell ref="G255:I255"/>
    <mergeCell ref="G257:I257"/>
    <mergeCell ref="G259:I259"/>
    <mergeCell ref="O279:P279"/>
    <mergeCell ref="T258:U258"/>
    <mergeCell ref="Q258:R258"/>
    <mergeCell ref="O245:P245"/>
    <mergeCell ref="Y244:Z244"/>
    <mergeCell ref="J243:K243"/>
    <mergeCell ref="L244:M244"/>
    <mergeCell ref="T244:U244"/>
    <mergeCell ref="O243:P243"/>
    <mergeCell ref="G243:I243"/>
    <mergeCell ref="Q244:R244"/>
    <mergeCell ref="J255:K255"/>
    <mergeCell ref="Y241:AN241"/>
    <mergeCell ref="O242:R242"/>
    <mergeCell ref="V243:W243"/>
    <mergeCell ref="Y243:Z243"/>
    <mergeCell ref="AD239:AF239"/>
    <mergeCell ref="Y242:Z242"/>
    <mergeCell ref="G244:I244"/>
    <mergeCell ref="D267:F267"/>
    <mergeCell ref="D259:F259"/>
    <mergeCell ref="V283:W283"/>
    <mergeCell ref="V279:W279"/>
    <mergeCell ref="V280:W280"/>
    <mergeCell ref="O273:P273"/>
    <mergeCell ref="Q273:R273"/>
    <mergeCell ref="T262:U262"/>
    <mergeCell ref="T268:U268"/>
    <mergeCell ref="T271:U271"/>
    <mergeCell ref="T274:U274"/>
    <mergeCell ref="J282:K282"/>
    <mergeCell ref="Y246:Z246"/>
    <mergeCell ref="Y247:Z247"/>
    <mergeCell ref="Y250:Z250"/>
    <mergeCell ref="T273:U273"/>
    <mergeCell ref="Y248:Z248"/>
    <mergeCell ref="L267:M267"/>
    <mergeCell ref="L263:M263"/>
    <mergeCell ref="BR343:BU343"/>
    <mergeCell ref="BX347:CA347"/>
    <mergeCell ref="BL344:BN344"/>
    <mergeCell ref="BO344:BQ344"/>
    <mergeCell ref="BR347:BU347"/>
    <mergeCell ref="BL343:BN343"/>
    <mergeCell ref="BO343:BQ343"/>
    <mergeCell ref="BR345:BU345"/>
    <mergeCell ref="BL346:BN346"/>
    <mergeCell ref="BO346:BQ346"/>
    <mergeCell ref="BX346:CA346"/>
    <mergeCell ref="L283:M283"/>
    <mergeCell ref="L297:M297"/>
    <mergeCell ref="L287:M287"/>
    <mergeCell ref="Y282:Z282"/>
    <mergeCell ref="AH288:AN288"/>
    <mergeCell ref="AH287:AN287"/>
    <mergeCell ref="AH285:AN285"/>
    <mergeCell ref="AA285:AG285"/>
    <mergeCell ref="AA283:AG283"/>
    <mergeCell ref="AH284:AN284"/>
    <mergeCell ref="L252:M252"/>
    <mergeCell ref="O252:P252"/>
    <mergeCell ref="J252:K252"/>
    <mergeCell ref="T254:U254"/>
    <mergeCell ref="Q250:R250"/>
    <mergeCell ref="O250:P250"/>
    <mergeCell ref="J249:K249"/>
    <mergeCell ref="J250:K250"/>
    <mergeCell ref="L251:M251"/>
    <mergeCell ref="Q247:R247"/>
    <mergeCell ref="O248:P248"/>
    <mergeCell ref="Q251:R251"/>
    <mergeCell ref="O261:P261"/>
    <mergeCell ref="Q259:R259"/>
    <mergeCell ref="Q261:R261"/>
    <mergeCell ref="J294:K294"/>
    <mergeCell ref="O262:P262"/>
    <mergeCell ref="BH349:BK349"/>
    <mergeCell ref="BL349:BN349"/>
    <mergeCell ref="BO349:BQ349"/>
    <mergeCell ref="BR349:BU349"/>
    <mergeCell ref="BX348:CA348"/>
    <mergeCell ref="BX345:CA345"/>
    <mergeCell ref="BX339:CA339"/>
    <mergeCell ref="BR340:BU340"/>
    <mergeCell ref="BO340:BQ340"/>
    <mergeCell ref="BX341:CA341"/>
    <mergeCell ref="BX340:CA340"/>
    <mergeCell ref="BX343:CA343"/>
    <mergeCell ref="BO345:BQ345"/>
    <mergeCell ref="BX342:CA342"/>
    <mergeCell ref="BR342:BU342"/>
    <mergeCell ref="BL342:BN342"/>
    <mergeCell ref="BO342:BQ342"/>
    <mergeCell ref="BH341:BK341"/>
    <mergeCell ref="BR339:BU339"/>
    <mergeCell ref="BO339:BQ339"/>
    <mergeCell ref="BH342:BK342"/>
    <mergeCell ref="BL341:BN341"/>
    <mergeCell ref="BH340:BK340"/>
    <mergeCell ref="BH354:BK354"/>
    <mergeCell ref="BL354:BN354"/>
    <mergeCell ref="BO354:BQ354"/>
    <mergeCell ref="BR354:BU354"/>
    <mergeCell ref="BH355:BK355"/>
    <mergeCell ref="BL355:BN355"/>
    <mergeCell ref="BO355:BQ355"/>
    <mergeCell ref="BR355:BU355"/>
    <mergeCell ref="BH352:BK352"/>
    <mergeCell ref="BL352:BN352"/>
    <mergeCell ref="BO352:BQ352"/>
    <mergeCell ref="BR352:BU352"/>
    <mergeCell ref="BH353:BK353"/>
    <mergeCell ref="BL353:BN353"/>
    <mergeCell ref="BO353:BQ353"/>
    <mergeCell ref="BR353:BU353"/>
    <mergeCell ref="BH350:BK350"/>
    <mergeCell ref="BL350:BN350"/>
    <mergeCell ref="BO350:BQ350"/>
    <mergeCell ref="BR350:BU350"/>
    <mergeCell ref="BH351:BK351"/>
    <mergeCell ref="BL351:BN351"/>
    <mergeCell ref="BO351:BQ351"/>
    <mergeCell ref="BR351:BU351"/>
    <mergeCell ref="BH348:BK348"/>
    <mergeCell ref="BL347:BN347"/>
    <mergeCell ref="BR344:BU344"/>
    <mergeCell ref="BR346:BU346"/>
    <mergeCell ref="BL348:BN348"/>
    <mergeCell ref="BO348:BQ348"/>
    <mergeCell ref="BO347:BQ347"/>
    <mergeCell ref="BL345:BN345"/>
    <mergeCell ref="BR348:BU348"/>
    <mergeCell ref="BH364:BK364"/>
    <mergeCell ref="BL364:BN364"/>
    <mergeCell ref="BO364:BQ364"/>
    <mergeCell ref="BR364:BU364"/>
    <mergeCell ref="BH365:BK365"/>
    <mergeCell ref="BL365:BN365"/>
    <mergeCell ref="BO365:BQ365"/>
    <mergeCell ref="BR365:BU365"/>
    <mergeCell ref="BH362:BK362"/>
    <mergeCell ref="BL362:BN362"/>
    <mergeCell ref="BO362:BQ362"/>
    <mergeCell ref="BR362:BU362"/>
    <mergeCell ref="BH363:BK363"/>
    <mergeCell ref="BL363:BN363"/>
    <mergeCell ref="BO363:BQ363"/>
    <mergeCell ref="BR363:BU363"/>
    <mergeCell ref="BH360:BK360"/>
    <mergeCell ref="BL360:BN360"/>
    <mergeCell ref="BO360:BQ360"/>
    <mergeCell ref="BR360:BU360"/>
    <mergeCell ref="BH361:BK361"/>
    <mergeCell ref="BL361:BN361"/>
    <mergeCell ref="BO361:BQ361"/>
    <mergeCell ref="BR361:BU361"/>
    <mergeCell ref="BH358:BK358"/>
    <mergeCell ref="BL358:BN358"/>
    <mergeCell ref="BO358:BQ358"/>
    <mergeCell ref="BR358:BU358"/>
    <mergeCell ref="BH359:BK359"/>
    <mergeCell ref="BL359:BN359"/>
    <mergeCell ref="BO359:BQ359"/>
    <mergeCell ref="BR359:BU359"/>
    <mergeCell ref="BH356:BK356"/>
    <mergeCell ref="BL356:BN356"/>
    <mergeCell ref="BO356:BQ356"/>
    <mergeCell ref="BR356:BU356"/>
    <mergeCell ref="BH357:BK357"/>
    <mergeCell ref="BL357:BN357"/>
    <mergeCell ref="BO357:BQ357"/>
    <mergeCell ref="BR357:BU357"/>
    <mergeCell ref="BH374:BK374"/>
    <mergeCell ref="BL374:BN374"/>
    <mergeCell ref="BO374:BQ374"/>
    <mergeCell ref="BR374:BU374"/>
    <mergeCell ref="BH375:BK375"/>
    <mergeCell ref="BL375:BN375"/>
    <mergeCell ref="BO375:BQ375"/>
    <mergeCell ref="BR375:BU375"/>
    <mergeCell ref="BH372:BK372"/>
    <mergeCell ref="BL372:BN372"/>
    <mergeCell ref="BO372:BQ372"/>
    <mergeCell ref="BR372:BU372"/>
    <mergeCell ref="BH373:BK373"/>
    <mergeCell ref="BL373:BN373"/>
    <mergeCell ref="BO373:BQ373"/>
    <mergeCell ref="BR373:BU373"/>
    <mergeCell ref="BH370:BK370"/>
    <mergeCell ref="BL370:BN370"/>
    <mergeCell ref="BO370:BQ370"/>
    <mergeCell ref="BR370:BU370"/>
    <mergeCell ref="BH371:BK371"/>
    <mergeCell ref="BL371:BN371"/>
    <mergeCell ref="BO371:BQ371"/>
    <mergeCell ref="BR371:BU371"/>
    <mergeCell ref="BH368:BK368"/>
    <mergeCell ref="BL368:BN368"/>
    <mergeCell ref="BO368:BQ368"/>
    <mergeCell ref="BR368:BU368"/>
    <mergeCell ref="BH369:BK369"/>
    <mergeCell ref="BL369:BN369"/>
    <mergeCell ref="BO369:BQ369"/>
    <mergeCell ref="BR369:BU369"/>
    <mergeCell ref="BH366:BK366"/>
    <mergeCell ref="BL366:BN366"/>
    <mergeCell ref="BO366:BQ366"/>
    <mergeCell ref="BR366:BU366"/>
    <mergeCell ref="BH367:BK367"/>
    <mergeCell ref="BL367:BN367"/>
    <mergeCell ref="BO367:BQ367"/>
    <mergeCell ref="BR367:BU367"/>
    <mergeCell ref="BH384:BK384"/>
    <mergeCell ref="BL384:BN384"/>
    <mergeCell ref="BO384:BQ384"/>
    <mergeCell ref="BR384:BU384"/>
    <mergeCell ref="BH385:BK385"/>
    <mergeCell ref="BL385:BN385"/>
    <mergeCell ref="BO385:BQ385"/>
    <mergeCell ref="BR385:BU385"/>
    <mergeCell ref="BH382:BK382"/>
    <mergeCell ref="BL382:BN382"/>
    <mergeCell ref="BO382:BQ382"/>
    <mergeCell ref="BR382:BU382"/>
    <mergeCell ref="BH383:BK383"/>
    <mergeCell ref="BL383:BN383"/>
    <mergeCell ref="BO383:BQ383"/>
    <mergeCell ref="BR383:BU383"/>
    <mergeCell ref="BH380:BK380"/>
    <mergeCell ref="BL380:BN380"/>
    <mergeCell ref="BO380:BQ380"/>
    <mergeCell ref="BR380:BU380"/>
    <mergeCell ref="BH381:BK381"/>
    <mergeCell ref="BL381:BN381"/>
    <mergeCell ref="BO381:BQ381"/>
    <mergeCell ref="BR381:BU381"/>
    <mergeCell ref="BH378:BK378"/>
    <mergeCell ref="BL378:BN378"/>
    <mergeCell ref="BO378:BQ378"/>
    <mergeCell ref="BR378:BU378"/>
    <mergeCell ref="BH379:BK379"/>
    <mergeCell ref="BL379:BN379"/>
    <mergeCell ref="BO379:BQ379"/>
    <mergeCell ref="BR379:BU379"/>
    <mergeCell ref="BH376:BK376"/>
    <mergeCell ref="BL376:BN376"/>
    <mergeCell ref="BO376:BQ376"/>
    <mergeCell ref="BR376:BU376"/>
    <mergeCell ref="BH377:BK377"/>
    <mergeCell ref="BL377:BN377"/>
    <mergeCell ref="BO377:BQ377"/>
    <mergeCell ref="BR377:BU377"/>
    <mergeCell ref="BH394:BK394"/>
    <mergeCell ref="BL394:BN394"/>
    <mergeCell ref="BO394:BQ394"/>
    <mergeCell ref="BR394:BU394"/>
    <mergeCell ref="BH395:BK395"/>
    <mergeCell ref="BL395:BN395"/>
    <mergeCell ref="BO395:BQ395"/>
    <mergeCell ref="BR395:BU395"/>
    <mergeCell ref="BH392:BK392"/>
    <mergeCell ref="BL392:BN392"/>
    <mergeCell ref="BO392:BQ392"/>
    <mergeCell ref="BR392:BU392"/>
    <mergeCell ref="BH393:BK393"/>
    <mergeCell ref="BL393:BN393"/>
    <mergeCell ref="BO393:BQ393"/>
    <mergeCell ref="BR393:BU393"/>
    <mergeCell ref="BH390:BK390"/>
    <mergeCell ref="BL390:BN390"/>
    <mergeCell ref="BO390:BQ390"/>
    <mergeCell ref="BR390:BU390"/>
    <mergeCell ref="BH391:BK391"/>
    <mergeCell ref="BL391:BN391"/>
    <mergeCell ref="BO391:BQ391"/>
    <mergeCell ref="BR391:BU391"/>
    <mergeCell ref="BH388:BK388"/>
    <mergeCell ref="BL388:BN388"/>
    <mergeCell ref="BO388:BQ388"/>
    <mergeCell ref="BR388:BU388"/>
    <mergeCell ref="BH389:BK389"/>
    <mergeCell ref="BL389:BN389"/>
    <mergeCell ref="BO389:BQ389"/>
    <mergeCell ref="BR389:BU389"/>
    <mergeCell ref="BH386:BK386"/>
    <mergeCell ref="BL386:BN386"/>
    <mergeCell ref="BO386:BQ386"/>
    <mergeCell ref="BR386:BU386"/>
    <mergeCell ref="BH387:BK387"/>
    <mergeCell ref="BL387:BN387"/>
    <mergeCell ref="BO387:BQ387"/>
    <mergeCell ref="BR387:BU387"/>
    <mergeCell ref="BH404:BK404"/>
    <mergeCell ref="BL404:BN404"/>
    <mergeCell ref="BO404:BQ404"/>
    <mergeCell ref="BR404:BU404"/>
    <mergeCell ref="BH405:BK405"/>
    <mergeCell ref="BL405:BN405"/>
    <mergeCell ref="BO405:BQ405"/>
    <mergeCell ref="BR405:BU405"/>
    <mergeCell ref="BH402:BK402"/>
    <mergeCell ref="BL402:BN402"/>
    <mergeCell ref="BO402:BQ402"/>
    <mergeCell ref="BR402:BU402"/>
    <mergeCell ref="BH403:BK403"/>
    <mergeCell ref="BL403:BN403"/>
    <mergeCell ref="BO403:BQ403"/>
    <mergeCell ref="BR403:BU403"/>
    <mergeCell ref="BH400:BK400"/>
    <mergeCell ref="BL400:BN400"/>
    <mergeCell ref="BO400:BQ400"/>
    <mergeCell ref="BR400:BU400"/>
    <mergeCell ref="BH401:BK401"/>
    <mergeCell ref="BL401:BN401"/>
    <mergeCell ref="BO401:BQ401"/>
    <mergeCell ref="BR401:BU401"/>
    <mergeCell ref="BH398:BK398"/>
    <mergeCell ref="BL398:BN398"/>
    <mergeCell ref="BO398:BQ398"/>
    <mergeCell ref="BR398:BU398"/>
    <mergeCell ref="BH399:BK399"/>
    <mergeCell ref="BL399:BN399"/>
    <mergeCell ref="BO399:BQ399"/>
    <mergeCell ref="BR399:BU399"/>
    <mergeCell ref="BH396:BK396"/>
    <mergeCell ref="BL396:BN396"/>
    <mergeCell ref="BO396:BQ396"/>
    <mergeCell ref="BR396:BU396"/>
    <mergeCell ref="BH397:BK397"/>
    <mergeCell ref="BL397:BN397"/>
    <mergeCell ref="BO397:BQ397"/>
    <mergeCell ref="BR397:BU397"/>
    <mergeCell ref="BH414:BK414"/>
    <mergeCell ref="BL414:BN414"/>
    <mergeCell ref="BO414:BQ414"/>
    <mergeCell ref="BR414:BU414"/>
    <mergeCell ref="BH415:BK415"/>
    <mergeCell ref="BL415:BN415"/>
    <mergeCell ref="BO415:BQ415"/>
    <mergeCell ref="BR415:BU415"/>
    <mergeCell ref="BH412:BK412"/>
    <mergeCell ref="BL412:BN412"/>
    <mergeCell ref="BO412:BQ412"/>
    <mergeCell ref="BR412:BU412"/>
    <mergeCell ref="BH413:BK413"/>
    <mergeCell ref="BL413:BN413"/>
    <mergeCell ref="BO413:BQ413"/>
    <mergeCell ref="BR413:BU413"/>
    <mergeCell ref="BH410:BK410"/>
    <mergeCell ref="BL410:BN410"/>
    <mergeCell ref="BO410:BQ410"/>
    <mergeCell ref="BR410:BU410"/>
    <mergeCell ref="BH411:BK411"/>
    <mergeCell ref="BL411:BN411"/>
    <mergeCell ref="BO411:BQ411"/>
    <mergeCell ref="BR411:BU411"/>
    <mergeCell ref="BH408:BK408"/>
    <mergeCell ref="BL408:BN408"/>
    <mergeCell ref="BO408:BQ408"/>
    <mergeCell ref="BR408:BU408"/>
    <mergeCell ref="BH409:BK409"/>
    <mergeCell ref="BL409:BN409"/>
    <mergeCell ref="BO409:BQ409"/>
    <mergeCell ref="BR409:BU409"/>
    <mergeCell ref="BH406:BK406"/>
    <mergeCell ref="BL406:BN406"/>
    <mergeCell ref="BO406:BQ406"/>
    <mergeCell ref="BR406:BU406"/>
    <mergeCell ref="BH407:BK407"/>
    <mergeCell ref="BL407:BN407"/>
    <mergeCell ref="BO407:BQ407"/>
    <mergeCell ref="BR407:BU407"/>
    <mergeCell ref="BH424:BK424"/>
    <mergeCell ref="BL424:BN424"/>
    <mergeCell ref="BO424:BQ424"/>
    <mergeCell ref="BR424:BU424"/>
    <mergeCell ref="BH425:BK425"/>
    <mergeCell ref="BL425:BN425"/>
    <mergeCell ref="BO425:BQ425"/>
    <mergeCell ref="BR425:BU425"/>
    <mergeCell ref="BH422:BK422"/>
    <mergeCell ref="BL422:BN422"/>
    <mergeCell ref="BO422:BQ422"/>
    <mergeCell ref="BR422:BU422"/>
    <mergeCell ref="BH423:BK423"/>
    <mergeCell ref="BL423:BN423"/>
    <mergeCell ref="BO423:BQ423"/>
    <mergeCell ref="BR423:BU423"/>
    <mergeCell ref="BH420:BK420"/>
    <mergeCell ref="BL420:BN420"/>
    <mergeCell ref="BO420:BQ420"/>
    <mergeCell ref="BR420:BU420"/>
    <mergeCell ref="BH421:BK421"/>
    <mergeCell ref="BL421:BN421"/>
    <mergeCell ref="BO421:BQ421"/>
    <mergeCell ref="BR421:BU421"/>
    <mergeCell ref="BH418:BK418"/>
    <mergeCell ref="BL418:BN418"/>
    <mergeCell ref="BO418:BQ418"/>
    <mergeCell ref="BR418:BU418"/>
    <mergeCell ref="BH419:BK419"/>
    <mergeCell ref="BL419:BN419"/>
    <mergeCell ref="BO419:BQ419"/>
    <mergeCell ref="BR419:BU419"/>
    <mergeCell ref="BH416:BK416"/>
    <mergeCell ref="BL416:BN416"/>
    <mergeCell ref="BO416:BQ416"/>
    <mergeCell ref="BR416:BU416"/>
    <mergeCell ref="BH417:BK417"/>
    <mergeCell ref="BL417:BN417"/>
    <mergeCell ref="BO417:BQ417"/>
    <mergeCell ref="BR417:BU417"/>
    <mergeCell ref="BH434:BK434"/>
    <mergeCell ref="BL434:BN434"/>
    <mergeCell ref="BO434:BQ434"/>
    <mergeCell ref="BR434:BU434"/>
    <mergeCell ref="BH435:BK435"/>
    <mergeCell ref="BL435:BN435"/>
    <mergeCell ref="BO435:BQ435"/>
    <mergeCell ref="BR435:BU435"/>
    <mergeCell ref="BH432:BK432"/>
    <mergeCell ref="BL432:BN432"/>
    <mergeCell ref="BO432:BQ432"/>
    <mergeCell ref="BR432:BU432"/>
    <mergeCell ref="BH433:BK433"/>
    <mergeCell ref="BL433:BN433"/>
    <mergeCell ref="BO433:BQ433"/>
    <mergeCell ref="BR433:BU433"/>
    <mergeCell ref="BH430:BK430"/>
    <mergeCell ref="BL430:BN430"/>
    <mergeCell ref="BO430:BQ430"/>
    <mergeCell ref="BR430:BU430"/>
    <mergeCell ref="BH431:BK431"/>
    <mergeCell ref="BL431:BN431"/>
    <mergeCell ref="BO431:BQ431"/>
    <mergeCell ref="BR431:BU431"/>
    <mergeCell ref="BH428:BK428"/>
    <mergeCell ref="BL428:BN428"/>
    <mergeCell ref="BO428:BQ428"/>
    <mergeCell ref="BR428:BU428"/>
    <mergeCell ref="BH429:BK429"/>
    <mergeCell ref="BL429:BN429"/>
    <mergeCell ref="BO429:BQ429"/>
    <mergeCell ref="BR429:BU429"/>
    <mergeCell ref="BH426:BK426"/>
    <mergeCell ref="BL426:BN426"/>
    <mergeCell ref="BO426:BQ426"/>
    <mergeCell ref="BR426:BU426"/>
    <mergeCell ref="BH427:BK427"/>
    <mergeCell ref="BL427:BN427"/>
    <mergeCell ref="BO427:BQ427"/>
    <mergeCell ref="BR427:BU427"/>
    <mergeCell ref="BH444:BK444"/>
    <mergeCell ref="BL444:BN444"/>
    <mergeCell ref="BO444:BQ444"/>
    <mergeCell ref="BR444:BU444"/>
    <mergeCell ref="BH445:BK445"/>
    <mergeCell ref="BL445:BN445"/>
    <mergeCell ref="BO445:BQ445"/>
    <mergeCell ref="BR445:BU445"/>
    <mergeCell ref="BH442:BK442"/>
    <mergeCell ref="BL442:BN442"/>
    <mergeCell ref="BO442:BQ442"/>
    <mergeCell ref="BR442:BU442"/>
    <mergeCell ref="BH443:BK443"/>
    <mergeCell ref="BL443:BN443"/>
    <mergeCell ref="BO443:BQ443"/>
    <mergeCell ref="BR443:BU443"/>
    <mergeCell ref="BH440:BK440"/>
    <mergeCell ref="BL440:BN440"/>
    <mergeCell ref="BO440:BQ440"/>
    <mergeCell ref="BR440:BU440"/>
    <mergeCell ref="BH441:BK441"/>
    <mergeCell ref="BL441:BN441"/>
    <mergeCell ref="BO441:BQ441"/>
    <mergeCell ref="BR441:BU441"/>
    <mergeCell ref="BH438:BK438"/>
    <mergeCell ref="BL438:BN438"/>
    <mergeCell ref="BO438:BQ438"/>
    <mergeCell ref="BR438:BU438"/>
    <mergeCell ref="BH439:BK439"/>
    <mergeCell ref="BL439:BN439"/>
    <mergeCell ref="BO439:BQ439"/>
    <mergeCell ref="BR439:BU439"/>
    <mergeCell ref="BH436:BK436"/>
    <mergeCell ref="BL436:BN436"/>
    <mergeCell ref="BO436:BQ436"/>
    <mergeCell ref="BR436:BU436"/>
    <mergeCell ref="BH437:BK437"/>
    <mergeCell ref="BL437:BN437"/>
    <mergeCell ref="BO437:BQ437"/>
    <mergeCell ref="BR437:BU437"/>
    <mergeCell ref="BH454:BK454"/>
    <mergeCell ref="BL454:BN454"/>
    <mergeCell ref="BO454:BQ454"/>
    <mergeCell ref="BR454:BU454"/>
    <mergeCell ref="BH455:BK455"/>
    <mergeCell ref="BL455:BN455"/>
    <mergeCell ref="BO455:BQ455"/>
    <mergeCell ref="BR455:BU455"/>
    <mergeCell ref="BH452:BK452"/>
    <mergeCell ref="BL452:BN452"/>
    <mergeCell ref="BO452:BQ452"/>
    <mergeCell ref="BR452:BU452"/>
    <mergeCell ref="BH453:BK453"/>
    <mergeCell ref="BL453:BN453"/>
    <mergeCell ref="BO453:BQ453"/>
    <mergeCell ref="BR453:BU453"/>
    <mergeCell ref="BH450:BK450"/>
    <mergeCell ref="BL450:BN450"/>
    <mergeCell ref="BO450:BQ450"/>
    <mergeCell ref="BR450:BU450"/>
    <mergeCell ref="BH451:BK451"/>
    <mergeCell ref="BL451:BN451"/>
    <mergeCell ref="BO451:BQ451"/>
    <mergeCell ref="BR451:BU451"/>
    <mergeCell ref="BH448:BK448"/>
    <mergeCell ref="BL448:BN448"/>
    <mergeCell ref="BO448:BQ448"/>
    <mergeCell ref="BR448:BU448"/>
    <mergeCell ref="BH449:BK449"/>
    <mergeCell ref="BL449:BN449"/>
    <mergeCell ref="BO449:BQ449"/>
    <mergeCell ref="BR449:BU449"/>
    <mergeCell ref="BH446:BK446"/>
    <mergeCell ref="BL446:BN446"/>
    <mergeCell ref="BO446:BQ446"/>
    <mergeCell ref="BR446:BU446"/>
    <mergeCell ref="BH447:BK447"/>
    <mergeCell ref="BL447:BN447"/>
    <mergeCell ref="BO447:BQ447"/>
    <mergeCell ref="BR447:BU447"/>
    <mergeCell ref="BH464:BK464"/>
    <mergeCell ref="BL464:BN464"/>
    <mergeCell ref="BO464:BQ464"/>
    <mergeCell ref="BR464:BU464"/>
    <mergeCell ref="BH465:BK465"/>
    <mergeCell ref="BL465:BN465"/>
    <mergeCell ref="BO465:BQ465"/>
    <mergeCell ref="BR465:BU465"/>
    <mergeCell ref="BH462:BK462"/>
    <mergeCell ref="BL462:BN462"/>
    <mergeCell ref="BO462:BQ462"/>
    <mergeCell ref="BR462:BU462"/>
    <mergeCell ref="BH463:BK463"/>
    <mergeCell ref="BL463:BN463"/>
    <mergeCell ref="BO463:BQ463"/>
    <mergeCell ref="BR463:BU463"/>
    <mergeCell ref="BH460:BK460"/>
    <mergeCell ref="BL460:BN460"/>
    <mergeCell ref="BO460:BQ460"/>
    <mergeCell ref="BR460:BU460"/>
    <mergeCell ref="BH461:BK461"/>
    <mergeCell ref="BL461:BN461"/>
    <mergeCell ref="BO461:BQ461"/>
    <mergeCell ref="BR461:BU461"/>
    <mergeCell ref="BH458:BK458"/>
    <mergeCell ref="BL458:BN458"/>
    <mergeCell ref="BO458:BQ458"/>
    <mergeCell ref="BR458:BU458"/>
    <mergeCell ref="BH459:BK459"/>
    <mergeCell ref="BL459:BN459"/>
    <mergeCell ref="BO459:BQ459"/>
    <mergeCell ref="BR459:BU459"/>
    <mergeCell ref="BH456:BK456"/>
    <mergeCell ref="BL456:BN456"/>
    <mergeCell ref="BO456:BQ456"/>
    <mergeCell ref="BR456:BU456"/>
    <mergeCell ref="BH457:BK457"/>
    <mergeCell ref="BL457:BN457"/>
    <mergeCell ref="BO457:BQ457"/>
    <mergeCell ref="BR457:BU457"/>
    <mergeCell ref="BH474:BK474"/>
    <mergeCell ref="BL474:BN474"/>
    <mergeCell ref="BO474:BQ474"/>
    <mergeCell ref="BR474:BU474"/>
    <mergeCell ref="BH475:BK475"/>
    <mergeCell ref="BL475:BN475"/>
    <mergeCell ref="BO475:BQ475"/>
    <mergeCell ref="BR475:BU475"/>
    <mergeCell ref="BH472:BK472"/>
    <mergeCell ref="BL472:BN472"/>
    <mergeCell ref="BO472:BQ472"/>
    <mergeCell ref="BR472:BU472"/>
    <mergeCell ref="BH473:BK473"/>
    <mergeCell ref="BL473:BN473"/>
    <mergeCell ref="BO473:BQ473"/>
    <mergeCell ref="BR473:BU473"/>
    <mergeCell ref="BH470:BK470"/>
    <mergeCell ref="BL470:BN470"/>
    <mergeCell ref="BO470:BQ470"/>
    <mergeCell ref="BR470:BU470"/>
    <mergeCell ref="BH471:BK471"/>
    <mergeCell ref="BL471:BN471"/>
    <mergeCell ref="BO471:BQ471"/>
    <mergeCell ref="BR471:BU471"/>
    <mergeCell ref="BH468:BK468"/>
    <mergeCell ref="BL468:BN468"/>
    <mergeCell ref="BO468:BQ468"/>
    <mergeCell ref="BR468:BU468"/>
    <mergeCell ref="BH469:BK469"/>
    <mergeCell ref="BL469:BN469"/>
    <mergeCell ref="BO469:BQ469"/>
    <mergeCell ref="BR469:BU469"/>
    <mergeCell ref="BL466:BN466"/>
    <mergeCell ref="BO466:BQ466"/>
    <mergeCell ref="BR466:BU466"/>
    <mergeCell ref="BH467:BK467"/>
    <mergeCell ref="BL467:BN467"/>
    <mergeCell ref="BO467:BQ467"/>
    <mergeCell ref="BR467:BU467"/>
    <mergeCell ref="BH466:BK466"/>
    <mergeCell ref="BH484:BK484"/>
    <mergeCell ref="BL484:BN484"/>
    <mergeCell ref="BO484:BQ484"/>
    <mergeCell ref="BR484:BU484"/>
    <mergeCell ref="BH485:BK485"/>
    <mergeCell ref="BL485:BN485"/>
    <mergeCell ref="BO485:BQ485"/>
    <mergeCell ref="BR485:BU485"/>
    <mergeCell ref="BH482:BK482"/>
    <mergeCell ref="BL482:BN482"/>
    <mergeCell ref="BO482:BQ482"/>
    <mergeCell ref="BR482:BU482"/>
    <mergeCell ref="BH483:BK483"/>
    <mergeCell ref="BL483:BN483"/>
    <mergeCell ref="BO483:BQ483"/>
    <mergeCell ref="BR483:BU483"/>
    <mergeCell ref="BH480:BK480"/>
    <mergeCell ref="BL480:BN480"/>
    <mergeCell ref="BO480:BQ480"/>
    <mergeCell ref="BR480:BU480"/>
    <mergeCell ref="BH481:BK481"/>
    <mergeCell ref="BL481:BN481"/>
    <mergeCell ref="BO481:BQ481"/>
    <mergeCell ref="BR481:BU481"/>
    <mergeCell ref="BH478:BK478"/>
    <mergeCell ref="BL478:BN478"/>
    <mergeCell ref="BO478:BQ478"/>
    <mergeCell ref="BR478:BU478"/>
    <mergeCell ref="BH479:BK479"/>
    <mergeCell ref="BL479:BN479"/>
    <mergeCell ref="BO479:BQ479"/>
    <mergeCell ref="BR479:BU479"/>
    <mergeCell ref="BH476:BK476"/>
    <mergeCell ref="BL476:BN476"/>
    <mergeCell ref="BO476:BQ476"/>
    <mergeCell ref="BR476:BU476"/>
    <mergeCell ref="BH477:BK477"/>
    <mergeCell ref="BL477:BN477"/>
    <mergeCell ref="BO477:BQ477"/>
    <mergeCell ref="BR477:BU477"/>
    <mergeCell ref="BH494:BK494"/>
    <mergeCell ref="BL494:BN494"/>
    <mergeCell ref="BO494:BQ494"/>
    <mergeCell ref="BR494:BU494"/>
    <mergeCell ref="BH495:BK495"/>
    <mergeCell ref="BL495:BN495"/>
    <mergeCell ref="BO495:BQ495"/>
    <mergeCell ref="BR495:BU495"/>
    <mergeCell ref="BH492:BK492"/>
    <mergeCell ref="BL492:BN492"/>
    <mergeCell ref="BO492:BQ492"/>
    <mergeCell ref="BR492:BU492"/>
    <mergeCell ref="BH493:BK493"/>
    <mergeCell ref="BL493:BN493"/>
    <mergeCell ref="BO493:BQ493"/>
    <mergeCell ref="BR493:BU493"/>
    <mergeCell ref="BH490:BK490"/>
    <mergeCell ref="BL490:BN490"/>
    <mergeCell ref="BO490:BQ490"/>
    <mergeCell ref="BR490:BU490"/>
    <mergeCell ref="BH491:BK491"/>
    <mergeCell ref="BL491:BN491"/>
    <mergeCell ref="BO491:BQ491"/>
    <mergeCell ref="BR491:BU491"/>
    <mergeCell ref="BH488:BK488"/>
    <mergeCell ref="BL488:BN488"/>
    <mergeCell ref="BO488:BQ488"/>
    <mergeCell ref="BR488:BU488"/>
    <mergeCell ref="BH489:BK489"/>
    <mergeCell ref="BL489:BN489"/>
    <mergeCell ref="BO489:BQ489"/>
    <mergeCell ref="BR489:BU489"/>
    <mergeCell ref="BH486:BK486"/>
    <mergeCell ref="BL486:BN486"/>
    <mergeCell ref="BO486:BQ486"/>
    <mergeCell ref="BR486:BU486"/>
    <mergeCell ref="BH487:BK487"/>
    <mergeCell ref="BL487:BN487"/>
    <mergeCell ref="BO487:BQ487"/>
    <mergeCell ref="BR487:BU487"/>
    <mergeCell ref="BH504:BK504"/>
    <mergeCell ref="BL504:BN504"/>
    <mergeCell ref="BO504:BQ504"/>
    <mergeCell ref="BR504:BU504"/>
    <mergeCell ref="BH505:BK505"/>
    <mergeCell ref="BL505:BN505"/>
    <mergeCell ref="BO505:BQ505"/>
    <mergeCell ref="BR505:BU505"/>
    <mergeCell ref="BH502:BK502"/>
    <mergeCell ref="BL502:BN502"/>
    <mergeCell ref="BO502:BQ502"/>
    <mergeCell ref="BR502:BU502"/>
    <mergeCell ref="BH503:BK503"/>
    <mergeCell ref="BL503:BN503"/>
    <mergeCell ref="BO503:BQ503"/>
    <mergeCell ref="BR503:BU503"/>
    <mergeCell ref="BH500:BK500"/>
    <mergeCell ref="BL500:BN500"/>
    <mergeCell ref="BO500:BQ500"/>
    <mergeCell ref="BR500:BU500"/>
    <mergeCell ref="BH501:BK501"/>
    <mergeCell ref="BL501:BN501"/>
    <mergeCell ref="BO501:BQ501"/>
    <mergeCell ref="BR501:BU501"/>
    <mergeCell ref="BH498:BK498"/>
    <mergeCell ref="BL498:BN498"/>
    <mergeCell ref="BO498:BQ498"/>
    <mergeCell ref="BR498:BU498"/>
    <mergeCell ref="BH499:BK499"/>
    <mergeCell ref="BL499:BN499"/>
    <mergeCell ref="BO499:BQ499"/>
    <mergeCell ref="BR499:BU499"/>
    <mergeCell ref="BH496:BK496"/>
    <mergeCell ref="BL496:BN496"/>
    <mergeCell ref="BO496:BQ496"/>
    <mergeCell ref="BR496:BU496"/>
    <mergeCell ref="BH497:BK497"/>
    <mergeCell ref="BL497:BN497"/>
    <mergeCell ref="BO497:BQ497"/>
    <mergeCell ref="BR497:BU497"/>
    <mergeCell ref="BH514:BK514"/>
    <mergeCell ref="BL514:BN514"/>
    <mergeCell ref="BO514:BQ514"/>
    <mergeCell ref="BR514:BU514"/>
    <mergeCell ref="BH515:BK515"/>
    <mergeCell ref="BL515:BN515"/>
    <mergeCell ref="BO515:BQ515"/>
    <mergeCell ref="BR515:BU515"/>
    <mergeCell ref="BH512:BK512"/>
    <mergeCell ref="BL512:BN512"/>
    <mergeCell ref="BO512:BQ512"/>
    <mergeCell ref="BR512:BU512"/>
    <mergeCell ref="BH513:BK513"/>
    <mergeCell ref="BL513:BN513"/>
    <mergeCell ref="BO513:BQ513"/>
    <mergeCell ref="BR513:BU513"/>
    <mergeCell ref="BH510:BK510"/>
    <mergeCell ref="BL510:BN510"/>
    <mergeCell ref="BO510:BQ510"/>
    <mergeCell ref="BR510:BU510"/>
    <mergeCell ref="BH511:BK511"/>
    <mergeCell ref="BL511:BN511"/>
    <mergeCell ref="BO511:BQ511"/>
    <mergeCell ref="BR511:BU511"/>
    <mergeCell ref="BH508:BK508"/>
    <mergeCell ref="BL508:BN508"/>
    <mergeCell ref="BO508:BQ508"/>
    <mergeCell ref="BR508:BU508"/>
    <mergeCell ref="BH509:BK509"/>
    <mergeCell ref="BL509:BN509"/>
    <mergeCell ref="BO509:BQ509"/>
    <mergeCell ref="BR509:BU509"/>
    <mergeCell ref="BH506:BK506"/>
    <mergeCell ref="BL506:BN506"/>
    <mergeCell ref="BO506:BQ506"/>
    <mergeCell ref="BR506:BU506"/>
    <mergeCell ref="BH507:BK507"/>
    <mergeCell ref="BL507:BN507"/>
    <mergeCell ref="BO507:BQ507"/>
    <mergeCell ref="BR507:BU507"/>
    <mergeCell ref="BH524:BK524"/>
    <mergeCell ref="BL524:BN524"/>
    <mergeCell ref="BO524:BQ524"/>
    <mergeCell ref="BR524:BU524"/>
    <mergeCell ref="BH525:BK525"/>
    <mergeCell ref="BL525:BN525"/>
    <mergeCell ref="BO525:BQ525"/>
    <mergeCell ref="BR525:BU525"/>
    <mergeCell ref="BH522:BK522"/>
    <mergeCell ref="BL522:BN522"/>
    <mergeCell ref="BO522:BQ522"/>
    <mergeCell ref="BR522:BU522"/>
    <mergeCell ref="BH523:BK523"/>
    <mergeCell ref="BL523:BN523"/>
    <mergeCell ref="BO523:BQ523"/>
    <mergeCell ref="BR523:BU523"/>
    <mergeCell ref="BH520:BK520"/>
    <mergeCell ref="BL520:BN520"/>
    <mergeCell ref="BO520:BQ520"/>
    <mergeCell ref="BR520:BU520"/>
    <mergeCell ref="BH521:BK521"/>
    <mergeCell ref="BL521:BN521"/>
    <mergeCell ref="BO521:BQ521"/>
    <mergeCell ref="BR521:BU521"/>
    <mergeCell ref="BH518:BK518"/>
    <mergeCell ref="BL518:BN518"/>
    <mergeCell ref="BO518:BQ518"/>
    <mergeCell ref="BR518:BU518"/>
    <mergeCell ref="BH519:BK519"/>
    <mergeCell ref="BL519:BN519"/>
    <mergeCell ref="BO519:BQ519"/>
    <mergeCell ref="BR519:BU519"/>
    <mergeCell ref="BH516:BK516"/>
    <mergeCell ref="BL516:BN516"/>
    <mergeCell ref="BO516:BQ516"/>
    <mergeCell ref="BR516:BU516"/>
    <mergeCell ref="BH517:BK517"/>
    <mergeCell ref="BL517:BN517"/>
    <mergeCell ref="BO517:BQ517"/>
    <mergeCell ref="BR517:BU517"/>
    <mergeCell ref="BH534:BK534"/>
    <mergeCell ref="BL534:BN534"/>
    <mergeCell ref="BO534:BQ534"/>
    <mergeCell ref="BR534:BU534"/>
    <mergeCell ref="BH535:BK535"/>
    <mergeCell ref="BL535:BN535"/>
    <mergeCell ref="BO535:BQ535"/>
    <mergeCell ref="BR535:BU535"/>
    <mergeCell ref="BH532:BK532"/>
    <mergeCell ref="BL532:BN532"/>
    <mergeCell ref="BO532:BQ532"/>
    <mergeCell ref="BR532:BU532"/>
    <mergeCell ref="BH533:BK533"/>
    <mergeCell ref="BL533:BN533"/>
    <mergeCell ref="BO533:BQ533"/>
    <mergeCell ref="BR533:BU533"/>
    <mergeCell ref="BH530:BK530"/>
    <mergeCell ref="BL530:BN530"/>
    <mergeCell ref="BO530:BQ530"/>
    <mergeCell ref="BR530:BU530"/>
    <mergeCell ref="BH531:BK531"/>
    <mergeCell ref="BL531:BN531"/>
    <mergeCell ref="BO531:BQ531"/>
    <mergeCell ref="BR531:BU531"/>
    <mergeCell ref="BH528:BK528"/>
    <mergeCell ref="BL528:BN528"/>
    <mergeCell ref="BO528:BQ528"/>
    <mergeCell ref="BR528:BU528"/>
    <mergeCell ref="BH529:BK529"/>
    <mergeCell ref="BL529:BN529"/>
    <mergeCell ref="BO529:BQ529"/>
    <mergeCell ref="BR529:BU529"/>
    <mergeCell ref="BH526:BK526"/>
    <mergeCell ref="BL526:BN526"/>
    <mergeCell ref="BO526:BQ526"/>
    <mergeCell ref="BR526:BU526"/>
    <mergeCell ref="BH527:BK527"/>
    <mergeCell ref="BL527:BN527"/>
    <mergeCell ref="BO527:BQ527"/>
    <mergeCell ref="BR527:BU527"/>
    <mergeCell ref="BH544:BK544"/>
    <mergeCell ref="BL544:BN544"/>
    <mergeCell ref="BO544:BQ544"/>
    <mergeCell ref="BR544:BU544"/>
    <mergeCell ref="BH545:BK545"/>
    <mergeCell ref="BL545:BN545"/>
    <mergeCell ref="BO545:BQ545"/>
    <mergeCell ref="BR545:BU545"/>
    <mergeCell ref="BH542:BK542"/>
    <mergeCell ref="BL542:BN542"/>
    <mergeCell ref="BO542:BQ542"/>
    <mergeCell ref="BR542:BU542"/>
    <mergeCell ref="BH543:BK543"/>
    <mergeCell ref="BL543:BN543"/>
    <mergeCell ref="BO543:BQ543"/>
    <mergeCell ref="BR543:BU543"/>
    <mergeCell ref="BH540:BK540"/>
    <mergeCell ref="BL540:BN540"/>
    <mergeCell ref="BO540:BQ540"/>
    <mergeCell ref="BR540:BU540"/>
    <mergeCell ref="BH541:BK541"/>
    <mergeCell ref="BL541:BN541"/>
    <mergeCell ref="BO541:BQ541"/>
    <mergeCell ref="BR541:BU541"/>
    <mergeCell ref="BH538:BK538"/>
    <mergeCell ref="BL538:BN538"/>
    <mergeCell ref="BO538:BQ538"/>
    <mergeCell ref="BR538:BU538"/>
    <mergeCell ref="BH539:BK539"/>
    <mergeCell ref="BL539:BN539"/>
    <mergeCell ref="BO539:BQ539"/>
    <mergeCell ref="BR539:BU539"/>
    <mergeCell ref="BH536:BK536"/>
    <mergeCell ref="BL536:BN536"/>
    <mergeCell ref="BO536:BQ536"/>
    <mergeCell ref="BR536:BU536"/>
    <mergeCell ref="BH537:BK537"/>
    <mergeCell ref="BL537:BN537"/>
    <mergeCell ref="BO537:BQ537"/>
    <mergeCell ref="BR537:BU537"/>
    <mergeCell ref="BH554:BK554"/>
    <mergeCell ref="BL554:BN554"/>
    <mergeCell ref="BO554:BQ554"/>
    <mergeCell ref="BR554:BU554"/>
    <mergeCell ref="BH555:BK555"/>
    <mergeCell ref="BL555:BN555"/>
    <mergeCell ref="BO555:BQ555"/>
    <mergeCell ref="BR555:BU555"/>
    <mergeCell ref="BH552:BK552"/>
    <mergeCell ref="BL552:BN552"/>
    <mergeCell ref="BO552:BQ552"/>
    <mergeCell ref="BR552:BU552"/>
    <mergeCell ref="BH553:BK553"/>
    <mergeCell ref="BL553:BN553"/>
    <mergeCell ref="BO553:BQ553"/>
    <mergeCell ref="BR553:BU553"/>
    <mergeCell ref="BH550:BK550"/>
    <mergeCell ref="BL550:BN550"/>
    <mergeCell ref="BO550:BQ550"/>
    <mergeCell ref="BR550:BU550"/>
    <mergeCell ref="BH551:BK551"/>
    <mergeCell ref="BL551:BN551"/>
    <mergeCell ref="BO551:BQ551"/>
    <mergeCell ref="BR551:BU551"/>
    <mergeCell ref="BH548:BK548"/>
    <mergeCell ref="BL548:BN548"/>
    <mergeCell ref="BO548:BQ548"/>
    <mergeCell ref="BR548:BU548"/>
    <mergeCell ref="BH549:BK549"/>
    <mergeCell ref="BL549:BN549"/>
    <mergeCell ref="BO549:BQ549"/>
    <mergeCell ref="BR549:BU549"/>
    <mergeCell ref="BH546:BK546"/>
    <mergeCell ref="BL546:BN546"/>
    <mergeCell ref="BO546:BQ546"/>
    <mergeCell ref="BR546:BU546"/>
    <mergeCell ref="BH547:BK547"/>
    <mergeCell ref="BL547:BN547"/>
    <mergeCell ref="BO547:BQ547"/>
    <mergeCell ref="BR547:BU547"/>
    <mergeCell ref="BH564:BK564"/>
    <mergeCell ref="BL564:BN564"/>
    <mergeCell ref="BO564:BQ564"/>
    <mergeCell ref="BR564:BU564"/>
    <mergeCell ref="BH565:BK565"/>
    <mergeCell ref="BL565:BN565"/>
    <mergeCell ref="BO565:BQ565"/>
    <mergeCell ref="BR565:BU565"/>
    <mergeCell ref="BH562:BK562"/>
    <mergeCell ref="BL562:BN562"/>
    <mergeCell ref="BO562:BQ562"/>
    <mergeCell ref="BR562:BU562"/>
    <mergeCell ref="BH563:BK563"/>
    <mergeCell ref="BL563:BN563"/>
    <mergeCell ref="BO563:BQ563"/>
    <mergeCell ref="BR563:BU563"/>
    <mergeCell ref="BH560:BK560"/>
    <mergeCell ref="BL560:BN560"/>
    <mergeCell ref="BO560:BQ560"/>
    <mergeCell ref="BR560:BU560"/>
    <mergeCell ref="BH561:BK561"/>
    <mergeCell ref="BL561:BN561"/>
    <mergeCell ref="BO561:BQ561"/>
    <mergeCell ref="BR561:BU561"/>
    <mergeCell ref="BH558:BK558"/>
    <mergeCell ref="BL558:BN558"/>
    <mergeCell ref="BO558:BQ558"/>
    <mergeCell ref="BR558:BU558"/>
    <mergeCell ref="BH559:BK559"/>
    <mergeCell ref="BL559:BN559"/>
    <mergeCell ref="BO559:BQ559"/>
    <mergeCell ref="BR559:BU559"/>
    <mergeCell ref="BH556:BK556"/>
    <mergeCell ref="BL556:BN556"/>
    <mergeCell ref="BO556:BQ556"/>
    <mergeCell ref="BR556:BU556"/>
    <mergeCell ref="BH557:BK557"/>
    <mergeCell ref="BL557:BN557"/>
    <mergeCell ref="BO557:BQ557"/>
    <mergeCell ref="BR557:BU557"/>
    <mergeCell ref="BH574:BK574"/>
    <mergeCell ref="BL574:BN574"/>
    <mergeCell ref="BO574:BQ574"/>
    <mergeCell ref="BR574:BU574"/>
    <mergeCell ref="BH575:BK575"/>
    <mergeCell ref="BL575:BN575"/>
    <mergeCell ref="BO575:BQ575"/>
    <mergeCell ref="BR575:BU575"/>
    <mergeCell ref="BH572:BK572"/>
    <mergeCell ref="BL572:BN572"/>
    <mergeCell ref="BO572:BQ572"/>
    <mergeCell ref="BR572:BU572"/>
    <mergeCell ref="BH573:BK573"/>
    <mergeCell ref="BL573:BN573"/>
    <mergeCell ref="BO573:BQ573"/>
    <mergeCell ref="BR573:BU573"/>
    <mergeCell ref="BH570:BK570"/>
    <mergeCell ref="BL570:BN570"/>
    <mergeCell ref="BO570:BQ570"/>
    <mergeCell ref="BR570:BU570"/>
    <mergeCell ref="BH571:BK571"/>
    <mergeCell ref="BL571:BN571"/>
    <mergeCell ref="BO571:BQ571"/>
    <mergeCell ref="BR571:BU571"/>
    <mergeCell ref="BH568:BK568"/>
    <mergeCell ref="BL568:BN568"/>
    <mergeCell ref="BO568:BQ568"/>
    <mergeCell ref="BR568:BU568"/>
    <mergeCell ref="BH569:BK569"/>
    <mergeCell ref="BL569:BN569"/>
    <mergeCell ref="BO569:BQ569"/>
    <mergeCell ref="BR569:BU569"/>
    <mergeCell ref="BH566:BK566"/>
    <mergeCell ref="BL566:BN566"/>
    <mergeCell ref="BO566:BQ566"/>
    <mergeCell ref="BR566:BU566"/>
    <mergeCell ref="BH567:BK567"/>
    <mergeCell ref="BL567:BN567"/>
    <mergeCell ref="BO567:BQ567"/>
    <mergeCell ref="BR567:BU567"/>
    <mergeCell ref="BH584:BK584"/>
    <mergeCell ref="BL584:BN584"/>
    <mergeCell ref="BO584:BQ584"/>
    <mergeCell ref="BR584:BU584"/>
    <mergeCell ref="BH585:BK585"/>
    <mergeCell ref="BL585:BN585"/>
    <mergeCell ref="BO585:BQ585"/>
    <mergeCell ref="BR585:BU585"/>
    <mergeCell ref="BH582:BK582"/>
    <mergeCell ref="BL582:BN582"/>
    <mergeCell ref="BO582:BQ582"/>
    <mergeCell ref="BR582:BU582"/>
    <mergeCell ref="BH583:BK583"/>
    <mergeCell ref="BL583:BN583"/>
    <mergeCell ref="BO583:BQ583"/>
    <mergeCell ref="BR583:BU583"/>
    <mergeCell ref="BH580:BK580"/>
    <mergeCell ref="BL580:BN580"/>
    <mergeCell ref="BO580:BQ580"/>
    <mergeCell ref="BR580:BU580"/>
    <mergeCell ref="BH581:BK581"/>
    <mergeCell ref="BL581:BN581"/>
    <mergeCell ref="BO581:BQ581"/>
    <mergeCell ref="BR581:BU581"/>
    <mergeCell ref="BH578:BK578"/>
    <mergeCell ref="BL578:BN578"/>
    <mergeCell ref="BO578:BQ578"/>
    <mergeCell ref="BR578:BU578"/>
    <mergeCell ref="BH579:BK579"/>
    <mergeCell ref="BL579:BN579"/>
    <mergeCell ref="BO579:BQ579"/>
    <mergeCell ref="BR579:BU579"/>
    <mergeCell ref="BH576:BK576"/>
    <mergeCell ref="BL576:BN576"/>
    <mergeCell ref="BO576:BQ576"/>
    <mergeCell ref="BR576:BU576"/>
    <mergeCell ref="BH577:BK577"/>
    <mergeCell ref="BL577:BN577"/>
    <mergeCell ref="BO577:BQ577"/>
    <mergeCell ref="BR577:BU577"/>
    <mergeCell ref="BH594:BK594"/>
    <mergeCell ref="BL594:BN594"/>
    <mergeCell ref="BO594:BQ594"/>
    <mergeCell ref="BR594:BU594"/>
    <mergeCell ref="BH595:BK595"/>
    <mergeCell ref="BL595:BN595"/>
    <mergeCell ref="BO595:BQ595"/>
    <mergeCell ref="BR595:BU595"/>
    <mergeCell ref="BH592:BK592"/>
    <mergeCell ref="BL592:BN592"/>
    <mergeCell ref="BO592:BQ592"/>
    <mergeCell ref="BR592:BU592"/>
    <mergeCell ref="BH593:BK593"/>
    <mergeCell ref="BL593:BN593"/>
    <mergeCell ref="BO593:BQ593"/>
    <mergeCell ref="BR593:BU593"/>
    <mergeCell ref="BH590:BK590"/>
    <mergeCell ref="BL590:BN590"/>
    <mergeCell ref="BO590:BQ590"/>
    <mergeCell ref="BR590:BU590"/>
    <mergeCell ref="BH591:BK591"/>
    <mergeCell ref="BL591:BN591"/>
    <mergeCell ref="BO591:BQ591"/>
    <mergeCell ref="BR591:BU591"/>
    <mergeCell ref="BH588:BK588"/>
    <mergeCell ref="BL588:BN588"/>
    <mergeCell ref="BO588:BQ588"/>
    <mergeCell ref="BR588:BU588"/>
    <mergeCell ref="BH589:BK589"/>
    <mergeCell ref="BL589:BN589"/>
    <mergeCell ref="BO589:BQ589"/>
    <mergeCell ref="BR589:BU589"/>
    <mergeCell ref="BH586:BK586"/>
    <mergeCell ref="BL586:BN586"/>
    <mergeCell ref="BO586:BQ586"/>
    <mergeCell ref="BR586:BU586"/>
    <mergeCell ref="BH587:BK587"/>
    <mergeCell ref="BL587:BN587"/>
    <mergeCell ref="BO587:BQ587"/>
    <mergeCell ref="BR587:BU587"/>
    <mergeCell ref="BH604:BK604"/>
    <mergeCell ref="BL604:BN604"/>
    <mergeCell ref="BO604:BQ604"/>
    <mergeCell ref="BR604:BU604"/>
    <mergeCell ref="BH605:BK605"/>
    <mergeCell ref="BL605:BN605"/>
    <mergeCell ref="BO605:BQ605"/>
    <mergeCell ref="BR605:BU605"/>
    <mergeCell ref="BH602:BK602"/>
    <mergeCell ref="BL602:BN602"/>
    <mergeCell ref="BO602:BQ602"/>
    <mergeCell ref="BR602:BU602"/>
    <mergeCell ref="BH603:BK603"/>
    <mergeCell ref="BL603:BN603"/>
    <mergeCell ref="BO603:BQ603"/>
    <mergeCell ref="BR603:BU603"/>
    <mergeCell ref="BH600:BK600"/>
    <mergeCell ref="BL600:BN600"/>
    <mergeCell ref="BO600:BQ600"/>
    <mergeCell ref="BR600:BU600"/>
    <mergeCell ref="BH601:BK601"/>
    <mergeCell ref="BL601:BN601"/>
    <mergeCell ref="BO601:BQ601"/>
    <mergeCell ref="BR601:BU601"/>
    <mergeCell ref="BH598:BK598"/>
    <mergeCell ref="BL598:BN598"/>
    <mergeCell ref="BO598:BQ598"/>
    <mergeCell ref="BR598:BU598"/>
    <mergeCell ref="BH599:BK599"/>
    <mergeCell ref="BL599:BN599"/>
    <mergeCell ref="BO599:BQ599"/>
    <mergeCell ref="BR599:BU599"/>
    <mergeCell ref="BH596:BK596"/>
    <mergeCell ref="BL596:BN596"/>
    <mergeCell ref="BO596:BQ596"/>
    <mergeCell ref="BR596:BU596"/>
    <mergeCell ref="BH597:BK597"/>
    <mergeCell ref="BL597:BN597"/>
    <mergeCell ref="BO597:BQ597"/>
    <mergeCell ref="BR597:BU597"/>
    <mergeCell ref="BH614:BK614"/>
    <mergeCell ref="BL614:BN614"/>
    <mergeCell ref="BO614:BQ614"/>
    <mergeCell ref="BR614:BU614"/>
    <mergeCell ref="BH615:BK615"/>
    <mergeCell ref="BL615:BN615"/>
    <mergeCell ref="BO615:BQ615"/>
    <mergeCell ref="BR615:BU615"/>
    <mergeCell ref="BH612:BK612"/>
    <mergeCell ref="BL612:BN612"/>
    <mergeCell ref="BO612:BQ612"/>
    <mergeCell ref="BR612:BU612"/>
    <mergeCell ref="BH613:BK613"/>
    <mergeCell ref="BL613:BN613"/>
    <mergeCell ref="BO613:BQ613"/>
    <mergeCell ref="BR613:BU613"/>
    <mergeCell ref="BH610:BK610"/>
    <mergeCell ref="BL610:BN610"/>
    <mergeCell ref="BO610:BQ610"/>
    <mergeCell ref="BR610:BU610"/>
    <mergeCell ref="BH611:BK611"/>
    <mergeCell ref="BL611:BN611"/>
    <mergeCell ref="BO611:BQ611"/>
    <mergeCell ref="BR611:BU611"/>
    <mergeCell ref="BH608:BK608"/>
    <mergeCell ref="BL608:BN608"/>
    <mergeCell ref="BO608:BQ608"/>
    <mergeCell ref="BR608:BU608"/>
    <mergeCell ref="BH609:BK609"/>
    <mergeCell ref="BL609:BN609"/>
    <mergeCell ref="BO609:BQ609"/>
    <mergeCell ref="BR609:BU609"/>
    <mergeCell ref="BH606:BK606"/>
    <mergeCell ref="BL606:BN606"/>
    <mergeCell ref="BO606:BQ606"/>
    <mergeCell ref="BR606:BU606"/>
    <mergeCell ref="BH607:BK607"/>
    <mergeCell ref="BL607:BN607"/>
    <mergeCell ref="BO607:BQ607"/>
    <mergeCell ref="BR607:BU607"/>
    <mergeCell ref="BH625:BK625"/>
    <mergeCell ref="BL625:BN625"/>
    <mergeCell ref="BO625:BQ625"/>
    <mergeCell ref="BR625:BU625"/>
    <mergeCell ref="BH622:BK622"/>
    <mergeCell ref="BL622:BN622"/>
    <mergeCell ref="BO622:BQ622"/>
    <mergeCell ref="BR622:BU622"/>
    <mergeCell ref="BH623:BK623"/>
    <mergeCell ref="BL623:BN623"/>
    <mergeCell ref="BO623:BQ623"/>
    <mergeCell ref="BR623:BU623"/>
    <mergeCell ref="BH620:BK620"/>
    <mergeCell ref="BL620:BN620"/>
    <mergeCell ref="BO620:BQ620"/>
    <mergeCell ref="BR620:BU620"/>
    <mergeCell ref="BH621:BK621"/>
    <mergeCell ref="BL621:BN621"/>
    <mergeCell ref="BO621:BQ621"/>
    <mergeCell ref="BR621:BU621"/>
    <mergeCell ref="BH618:BK618"/>
    <mergeCell ref="BL618:BN618"/>
    <mergeCell ref="BO618:BQ618"/>
    <mergeCell ref="BR618:BU618"/>
    <mergeCell ref="BH619:BK619"/>
    <mergeCell ref="BL619:BN619"/>
    <mergeCell ref="BO619:BQ619"/>
    <mergeCell ref="BR619:BU619"/>
    <mergeCell ref="BH616:BK616"/>
    <mergeCell ref="BL616:BN616"/>
    <mergeCell ref="BO616:BQ616"/>
    <mergeCell ref="BR616:BU616"/>
    <mergeCell ref="BH617:BK617"/>
    <mergeCell ref="BL617:BN617"/>
    <mergeCell ref="BO617:BQ617"/>
    <mergeCell ref="BR617:BU617"/>
    <mergeCell ref="BH638:BK638"/>
    <mergeCell ref="BL638:BN638"/>
    <mergeCell ref="BO638:BQ638"/>
    <mergeCell ref="BR638:BU638"/>
    <mergeCell ref="EF364:EJ364"/>
    <mergeCell ref="EF365:EJ365"/>
    <mergeCell ref="EF366:EJ366"/>
    <mergeCell ref="EF367:EJ367"/>
    <mergeCell ref="BH639:BK639"/>
    <mergeCell ref="BL639:BN639"/>
    <mergeCell ref="BO639:BQ639"/>
    <mergeCell ref="BR639:BU639"/>
    <mergeCell ref="BH636:BK636"/>
    <mergeCell ref="BL636:BN636"/>
    <mergeCell ref="BO636:BQ636"/>
    <mergeCell ref="BR636:BU636"/>
    <mergeCell ref="BH637:BK637"/>
    <mergeCell ref="BL637:BN637"/>
    <mergeCell ref="BO637:BQ637"/>
    <mergeCell ref="BR637:BU637"/>
    <mergeCell ref="BH634:BK634"/>
    <mergeCell ref="BL634:BN634"/>
    <mergeCell ref="BO634:BQ634"/>
    <mergeCell ref="BR634:BU634"/>
    <mergeCell ref="BH635:BK635"/>
    <mergeCell ref="BL635:BN635"/>
    <mergeCell ref="BO635:BQ635"/>
    <mergeCell ref="BR635:BU635"/>
    <mergeCell ref="BH632:BK632"/>
    <mergeCell ref="BL632:BN632"/>
    <mergeCell ref="BO632:BQ632"/>
    <mergeCell ref="BR632:BU632"/>
    <mergeCell ref="BH633:BK633"/>
    <mergeCell ref="BL633:BN633"/>
    <mergeCell ref="BO633:BQ633"/>
    <mergeCell ref="BR633:BU633"/>
    <mergeCell ref="BH630:BK630"/>
    <mergeCell ref="BL630:BN630"/>
    <mergeCell ref="BO630:BQ630"/>
    <mergeCell ref="BR630:BU630"/>
    <mergeCell ref="BH631:BK631"/>
    <mergeCell ref="BL631:BN631"/>
    <mergeCell ref="BO631:BQ631"/>
    <mergeCell ref="BR631:BU631"/>
    <mergeCell ref="BH628:BK628"/>
    <mergeCell ref="BL628:BN628"/>
    <mergeCell ref="BO628:BQ628"/>
    <mergeCell ref="BR628:BU628"/>
    <mergeCell ref="BH629:BK629"/>
    <mergeCell ref="BL629:BN629"/>
    <mergeCell ref="BO629:BQ629"/>
    <mergeCell ref="BR629:BU629"/>
    <mergeCell ref="BH626:BK626"/>
    <mergeCell ref="BL626:BN626"/>
    <mergeCell ref="BO626:BQ626"/>
    <mergeCell ref="BR626:BU626"/>
    <mergeCell ref="BH627:BK627"/>
    <mergeCell ref="BL627:BN627"/>
    <mergeCell ref="BO627:BQ627"/>
    <mergeCell ref="BR627:BU627"/>
    <mergeCell ref="BH624:BK624"/>
    <mergeCell ref="BL624:BN624"/>
    <mergeCell ref="BO624:BQ624"/>
    <mergeCell ref="BR624:BU624"/>
    <mergeCell ref="BR649:BU649"/>
    <mergeCell ref="BH648:BK648"/>
    <mergeCell ref="BL648:BN648"/>
    <mergeCell ref="BO648:BQ648"/>
    <mergeCell ref="BR648:BU648"/>
    <mergeCell ref="BH649:BK649"/>
    <mergeCell ref="BL649:BN649"/>
    <mergeCell ref="BO649:BQ649"/>
    <mergeCell ref="BR647:BU647"/>
    <mergeCell ref="BH646:BK646"/>
    <mergeCell ref="BL646:BN646"/>
    <mergeCell ref="BO646:BQ646"/>
    <mergeCell ref="BR646:BU646"/>
    <mergeCell ref="BH647:BK647"/>
    <mergeCell ref="BL647:BN647"/>
    <mergeCell ref="BO647:BQ647"/>
    <mergeCell ref="BL645:BN645"/>
    <mergeCell ref="BO645:BQ645"/>
    <mergeCell ref="BR645:BU645"/>
    <mergeCell ref="BH644:BK644"/>
    <mergeCell ref="BL644:BN644"/>
    <mergeCell ref="BO644:BQ644"/>
    <mergeCell ref="BR644:BU644"/>
    <mergeCell ref="BH645:BK645"/>
    <mergeCell ref="BH642:BK642"/>
    <mergeCell ref="BL642:BN642"/>
    <mergeCell ref="BO642:BQ642"/>
    <mergeCell ref="BR642:BU642"/>
    <mergeCell ref="BH643:BK643"/>
    <mergeCell ref="BL643:BN643"/>
    <mergeCell ref="BO643:BQ643"/>
    <mergeCell ref="BR643:BU643"/>
    <mergeCell ref="BH640:BK640"/>
    <mergeCell ref="BL640:BN640"/>
    <mergeCell ref="BO640:BQ640"/>
    <mergeCell ref="BR640:BU640"/>
    <mergeCell ref="BH641:BK641"/>
    <mergeCell ref="BL641:BN641"/>
    <mergeCell ref="BO641:BQ641"/>
    <mergeCell ref="BR641:BU641"/>
    <mergeCell ref="EF359:EJ359"/>
    <mergeCell ref="EF360:EJ360"/>
    <mergeCell ref="EF348:EJ348"/>
    <mergeCell ref="EF349:EJ349"/>
    <mergeCell ref="EF350:EJ350"/>
    <mergeCell ref="EL341:EP341"/>
    <mergeCell ref="EL342:EP342"/>
    <mergeCell ref="EL344:EP344"/>
    <mergeCell ref="EL345:EP345"/>
    <mergeCell ref="EF345:EJ345"/>
    <mergeCell ref="EF404:EJ404"/>
    <mergeCell ref="EF405:EJ405"/>
    <mergeCell ref="EF406:EJ406"/>
    <mergeCell ref="EL380:EP380"/>
    <mergeCell ref="EL381:EP381"/>
    <mergeCell ref="EL374:EP374"/>
    <mergeCell ref="EL375:EP375"/>
    <mergeCell ref="EL376:EP376"/>
    <mergeCell ref="EL377:EP377"/>
    <mergeCell ref="EL382:EP382"/>
    <mergeCell ref="EL383:EP383"/>
    <mergeCell ref="EL372:EP372"/>
    <mergeCell ref="EL373:EP373"/>
    <mergeCell ref="EF358:EJ358"/>
    <mergeCell ref="EF351:EJ351"/>
    <mergeCell ref="EF352:EJ352"/>
    <mergeCell ref="EF353:EJ353"/>
    <mergeCell ref="EF354:EJ354"/>
    <mergeCell ref="EL343:EP343"/>
    <mergeCell ref="EF355:EJ355"/>
    <mergeCell ref="EF356:EJ356"/>
    <mergeCell ref="EF357:EJ357"/>
    <mergeCell ref="EF347:EJ347"/>
    <mergeCell ref="EL346:EP346"/>
    <mergeCell ref="EL347:EP347"/>
    <mergeCell ref="EL352:EP352"/>
    <mergeCell ref="EL353:EP353"/>
    <mergeCell ref="EL354:EP354"/>
    <mergeCell ref="EF346:EJ346"/>
    <mergeCell ref="EF388:EJ388"/>
    <mergeCell ref="EF389:EJ389"/>
    <mergeCell ref="EF390:EJ390"/>
    <mergeCell ref="EF391:EJ391"/>
    <mergeCell ref="EF392:EJ392"/>
    <mergeCell ref="EF393:EJ393"/>
    <mergeCell ref="EF394:EJ394"/>
    <mergeCell ref="EF395:EJ395"/>
    <mergeCell ref="EF380:EJ380"/>
    <mergeCell ref="EF381:EJ381"/>
    <mergeCell ref="EF382:EJ382"/>
    <mergeCell ref="EF383:EJ383"/>
    <mergeCell ref="EF384:EJ384"/>
    <mergeCell ref="EF385:EJ385"/>
    <mergeCell ref="EF386:EJ386"/>
    <mergeCell ref="EF387:EJ387"/>
    <mergeCell ref="EF372:EJ372"/>
    <mergeCell ref="EF373:EJ373"/>
    <mergeCell ref="EF374:EJ374"/>
    <mergeCell ref="EF375:EJ375"/>
    <mergeCell ref="EF376:EJ376"/>
    <mergeCell ref="EF377:EJ377"/>
    <mergeCell ref="EF378:EJ378"/>
    <mergeCell ref="EF379:EJ379"/>
    <mergeCell ref="EF368:EJ368"/>
    <mergeCell ref="EF369:EJ369"/>
    <mergeCell ref="EF370:EJ370"/>
    <mergeCell ref="EF371:EJ371"/>
    <mergeCell ref="EL356:EP356"/>
    <mergeCell ref="EL357:EP357"/>
    <mergeCell ref="EL358:EP358"/>
    <mergeCell ref="EL359:EP359"/>
    <mergeCell ref="EL360:EP360"/>
    <mergeCell ref="EL361:EP361"/>
    <mergeCell ref="EF362:EJ362"/>
    <mergeCell ref="EF363:EJ363"/>
    <mergeCell ref="EF361:EJ361"/>
    <mergeCell ref="EL362:EP362"/>
    <mergeCell ref="EL363:EP363"/>
    <mergeCell ref="EF428:EJ428"/>
    <mergeCell ref="EF429:EJ429"/>
    <mergeCell ref="EF430:EJ430"/>
    <mergeCell ref="EF431:EJ431"/>
    <mergeCell ref="EF432:EJ432"/>
    <mergeCell ref="EF433:EJ433"/>
    <mergeCell ref="EF434:EJ434"/>
    <mergeCell ref="EF435:EJ435"/>
    <mergeCell ref="EF420:EJ420"/>
    <mergeCell ref="EF421:EJ421"/>
    <mergeCell ref="EF422:EJ422"/>
    <mergeCell ref="EF423:EJ423"/>
    <mergeCell ref="EF424:EJ424"/>
    <mergeCell ref="EF425:EJ425"/>
    <mergeCell ref="EF426:EJ426"/>
    <mergeCell ref="EF427:EJ427"/>
    <mergeCell ref="EF412:EJ412"/>
    <mergeCell ref="EF413:EJ413"/>
    <mergeCell ref="EF414:EJ414"/>
    <mergeCell ref="EF415:EJ415"/>
    <mergeCell ref="EF416:EJ416"/>
    <mergeCell ref="EF417:EJ417"/>
    <mergeCell ref="EF418:EJ418"/>
    <mergeCell ref="EF419:EJ419"/>
    <mergeCell ref="EF407:EJ407"/>
    <mergeCell ref="EF408:EJ408"/>
    <mergeCell ref="EF409:EJ409"/>
    <mergeCell ref="EF410:EJ410"/>
    <mergeCell ref="EF411:EJ411"/>
    <mergeCell ref="EF396:EJ396"/>
    <mergeCell ref="EF397:EJ397"/>
    <mergeCell ref="EF398:EJ398"/>
    <mergeCell ref="EF399:EJ399"/>
    <mergeCell ref="EF400:EJ400"/>
    <mergeCell ref="EF401:EJ401"/>
    <mergeCell ref="EF402:EJ402"/>
    <mergeCell ref="EF403:EJ403"/>
    <mergeCell ref="EL412:EP412"/>
    <mergeCell ref="EL413:EP413"/>
    <mergeCell ref="EL414:EP414"/>
    <mergeCell ref="EL415:EP415"/>
    <mergeCell ref="EL400:EP400"/>
    <mergeCell ref="EL401:EP401"/>
    <mergeCell ref="EL402:EP402"/>
    <mergeCell ref="EL403:EP403"/>
    <mergeCell ref="EL378:EP378"/>
    <mergeCell ref="EL379:EP379"/>
    <mergeCell ref="EL370:EP370"/>
    <mergeCell ref="EL368:EP368"/>
    <mergeCell ref="EL369:EP369"/>
    <mergeCell ref="EF468:EJ468"/>
    <mergeCell ref="EF469:EJ469"/>
    <mergeCell ref="EF470:EJ470"/>
    <mergeCell ref="EF471:EJ471"/>
    <mergeCell ref="EF472:EJ472"/>
    <mergeCell ref="EF473:EJ473"/>
    <mergeCell ref="EF474:EJ474"/>
    <mergeCell ref="EF475:EJ475"/>
    <mergeCell ref="EF460:EJ460"/>
    <mergeCell ref="EF461:EJ461"/>
    <mergeCell ref="EF462:EJ462"/>
    <mergeCell ref="EF463:EJ463"/>
    <mergeCell ref="EF464:EJ464"/>
    <mergeCell ref="EF465:EJ465"/>
    <mergeCell ref="EF466:EJ466"/>
    <mergeCell ref="EF467:EJ467"/>
    <mergeCell ref="EF452:EJ452"/>
    <mergeCell ref="EF453:EJ453"/>
    <mergeCell ref="EF454:EJ454"/>
    <mergeCell ref="EF455:EJ455"/>
    <mergeCell ref="EF456:EJ456"/>
    <mergeCell ref="EF457:EJ457"/>
    <mergeCell ref="EF458:EJ458"/>
    <mergeCell ref="EF459:EJ459"/>
    <mergeCell ref="EF444:EJ444"/>
    <mergeCell ref="EF445:EJ445"/>
    <mergeCell ref="EF446:EJ446"/>
    <mergeCell ref="EF447:EJ447"/>
    <mergeCell ref="EF448:EJ448"/>
    <mergeCell ref="EF449:EJ449"/>
    <mergeCell ref="EF450:EJ450"/>
    <mergeCell ref="EF451:EJ451"/>
    <mergeCell ref="EF436:EJ436"/>
    <mergeCell ref="EF437:EJ437"/>
    <mergeCell ref="EF438:EJ438"/>
    <mergeCell ref="EF439:EJ439"/>
    <mergeCell ref="EF440:EJ440"/>
    <mergeCell ref="EF441:EJ441"/>
    <mergeCell ref="EF442:EJ442"/>
    <mergeCell ref="EF443:EJ443"/>
    <mergeCell ref="EF508:EJ508"/>
    <mergeCell ref="EF509:EJ509"/>
    <mergeCell ref="EF510:EJ510"/>
    <mergeCell ref="EF511:EJ511"/>
    <mergeCell ref="EF512:EJ512"/>
    <mergeCell ref="EF513:EJ513"/>
    <mergeCell ref="EF514:EJ514"/>
    <mergeCell ref="EF515:EJ515"/>
    <mergeCell ref="EF500:EJ500"/>
    <mergeCell ref="EF501:EJ501"/>
    <mergeCell ref="EF502:EJ502"/>
    <mergeCell ref="EF503:EJ503"/>
    <mergeCell ref="EF504:EJ504"/>
    <mergeCell ref="EF505:EJ505"/>
    <mergeCell ref="EF506:EJ506"/>
    <mergeCell ref="EF507:EJ507"/>
    <mergeCell ref="EF492:EJ492"/>
    <mergeCell ref="EF493:EJ493"/>
    <mergeCell ref="EF494:EJ494"/>
    <mergeCell ref="EF495:EJ495"/>
    <mergeCell ref="EF496:EJ496"/>
    <mergeCell ref="EF497:EJ497"/>
    <mergeCell ref="EF498:EJ498"/>
    <mergeCell ref="EF499:EJ499"/>
    <mergeCell ref="EF484:EJ484"/>
    <mergeCell ref="EF485:EJ485"/>
    <mergeCell ref="EF486:EJ486"/>
    <mergeCell ref="EF487:EJ487"/>
    <mergeCell ref="EF488:EJ488"/>
    <mergeCell ref="EF489:EJ489"/>
    <mergeCell ref="EF490:EJ490"/>
    <mergeCell ref="EF491:EJ491"/>
    <mergeCell ref="EF476:EJ476"/>
    <mergeCell ref="EF477:EJ477"/>
    <mergeCell ref="EF478:EJ478"/>
    <mergeCell ref="EF479:EJ479"/>
    <mergeCell ref="EF480:EJ480"/>
    <mergeCell ref="EF481:EJ481"/>
    <mergeCell ref="EF482:EJ482"/>
    <mergeCell ref="EF483:EJ483"/>
    <mergeCell ref="EF554:EJ554"/>
    <mergeCell ref="EF555:EJ555"/>
    <mergeCell ref="EF540:EJ540"/>
    <mergeCell ref="EF541:EJ541"/>
    <mergeCell ref="EF542:EJ542"/>
    <mergeCell ref="EF543:EJ543"/>
    <mergeCell ref="EF544:EJ544"/>
    <mergeCell ref="EF545:EJ545"/>
    <mergeCell ref="EF546:EJ546"/>
    <mergeCell ref="EF547:EJ547"/>
    <mergeCell ref="EF532:EJ532"/>
    <mergeCell ref="EF533:EJ533"/>
    <mergeCell ref="EF534:EJ534"/>
    <mergeCell ref="EF535:EJ535"/>
    <mergeCell ref="EF536:EJ536"/>
    <mergeCell ref="EF537:EJ537"/>
    <mergeCell ref="EF538:EJ538"/>
    <mergeCell ref="EF539:EJ539"/>
    <mergeCell ref="EF524:EJ524"/>
    <mergeCell ref="EF525:EJ525"/>
    <mergeCell ref="EF526:EJ526"/>
    <mergeCell ref="EF527:EJ527"/>
    <mergeCell ref="EF528:EJ528"/>
    <mergeCell ref="EF529:EJ529"/>
    <mergeCell ref="EF530:EJ530"/>
    <mergeCell ref="EF531:EJ531"/>
    <mergeCell ref="EF516:EJ516"/>
    <mergeCell ref="EF517:EJ517"/>
    <mergeCell ref="EF518:EJ518"/>
    <mergeCell ref="EF519:EJ519"/>
    <mergeCell ref="EF520:EJ520"/>
    <mergeCell ref="EF521:EJ521"/>
    <mergeCell ref="EF522:EJ522"/>
    <mergeCell ref="EF523:EJ523"/>
    <mergeCell ref="EF610:EJ610"/>
    <mergeCell ref="EF611:EJ611"/>
    <mergeCell ref="EF596:EJ596"/>
    <mergeCell ref="EF597:EJ597"/>
    <mergeCell ref="EF598:EJ598"/>
    <mergeCell ref="EF599:EJ599"/>
    <mergeCell ref="EF600:EJ600"/>
    <mergeCell ref="EF601:EJ601"/>
    <mergeCell ref="EF602:EJ602"/>
    <mergeCell ref="EF603:EJ603"/>
    <mergeCell ref="EF588:EJ588"/>
    <mergeCell ref="EF589:EJ589"/>
    <mergeCell ref="EF590:EJ590"/>
    <mergeCell ref="EF591:EJ591"/>
    <mergeCell ref="EF592:EJ592"/>
    <mergeCell ref="EF593:EJ593"/>
    <mergeCell ref="EF594:EJ594"/>
    <mergeCell ref="EF595:EJ595"/>
    <mergeCell ref="EF580:EJ580"/>
    <mergeCell ref="EF581:EJ581"/>
    <mergeCell ref="EF582:EJ582"/>
    <mergeCell ref="EF583:EJ583"/>
    <mergeCell ref="EF584:EJ584"/>
    <mergeCell ref="EF585:EJ585"/>
    <mergeCell ref="EF586:EJ586"/>
    <mergeCell ref="EF587:EJ587"/>
    <mergeCell ref="EF572:EJ572"/>
    <mergeCell ref="EF573:EJ573"/>
    <mergeCell ref="EF574:EJ574"/>
    <mergeCell ref="EF575:EJ575"/>
    <mergeCell ref="EF576:EJ576"/>
    <mergeCell ref="EF577:EJ577"/>
    <mergeCell ref="EF578:EJ578"/>
    <mergeCell ref="EF579:EJ579"/>
    <mergeCell ref="EF564:EJ564"/>
    <mergeCell ref="EF565:EJ565"/>
    <mergeCell ref="EF566:EJ566"/>
    <mergeCell ref="EF567:EJ567"/>
    <mergeCell ref="EF568:EJ568"/>
    <mergeCell ref="EF569:EJ569"/>
    <mergeCell ref="EF570:EJ570"/>
    <mergeCell ref="EF571:EJ571"/>
    <mergeCell ref="EF556:EJ556"/>
    <mergeCell ref="EF557:EJ557"/>
    <mergeCell ref="EF558:EJ558"/>
    <mergeCell ref="EF559:EJ559"/>
    <mergeCell ref="EF560:EJ560"/>
    <mergeCell ref="EF561:EJ561"/>
    <mergeCell ref="EF562:EJ562"/>
    <mergeCell ref="EF563:EJ563"/>
    <mergeCell ref="EF548:EJ548"/>
    <mergeCell ref="EF549:EJ549"/>
    <mergeCell ref="EF550:EJ550"/>
    <mergeCell ref="EF551:EJ551"/>
    <mergeCell ref="EF552:EJ552"/>
    <mergeCell ref="EF553:EJ553"/>
    <mergeCell ref="EL416:EP416"/>
    <mergeCell ref="EL417:EP417"/>
    <mergeCell ref="EL418:EP418"/>
    <mergeCell ref="EL419:EP419"/>
    <mergeCell ref="EL436:EP436"/>
    <mergeCell ref="EL437:EP437"/>
    <mergeCell ref="EL422:EP422"/>
    <mergeCell ref="EL423:EP423"/>
    <mergeCell ref="EF648:EJ648"/>
    <mergeCell ref="EF649:EJ649"/>
    <mergeCell ref="EF636:EJ636"/>
    <mergeCell ref="EF637:EJ637"/>
    <mergeCell ref="EF638:EJ638"/>
    <mergeCell ref="EF639:EJ639"/>
    <mergeCell ref="EL522:EP522"/>
    <mergeCell ref="EL523:EP523"/>
    <mergeCell ref="EL524:EP524"/>
    <mergeCell ref="EL525:EP525"/>
    <mergeCell ref="EL526:EP526"/>
    <mergeCell ref="EL527:EP527"/>
    <mergeCell ref="EL512:EP512"/>
    <mergeCell ref="EL513:EP513"/>
    <mergeCell ref="EL514:EP514"/>
    <mergeCell ref="EL515:EP515"/>
    <mergeCell ref="EL532:EP532"/>
    <mergeCell ref="EL533:EP533"/>
    <mergeCell ref="EL518:EP518"/>
    <mergeCell ref="EL519:EP519"/>
    <mergeCell ref="EL520:EP520"/>
    <mergeCell ref="EL521:EP521"/>
    <mergeCell ref="EL506:EP506"/>
    <mergeCell ref="EL507:EP507"/>
    <mergeCell ref="EL508:EP508"/>
    <mergeCell ref="EL509:EP509"/>
    <mergeCell ref="EL510:EP510"/>
    <mergeCell ref="EL511:EP511"/>
    <mergeCell ref="EL496:EP496"/>
    <mergeCell ref="EL497:EP497"/>
    <mergeCell ref="EL498:EP498"/>
    <mergeCell ref="EL499:EP499"/>
    <mergeCell ref="EL516:EP516"/>
    <mergeCell ref="EL517:EP517"/>
    <mergeCell ref="EL371:EP371"/>
    <mergeCell ref="EL364:EP364"/>
    <mergeCell ref="EL365:EP365"/>
    <mergeCell ref="EL366:EP366"/>
    <mergeCell ref="EL367:EP367"/>
    <mergeCell ref="EF640:EJ640"/>
    <mergeCell ref="EF641:EJ641"/>
    <mergeCell ref="EF642:EJ642"/>
    <mergeCell ref="EF643:EJ643"/>
    <mergeCell ref="EF644:EJ644"/>
    <mergeCell ref="EF645:EJ645"/>
    <mergeCell ref="EF646:EJ646"/>
    <mergeCell ref="EF647:EJ647"/>
    <mergeCell ref="EF628:EJ628"/>
    <mergeCell ref="EF629:EJ629"/>
    <mergeCell ref="EF630:EJ630"/>
    <mergeCell ref="EF631:EJ631"/>
    <mergeCell ref="EF632:EJ632"/>
    <mergeCell ref="EF633:EJ633"/>
    <mergeCell ref="EF634:EJ634"/>
    <mergeCell ref="EF635:EJ635"/>
    <mergeCell ref="EF620:EJ620"/>
    <mergeCell ref="EF621:EJ621"/>
    <mergeCell ref="EF622:EJ622"/>
    <mergeCell ref="EF623:EJ623"/>
    <mergeCell ref="EF624:EJ624"/>
    <mergeCell ref="EF625:EJ625"/>
    <mergeCell ref="EF626:EJ626"/>
    <mergeCell ref="EF627:EJ627"/>
    <mergeCell ref="EF612:EJ612"/>
    <mergeCell ref="EF613:EJ613"/>
    <mergeCell ref="EF614:EJ614"/>
    <mergeCell ref="EF615:EJ615"/>
    <mergeCell ref="EF616:EJ616"/>
    <mergeCell ref="EF617:EJ617"/>
    <mergeCell ref="EF618:EJ618"/>
    <mergeCell ref="EF619:EJ619"/>
    <mergeCell ref="EF604:EJ604"/>
    <mergeCell ref="EF605:EJ605"/>
    <mergeCell ref="EF606:EJ606"/>
    <mergeCell ref="EF607:EJ607"/>
    <mergeCell ref="EF608:EJ608"/>
    <mergeCell ref="EF609:EJ609"/>
    <mergeCell ref="EL410:EP410"/>
    <mergeCell ref="EL411:EP411"/>
    <mergeCell ref="EL472:EP472"/>
    <mergeCell ref="EL473:EP473"/>
    <mergeCell ref="EL458:EP458"/>
    <mergeCell ref="EL459:EP459"/>
    <mergeCell ref="EL460:EP460"/>
    <mergeCell ref="EL461:EP461"/>
    <mergeCell ref="EL462:EP462"/>
    <mergeCell ref="EL463:EP463"/>
    <mergeCell ref="EL420:EP420"/>
    <mergeCell ref="EL421:EP421"/>
    <mergeCell ref="EL406:EP406"/>
    <mergeCell ref="EL407:EP407"/>
    <mergeCell ref="EL408:EP408"/>
    <mergeCell ref="EL409:EP409"/>
    <mergeCell ref="EL394:EP394"/>
    <mergeCell ref="EL395:EP395"/>
    <mergeCell ref="EL396:EP396"/>
    <mergeCell ref="EL397:EP397"/>
    <mergeCell ref="EL398:EP398"/>
    <mergeCell ref="EL399:EP399"/>
    <mergeCell ref="EL384:EP384"/>
    <mergeCell ref="EL385:EP385"/>
    <mergeCell ref="EL386:EP386"/>
    <mergeCell ref="EL387:EP387"/>
    <mergeCell ref="EL404:EP404"/>
    <mergeCell ref="EL405:EP405"/>
    <mergeCell ref="EL390:EP390"/>
    <mergeCell ref="EL391:EP391"/>
    <mergeCell ref="EL392:EP392"/>
    <mergeCell ref="EL393:EP393"/>
    <mergeCell ref="EL388:EP388"/>
    <mergeCell ref="EL389:EP389"/>
    <mergeCell ref="EL448:EP448"/>
    <mergeCell ref="EL449:EP449"/>
    <mergeCell ref="EL450:EP450"/>
    <mergeCell ref="EL451:EP451"/>
    <mergeCell ref="EL468:EP468"/>
    <mergeCell ref="EL469:EP469"/>
    <mergeCell ref="EL454:EP454"/>
    <mergeCell ref="EL455:EP455"/>
    <mergeCell ref="EL456:EP456"/>
    <mergeCell ref="EL457:EP457"/>
    <mergeCell ref="EL442:EP442"/>
    <mergeCell ref="EL443:EP443"/>
    <mergeCell ref="EL444:EP444"/>
    <mergeCell ref="EL445:EP445"/>
    <mergeCell ref="EL446:EP446"/>
    <mergeCell ref="EL447:EP447"/>
    <mergeCell ref="EL432:EP432"/>
    <mergeCell ref="EL433:EP433"/>
    <mergeCell ref="EL434:EP434"/>
    <mergeCell ref="EL435:EP435"/>
    <mergeCell ref="EL452:EP452"/>
    <mergeCell ref="EL453:EP453"/>
    <mergeCell ref="EL438:EP438"/>
    <mergeCell ref="EL439:EP439"/>
    <mergeCell ref="EL440:EP440"/>
    <mergeCell ref="EL441:EP441"/>
    <mergeCell ref="EL426:EP426"/>
    <mergeCell ref="EL427:EP427"/>
    <mergeCell ref="EL428:EP428"/>
    <mergeCell ref="EL429:EP429"/>
    <mergeCell ref="EL430:EP430"/>
    <mergeCell ref="EL431:EP431"/>
    <mergeCell ref="EL502:EP502"/>
    <mergeCell ref="EL503:EP503"/>
    <mergeCell ref="EL504:EP504"/>
    <mergeCell ref="EL505:EP505"/>
    <mergeCell ref="EL424:EP424"/>
    <mergeCell ref="EL425:EP425"/>
    <mergeCell ref="EL490:EP490"/>
    <mergeCell ref="EL491:EP491"/>
    <mergeCell ref="EL492:EP492"/>
    <mergeCell ref="EL493:EP493"/>
    <mergeCell ref="EL494:EP494"/>
    <mergeCell ref="EL495:EP495"/>
    <mergeCell ref="EL480:EP480"/>
    <mergeCell ref="EL481:EP481"/>
    <mergeCell ref="EL482:EP482"/>
    <mergeCell ref="EL483:EP483"/>
    <mergeCell ref="EL500:EP500"/>
    <mergeCell ref="EL501:EP501"/>
    <mergeCell ref="EL486:EP486"/>
    <mergeCell ref="EL487:EP487"/>
    <mergeCell ref="EL488:EP488"/>
    <mergeCell ref="EL489:EP489"/>
    <mergeCell ref="EL474:EP474"/>
    <mergeCell ref="EL475:EP475"/>
    <mergeCell ref="EL476:EP476"/>
    <mergeCell ref="EL477:EP477"/>
    <mergeCell ref="EL478:EP478"/>
    <mergeCell ref="EL479:EP479"/>
    <mergeCell ref="EL464:EP464"/>
    <mergeCell ref="EL465:EP465"/>
    <mergeCell ref="EL466:EP466"/>
    <mergeCell ref="EL467:EP467"/>
    <mergeCell ref="EL484:EP484"/>
    <mergeCell ref="EL485:EP485"/>
    <mergeCell ref="EL470:EP470"/>
    <mergeCell ref="EL471:EP471"/>
    <mergeCell ref="EL561:EP561"/>
    <mergeCell ref="EL562:EP562"/>
    <mergeCell ref="EL563:EP563"/>
    <mergeCell ref="EL580:EP580"/>
    <mergeCell ref="EL581:EP581"/>
    <mergeCell ref="EL566:EP566"/>
    <mergeCell ref="EL567:EP567"/>
    <mergeCell ref="EL568:EP568"/>
    <mergeCell ref="EL569:EP569"/>
    <mergeCell ref="EL554:EP554"/>
    <mergeCell ref="EL555:EP555"/>
    <mergeCell ref="EL556:EP556"/>
    <mergeCell ref="EL557:EP557"/>
    <mergeCell ref="EL558:EP558"/>
    <mergeCell ref="EL559:EP559"/>
    <mergeCell ref="EL544:EP544"/>
    <mergeCell ref="EL545:EP545"/>
    <mergeCell ref="EL546:EP546"/>
    <mergeCell ref="EL547:EP547"/>
    <mergeCell ref="EL564:EP564"/>
    <mergeCell ref="EL565:EP565"/>
    <mergeCell ref="EL550:EP550"/>
    <mergeCell ref="EL551:EP551"/>
    <mergeCell ref="EL552:EP552"/>
    <mergeCell ref="EL553:EP553"/>
    <mergeCell ref="EL538:EP538"/>
    <mergeCell ref="EL539:EP539"/>
    <mergeCell ref="EL540:EP540"/>
    <mergeCell ref="EL541:EP541"/>
    <mergeCell ref="EL542:EP542"/>
    <mergeCell ref="EL543:EP543"/>
    <mergeCell ref="EL528:EP528"/>
    <mergeCell ref="EL529:EP529"/>
    <mergeCell ref="EL530:EP530"/>
    <mergeCell ref="EL531:EP531"/>
    <mergeCell ref="EL548:EP548"/>
    <mergeCell ref="EL549:EP549"/>
    <mergeCell ref="EL534:EP534"/>
    <mergeCell ref="EL535:EP535"/>
    <mergeCell ref="EL536:EP536"/>
    <mergeCell ref="EL537:EP537"/>
    <mergeCell ref="EL648:EP648"/>
    <mergeCell ref="EL649:EP649"/>
    <mergeCell ref="EL642:EP642"/>
    <mergeCell ref="EL643:EP643"/>
    <mergeCell ref="EL644:EP644"/>
    <mergeCell ref="EL645:EP645"/>
    <mergeCell ref="EL624:EP624"/>
    <mergeCell ref="EL625:EP625"/>
    <mergeCell ref="EL626:EP626"/>
    <mergeCell ref="EL627:EP627"/>
    <mergeCell ref="EL632:EP632"/>
    <mergeCell ref="EL633:EP633"/>
    <mergeCell ref="EL618:EP618"/>
    <mergeCell ref="EL619:EP619"/>
    <mergeCell ref="EL620:EP620"/>
    <mergeCell ref="EL621:EP621"/>
    <mergeCell ref="EL622:EP622"/>
    <mergeCell ref="EL623:EP623"/>
    <mergeCell ref="EL608:EP608"/>
    <mergeCell ref="EL609:EP609"/>
    <mergeCell ref="EL610:EP610"/>
    <mergeCell ref="EL611:EP611"/>
    <mergeCell ref="EL628:EP628"/>
    <mergeCell ref="EL629:EP629"/>
    <mergeCell ref="EL614:EP614"/>
    <mergeCell ref="EL615:EP615"/>
    <mergeCell ref="EL616:EP616"/>
    <mergeCell ref="EL617:EP617"/>
    <mergeCell ref="EL602:EP602"/>
    <mergeCell ref="EL603:EP603"/>
    <mergeCell ref="EL604:EP604"/>
    <mergeCell ref="EL605:EP605"/>
    <mergeCell ref="EL606:EP606"/>
    <mergeCell ref="EL607:EP607"/>
    <mergeCell ref="EL612:EP612"/>
    <mergeCell ref="EL613:EP613"/>
    <mergeCell ref="EL630:EP630"/>
    <mergeCell ref="EL631:EP631"/>
    <mergeCell ref="EL646:EP646"/>
    <mergeCell ref="EL647:EP647"/>
    <mergeCell ref="EL638:EP638"/>
    <mergeCell ref="EL639:EP639"/>
    <mergeCell ref="EL640:EP640"/>
    <mergeCell ref="EL641:EP641"/>
    <mergeCell ref="EL634:EP634"/>
    <mergeCell ref="EL635:EP635"/>
    <mergeCell ref="EL636:EP636"/>
    <mergeCell ref="EL637:EP637"/>
    <mergeCell ref="EL592:EP592"/>
    <mergeCell ref="EL593:EP593"/>
    <mergeCell ref="EL594:EP594"/>
    <mergeCell ref="EL595:EP595"/>
    <mergeCell ref="EL598:EP598"/>
    <mergeCell ref="EL599:EP599"/>
    <mergeCell ref="EL600:EP600"/>
    <mergeCell ref="EL601:EP601"/>
    <mergeCell ref="EL586:EP586"/>
    <mergeCell ref="EL587:EP587"/>
    <mergeCell ref="EL588:EP588"/>
    <mergeCell ref="EL589:EP589"/>
    <mergeCell ref="EL590:EP590"/>
    <mergeCell ref="EL591:EP591"/>
    <mergeCell ref="EL576:EP576"/>
    <mergeCell ref="EL577:EP577"/>
    <mergeCell ref="EL578:EP578"/>
    <mergeCell ref="EL579:EP579"/>
    <mergeCell ref="EL596:EP596"/>
    <mergeCell ref="EL597:EP597"/>
    <mergeCell ref="EL582:EP582"/>
    <mergeCell ref="EL583:EP583"/>
    <mergeCell ref="EL584:EP584"/>
    <mergeCell ref="EL585:EP585"/>
    <mergeCell ref="ER397:EV397"/>
    <mergeCell ref="EL570:EP570"/>
    <mergeCell ref="EL571:EP571"/>
    <mergeCell ref="EL572:EP572"/>
    <mergeCell ref="EL573:EP573"/>
    <mergeCell ref="EL574:EP574"/>
    <mergeCell ref="EL575:EP575"/>
    <mergeCell ref="EL560:EP560"/>
    <mergeCell ref="ER389:EV389"/>
    <mergeCell ref="ER390:EV390"/>
    <mergeCell ref="ER391:EV391"/>
    <mergeCell ref="ER392:EV392"/>
    <mergeCell ref="ER393:EV393"/>
    <mergeCell ref="ER394:EV394"/>
    <mergeCell ref="ER395:EV395"/>
    <mergeCell ref="ER396:EV396"/>
    <mergeCell ref="ER431:EV431"/>
    <mergeCell ref="ER432:EV432"/>
    <mergeCell ref="ER433:EV433"/>
    <mergeCell ref="ER434:EV434"/>
    <mergeCell ref="ER435:EV435"/>
    <mergeCell ref="ER436:EV436"/>
    <mergeCell ref="ER469:EV469"/>
    <mergeCell ref="ER470:EV470"/>
    <mergeCell ref="ER471:EV471"/>
    <mergeCell ref="ER472:EV472"/>
    <mergeCell ref="ER473:EV473"/>
    <mergeCell ref="ER474:EV474"/>
    <mergeCell ref="ER475:EV475"/>
    <mergeCell ref="ER476:EV476"/>
    <mergeCell ref="ER461:EV461"/>
    <mergeCell ref="ER462:EV462"/>
    <mergeCell ref="ER463:EV463"/>
    <mergeCell ref="ER464:EV464"/>
    <mergeCell ref="ER465:EV465"/>
    <mergeCell ref="ER466:EV466"/>
    <mergeCell ref="ER467:EV467"/>
    <mergeCell ref="ER468:EV468"/>
    <mergeCell ref="ER453:EV453"/>
    <mergeCell ref="ER454:EV454"/>
    <mergeCell ref="ER381:EV381"/>
    <mergeCell ref="ER382:EV382"/>
    <mergeCell ref="ER383:EV383"/>
    <mergeCell ref="ER384:EV384"/>
    <mergeCell ref="ER385:EV385"/>
    <mergeCell ref="ER386:EV386"/>
    <mergeCell ref="ER387:EV387"/>
    <mergeCell ref="ER388:EV388"/>
    <mergeCell ref="ER373:EV373"/>
    <mergeCell ref="ER374:EV374"/>
    <mergeCell ref="ER375:EV375"/>
    <mergeCell ref="ER376:EV376"/>
    <mergeCell ref="ER377:EV377"/>
    <mergeCell ref="ER378:EV378"/>
    <mergeCell ref="ER379:EV379"/>
    <mergeCell ref="ER380:EV380"/>
    <mergeCell ref="ER365:EV365"/>
    <mergeCell ref="ER366:EV366"/>
    <mergeCell ref="ER367:EV367"/>
    <mergeCell ref="ER368:EV368"/>
    <mergeCell ref="ER369:EV369"/>
    <mergeCell ref="ER370:EV370"/>
    <mergeCell ref="ER371:EV371"/>
    <mergeCell ref="ER372:EV372"/>
    <mergeCell ref="ER358:EV358"/>
    <mergeCell ref="ER359:EV359"/>
    <mergeCell ref="ER360:EV360"/>
    <mergeCell ref="ER361:EV361"/>
    <mergeCell ref="ER362:EV362"/>
    <mergeCell ref="ER363:EV363"/>
    <mergeCell ref="ER364:EV364"/>
    <mergeCell ref="ER429:EV429"/>
    <mergeCell ref="ER430:EV430"/>
    <mergeCell ref="ER421:EV421"/>
    <mergeCell ref="ER422:EV422"/>
    <mergeCell ref="ER423:EV423"/>
    <mergeCell ref="ER424:EV424"/>
    <mergeCell ref="ER425:EV425"/>
    <mergeCell ref="ER426:EV426"/>
    <mergeCell ref="ER427:EV427"/>
    <mergeCell ref="ER428:EV428"/>
    <mergeCell ref="ER413:EV413"/>
    <mergeCell ref="ER414:EV414"/>
    <mergeCell ref="ER415:EV415"/>
    <mergeCell ref="ER416:EV416"/>
    <mergeCell ref="ER417:EV417"/>
    <mergeCell ref="ER418:EV418"/>
    <mergeCell ref="ER419:EV419"/>
    <mergeCell ref="ER420:EV420"/>
    <mergeCell ref="ER405:EV405"/>
    <mergeCell ref="ER406:EV406"/>
    <mergeCell ref="ER407:EV407"/>
    <mergeCell ref="ER408:EV408"/>
    <mergeCell ref="ER409:EV409"/>
    <mergeCell ref="ER410:EV410"/>
    <mergeCell ref="ER411:EV411"/>
    <mergeCell ref="ER412:EV412"/>
    <mergeCell ref="ER398:EV398"/>
    <mergeCell ref="ER399:EV399"/>
    <mergeCell ref="ER400:EV400"/>
    <mergeCell ref="ER401:EV401"/>
    <mergeCell ref="ER402:EV402"/>
    <mergeCell ref="ER403:EV403"/>
    <mergeCell ref="ER404:EV404"/>
    <mergeCell ref="ER455:EV455"/>
    <mergeCell ref="ER456:EV456"/>
    <mergeCell ref="ER457:EV457"/>
    <mergeCell ref="ER458:EV458"/>
    <mergeCell ref="ER459:EV459"/>
    <mergeCell ref="ER460:EV460"/>
    <mergeCell ref="ER445:EV445"/>
    <mergeCell ref="ER446:EV446"/>
    <mergeCell ref="ER447:EV447"/>
    <mergeCell ref="ER448:EV448"/>
    <mergeCell ref="ER449:EV449"/>
    <mergeCell ref="ER450:EV450"/>
    <mergeCell ref="ER451:EV451"/>
    <mergeCell ref="ER452:EV452"/>
    <mergeCell ref="ER437:EV437"/>
    <mergeCell ref="ER438:EV438"/>
    <mergeCell ref="ER439:EV439"/>
    <mergeCell ref="ER440:EV440"/>
    <mergeCell ref="ER441:EV441"/>
    <mergeCell ref="ER442:EV442"/>
    <mergeCell ref="ER443:EV443"/>
    <mergeCell ref="ER444:EV444"/>
    <mergeCell ref="ER509:EV509"/>
    <mergeCell ref="ER510:EV510"/>
    <mergeCell ref="ER511:EV511"/>
    <mergeCell ref="ER512:EV512"/>
    <mergeCell ref="ER513:EV513"/>
    <mergeCell ref="ER514:EV514"/>
    <mergeCell ref="ER515:EV515"/>
    <mergeCell ref="ER516:EV516"/>
    <mergeCell ref="ER501:EV501"/>
    <mergeCell ref="ER502:EV502"/>
    <mergeCell ref="ER503:EV503"/>
    <mergeCell ref="ER504:EV504"/>
    <mergeCell ref="ER505:EV505"/>
    <mergeCell ref="ER506:EV506"/>
    <mergeCell ref="ER507:EV507"/>
    <mergeCell ref="ER508:EV508"/>
    <mergeCell ref="ER493:EV493"/>
    <mergeCell ref="ER494:EV494"/>
    <mergeCell ref="ER495:EV495"/>
    <mergeCell ref="ER496:EV496"/>
    <mergeCell ref="ER497:EV497"/>
    <mergeCell ref="ER498:EV498"/>
    <mergeCell ref="ER499:EV499"/>
    <mergeCell ref="ER500:EV500"/>
    <mergeCell ref="ER485:EV485"/>
    <mergeCell ref="ER486:EV486"/>
    <mergeCell ref="ER487:EV487"/>
    <mergeCell ref="ER488:EV488"/>
    <mergeCell ref="ER489:EV489"/>
    <mergeCell ref="ER490:EV490"/>
    <mergeCell ref="ER491:EV491"/>
    <mergeCell ref="ER492:EV492"/>
    <mergeCell ref="ER477:EV477"/>
    <mergeCell ref="ER478:EV478"/>
    <mergeCell ref="ER479:EV479"/>
    <mergeCell ref="ER480:EV480"/>
    <mergeCell ref="ER481:EV481"/>
    <mergeCell ref="ER482:EV482"/>
    <mergeCell ref="ER483:EV483"/>
    <mergeCell ref="ER484:EV484"/>
    <mergeCell ref="ER549:EV549"/>
    <mergeCell ref="ER550:EV550"/>
    <mergeCell ref="ER551:EV551"/>
    <mergeCell ref="ER552:EV552"/>
    <mergeCell ref="ER553:EV553"/>
    <mergeCell ref="ER554:EV554"/>
    <mergeCell ref="ER555:EV555"/>
    <mergeCell ref="ER556:EV556"/>
    <mergeCell ref="ER541:EV541"/>
    <mergeCell ref="ER542:EV542"/>
    <mergeCell ref="ER543:EV543"/>
    <mergeCell ref="ER544:EV544"/>
    <mergeCell ref="ER545:EV545"/>
    <mergeCell ref="ER546:EV546"/>
    <mergeCell ref="ER547:EV547"/>
    <mergeCell ref="ER548:EV548"/>
    <mergeCell ref="ER533:EV533"/>
    <mergeCell ref="ER534:EV534"/>
    <mergeCell ref="ER535:EV535"/>
    <mergeCell ref="ER536:EV536"/>
    <mergeCell ref="ER537:EV537"/>
    <mergeCell ref="ER538:EV538"/>
    <mergeCell ref="ER539:EV539"/>
    <mergeCell ref="ER540:EV540"/>
    <mergeCell ref="ER525:EV525"/>
    <mergeCell ref="ER526:EV526"/>
    <mergeCell ref="ER527:EV527"/>
    <mergeCell ref="ER528:EV528"/>
    <mergeCell ref="ER529:EV529"/>
    <mergeCell ref="ER530:EV530"/>
    <mergeCell ref="ER531:EV531"/>
    <mergeCell ref="ER532:EV532"/>
    <mergeCell ref="ER517:EV517"/>
    <mergeCell ref="ER518:EV518"/>
    <mergeCell ref="ER519:EV519"/>
    <mergeCell ref="ER520:EV520"/>
    <mergeCell ref="ER521:EV521"/>
    <mergeCell ref="ER522:EV522"/>
    <mergeCell ref="ER523:EV523"/>
    <mergeCell ref="ER524:EV524"/>
    <mergeCell ref="ER589:EV589"/>
    <mergeCell ref="ER590:EV590"/>
    <mergeCell ref="ER591:EV591"/>
    <mergeCell ref="ER592:EV592"/>
    <mergeCell ref="ER593:EV593"/>
    <mergeCell ref="ER594:EV594"/>
    <mergeCell ref="ER595:EV595"/>
    <mergeCell ref="ER596:EV596"/>
    <mergeCell ref="ER581:EV581"/>
    <mergeCell ref="ER582:EV582"/>
    <mergeCell ref="ER583:EV583"/>
    <mergeCell ref="ER584:EV584"/>
    <mergeCell ref="ER585:EV585"/>
    <mergeCell ref="ER586:EV586"/>
    <mergeCell ref="ER587:EV587"/>
    <mergeCell ref="ER588:EV588"/>
    <mergeCell ref="ER573:EV573"/>
    <mergeCell ref="ER574:EV574"/>
    <mergeCell ref="ER575:EV575"/>
    <mergeCell ref="ER576:EV576"/>
    <mergeCell ref="ER577:EV577"/>
    <mergeCell ref="ER578:EV578"/>
    <mergeCell ref="ER579:EV579"/>
    <mergeCell ref="ER580:EV580"/>
    <mergeCell ref="ER565:EV565"/>
    <mergeCell ref="ER566:EV566"/>
    <mergeCell ref="ER567:EV567"/>
    <mergeCell ref="ER568:EV568"/>
    <mergeCell ref="ER569:EV569"/>
    <mergeCell ref="ER570:EV570"/>
    <mergeCell ref="ER571:EV571"/>
    <mergeCell ref="ER572:EV572"/>
    <mergeCell ref="ER557:EV557"/>
    <mergeCell ref="ER558:EV558"/>
    <mergeCell ref="ER559:EV559"/>
    <mergeCell ref="ER560:EV560"/>
    <mergeCell ref="ER561:EV561"/>
    <mergeCell ref="ER562:EV562"/>
    <mergeCell ref="ER563:EV563"/>
    <mergeCell ref="ER564:EV564"/>
    <mergeCell ref="ER641:EV641"/>
    <mergeCell ref="ER621:EV621"/>
    <mergeCell ref="ER630:EV630"/>
    <mergeCell ref="ER623:EV623"/>
    <mergeCell ref="ER624:EV624"/>
    <mergeCell ref="ER625:EV625"/>
    <mergeCell ref="ER626:EV626"/>
    <mergeCell ref="ER627:EV627"/>
    <mergeCell ref="ER628:EV628"/>
    <mergeCell ref="ER613:EV613"/>
    <mergeCell ref="ER614:EV614"/>
    <mergeCell ref="ER615:EV615"/>
    <mergeCell ref="ER616:EV616"/>
    <mergeCell ref="ER617:EV617"/>
    <mergeCell ref="ER618:EV618"/>
    <mergeCell ref="ER619:EV619"/>
    <mergeCell ref="ER620:EV620"/>
    <mergeCell ref="ER622:EV622"/>
    <mergeCell ref="ER605:EV605"/>
    <mergeCell ref="ER606:EV606"/>
    <mergeCell ref="ER607:EV607"/>
    <mergeCell ref="ER608:EV608"/>
    <mergeCell ref="ER609:EV609"/>
    <mergeCell ref="ER610:EV610"/>
    <mergeCell ref="ER611:EV611"/>
    <mergeCell ref="ER612:EV612"/>
    <mergeCell ref="ER597:EV597"/>
    <mergeCell ref="ER598:EV598"/>
    <mergeCell ref="ER599:EV599"/>
    <mergeCell ref="ER600:EV600"/>
    <mergeCell ref="ER601:EV601"/>
    <mergeCell ref="ER602:EV602"/>
    <mergeCell ref="ER603:EV603"/>
    <mergeCell ref="ER604:EV604"/>
    <mergeCell ref="AD9:AN9"/>
    <mergeCell ref="T54:X54"/>
    <mergeCell ref="F126:AN126"/>
    <mergeCell ref="O88:Q88"/>
    <mergeCell ref="R86:R90"/>
    <mergeCell ref="F92:I92"/>
    <mergeCell ref="T172:U172"/>
    <mergeCell ref="S170:Z170"/>
    <mergeCell ref="P31:R31"/>
    <mergeCell ref="T72:X72"/>
    <mergeCell ref="T82:X82"/>
    <mergeCell ref="O92:Q92"/>
    <mergeCell ref="T42:X42"/>
    <mergeCell ref="T44:X44"/>
    <mergeCell ref="T52:X52"/>
    <mergeCell ref="V19:X19"/>
    <mergeCell ref="T33:X33"/>
    <mergeCell ref="V21:X21"/>
    <mergeCell ref="T70:X70"/>
    <mergeCell ref="V25:X25"/>
    <mergeCell ref="T68:X68"/>
    <mergeCell ref="T38:X38"/>
    <mergeCell ref="S23:X23"/>
    <mergeCell ref="H52:S52"/>
    <mergeCell ref="T50:X50"/>
    <mergeCell ref="X137:Z137"/>
    <mergeCell ref="T86:U88"/>
    <mergeCell ref="AA96:AI96"/>
    <mergeCell ref="X120:Z120"/>
    <mergeCell ref="U166:Z166"/>
    <mergeCell ref="F129:AN129"/>
    <mergeCell ref="ER649:EV649"/>
    <mergeCell ref="BH343:BK343"/>
    <mergeCell ref="BH344:BK344"/>
    <mergeCell ref="BH345:BK345"/>
    <mergeCell ref="BH346:BK346"/>
    <mergeCell ref="BH347:BK347"/>
    <mergeCell ref="ER645:EV645"/>
    <mergeCell ref="ER646:EV646"/>
    <mergeCell ref="ER647:EV647"/>
    <mergeCell ref="ER648:EV648"/>
    <mergeCell ref="ER633:EV633"/>
    <mergeCell ref="ER634:EV634"/>
    <mergeCell ref="ER635:EV635"/>
    <mergeCell ref="ER636:EV636"/>
    <mergeCell ref="ER629:EV629"/>
    <mergeCell ref="ER631:EV631"/>
    <mergeCell ref="ER632:EV632"/>
    <mergeCell ref="BL339:BN339"/>
    <mergeCell ref="BR341:BU341"/>
    <mergeCell ref="BL340:BN340"/>
    <mergeCell ref="BH339:BK339"/>
    <mergeCell ref="BO338:BQ338"/>
    <mergeCell ref="BL338:BN338"/>
    <mergeCell ref="BR338:BU338"/>
    <mergeCell ref="BO341:BQ341"/>
    <mergeCell ref="BH338:BK338"/>
    <mergeCell ref="ER643:EV643"/>
    <mergeCell ref="ER644:EV644"/>
    <mergeCell ref="ER637:EV637"/>
    <mergeCell ref="ER638:EV638"/>
    <mergeCell ref="ER639:EV639"/>
    <mergeCell ref="ER640:EV640"/>
    <mergeCell ref="ER642:EV642"/>
    <mergeCell ref="D2:J9"/>
    <mergeCell ref="F90:I90"/>
    <mergeCell ref="N23:P23"/>
    <mergeCell ref="P62:R62"/>
    <mergeCell ref="P64:R64"/>
    <mergeCell ref="P27:R27"/>
    <mergeCell ref="F25:S25"/>
    <mergeCell ref="J90:N90"/>
    <mergeCell ref="O5:Z7"/>
    <mergeCell ref="O9:Q9"/>
    <mergeCell ref="P11:Z11"/>
    <mergeCell ref="X94:Y94"/>
    <mergeCell ref="D279:F279"/>
    <mergeCell ref="D281:F281"/>
    <mergeCell ref="X118:Z118"/>
    <mergeCell ref="J94:N94"/>
    <mergeCell ref="T94:U94"/>
    <mergeCell ref="J102:N102"/>
    <mergeCell ref="J96:N96"/>
    <mergeCell ref="Y277:Z277"/>
    <mergeCell ref="D283:F283"/>
    <mergeCell ref="J104:N104"/>
    <mergeCell ref="F96:I96"/>
    <mergeCell ref="J100:N100"/>
    <mergeCell ref="O96:Q96"/>
    <mergeCell ref="D247:F247"/>
    <mergeCell ref="D249:F249"/>
    <mergeCell ref="D251:F251"/>
    <mergeCell ref="L281:M281"/>
    <mergeCell ref="J274:K274"/>
    <mergeCell ref="R9:T9"/>
    <mergeCell ref="V90:W90"/>
    <mergeCell ref="X475:Z475"/>
    <mergeCell ref="T292:U292"/>
    <mergeCell ref="V292:W292"/>
    <mergeCell ref="O294:P294"/>
    <mergeCell ref="T291:U291"/>
    <mergeCell ref="N437:R437"/>
    <mergeCell ref="N438:R438"/>
    <mergeCell ref="T283:U283"/>
    <mergeCell ref="L276:M276"/>
    <mergeCell ref="O278:P278"/>
    <mergeCell ref="T278:U278"/>
    <mergeCell ref="Q277:R277"/>
    <mergeCell ref="O285:P285"/>
    <mergeCell ref="T280:U280"/>
    <mergeCell ref="T279:U279"/>
    <mergeCell ref="N445:R445"/>
    <mergeCell ref="H437:L437"/>
    <mergeCell ref="Q295:R295"/>
    <mergeCell ref="O289:P289"/>
    <mergeCell ref="T289:U289"/>
    <mergeCell ref="Q289:R289"/>
    <mergeCell ref="Q290:R290"/>
    <mergeCell ref="Q292:R292"/>
    <mergeCell ref="J281:K281"/>
    <mergeCell ref="O284:P284"/>
    <mergeCell ref="L280:M280"/>
    <mergeCell ref="O276:P276"/>
    <mergeCell ref="L275:M275"/>
    <mergeCell ref="L271:M271"/>
    <mergeCell ref="L272:M272"/>
    <mergeCell ref="J278:K278"/>
    <mergeCell ref="G278:I278"/>
    <mergeCell ref="F580:H580"/>
    <mergeCell ref="F587:H587"/>
    <mergeCell ref="F588:H588"/>
    <mergeCell ref="F666:H666"/>
    <mergeCell ref="F678:H678"/>
    <mergeCell ref="F679:H679"/>
    <mergeCell ref="F681:H681"/>
    <mergeCell ref="F682:H682"/>
    <mergeCell ref="F683:H683"/>
    <mergeCell ref="F590:H590"/>
    <mergeCell ref="F647:H647"/>
    <mergeCell ref="F664:H664"/>
    <mergeCell ref="F603:H603"/>
    <mergeCell ref="F604:H604"/>
    <mergeCell ref="F586:H586"/>
    <mergeCell ref="O567:Q567"/>
    <mergeCell ref="R567:T567"/>
    <mergeCell ref="I568:K568"/>
    <mergeCell ref="L568:N568"/>
    <mergeCell ref="R568:T568"/>
    <mergeCell ref="I569:K569"/>
    <mergeCell ref="I571:K571"/>
    <mergeCell ref="F667:H667"/>
    <mergeCell ref="F640:H640"/>
    <mergeCell ref="F645:H645"/>
    <mergeCell ref="F650:H650"/>
    <mergeCell ref="F641:H641"/>
    <mergeCell ref="F653:H653"/>
    <mergeCell ref="F654:H654"/>
    <mergeCell ref="F656:H656"/>
    <mergeCell ref="F642:H642"/>
    <mergeCell ref="F643:H643"/>
    <mergeCell ref="F601:H601"/>
    <mergeCell ref="I599:K599"/>
    <mergeCell ref="F602:H602"/>
    <mergeCell ref="I583:K583"/>
    <mergeCell ref="F584:H584"/>
    <mergeCell ref="F589:H589"/>
    <mergeCell ref="I584:K584"/>
    <mergeCell ref="I585:K585"/>
    <mergeCell ref="F585:H585"/>
    <mergeCell ref="I595:K595"/>
    <mergeCell ref="I574:K574"/>
    <mergeCell ref="I580:K580"/>
    <mergeCell ref="I582:K582"/>
    <mergeCell ref="L677:N677"/>
    <mergeCell ref="L675:N675"/>
    <mergeCell ref="L660:N660"/>
    <mergeCell ref="L652:N652"/>
    <mergeCell ref="L654:N654"/>
    <mergeCell ref="L658:N658"/>
    <mergeCell ref="L670:N670"/>
    <mergeCell ref="L674:N674"/>
    <mergeCell ref="L640:N640"/>
    <mergeCell ref="L632:N632"/>
    <mergeCell ref="L594:N594"/>
    <mergeCell ref="L620:N620"/>
    <mergeCell ref="L567:N567"/>
    <mergeCell ref="O568:Q568"/>
    <mergeCell ref="O569:Q569"/>
    <mergeCell ref="O570:Q570"/>
    <mergeCell ref="L571:N571"/>
    <mergeCell ref="F638:H638"/>
    <mergeCell ref="F644:H644"/>
    <mergeCell ref="G285:I285"/>
    <mergeCell ref="J291:K291"/>
    <mergeCell ref="H449:L449"/>
    <mergeCell ref="H460:L460"/>
    <mergeCell ref="H450:L450"/>
    <mergeCell ref="H456:L456"/>
    <mergeCell ref="H455:L455"/>
    <mergeCell ref="H451:L451"/>
    <mergeCell ref="H458:L458"/>
    <mergeCell ref="I565:K565"/>
    <mergeCell ref="F564:N564"/>
    <mergeCell ref="T544:V544"/>
    <mergeCell ref="T543:V543"/>
    <mergeCell ref="H457:L457"/>
    <mergeCell ref="H461:L461"/>
    <mergeCell ref="L565:N565"/>
    <mergeCell ref="Q477:R477"/>
    <mergeCell ref="N463:R463"/>
    <mergeCell ref="Q476:R476"/>
    <mergeCell ref="Q479:R479"/>
    <mergeCell ref="Q475:R475"/>
    <mergeCell ref="Q474:R474"/>
    <mergeCell ref="O565:Q565"/>
    <mergeCell ref="R565:T565"/>
    <mergeCell ref="Q478:R478"/>
    <mergeCell ref="N476:O476"/>
    <mergeCell ref="T547:V547"/>
    <mergeCell ref="T561:V561"/>
    <mergeCell ref="Q561:S561"/>
    <mergeCell ref="N461:R461"/>
    <mergeCell ref="N462:R462"/>
    <mergeCell ref="N475:O475"/>
    <mergeCell ref="N455:R455"/>
    <mergeCell ref="H452:L452"/>
    <mergeCell ref="N477:O477"/>
    <mergeCell ref="V286:W286"/>
    <mergeCell ref="V287:W287"/>
    <mergeCell ref="V290:W290"/>
    <mergeCell ref="V285:W285"/>
    <mergeCell ref="V289:W289"/>
    <mergeCell ref="V291:W291"/>
    <mergeCell ref="D285:F285"/>
    <mergeCell ref="H453:L453"/>
    <mergeCell ref="L288:M288"/>
    <mergeCell ref="L289:M289"/>
    <mergeCell ref="H446:L446"/>
    <mergeCell ref="D287:F287"/>
    <mergeCell ref="G297:I297"/>
    <mergeCell ref="J297:K297"/>
    <mergeCell ref="H454:L454"/>
    <mergeCell ref="Q547:S547"/>
    <mergeCell ref="Q556:S556"/>
    <mergeCell ref="N474:O474"/>
    <mergeCell ref="F565:H565"/>
    <mergeCell ref="V294:W294"/>
    <mergeCell ref="L286:M286"/>
    <mergeCell ref="W561:Z561"/>
    <mergeCell ref="H448:L448"/>
    <mergeCell ref="O291:P291"/>
    <mergeCell ref="H438:L438"/>
    <mergeCell ref="H442:L442"/>
    <mergeCell ref="O295:P295"/>
    <mergeCell ref="D84:D111"/>
    <mergeCell ref="F104:I104"/>
    <mergeCell ref="F102:I102"/>
    <mergeCell ref="F100:I100"/>
    <mergeCell ref="F226:J226"/>
    <mergeCell ref="D241:F241"/>
    <mergeCell ref="D133:D159"/>
    <mergeCell ref="D185:D205"/>
    <mergeCell ref="F127:AN127"/>
    <mergeCell ref="X92:Y92"/>
    <mergeCell ref="D253:F253"/>
    <mergeCell ref="D255:F255"/>
    <mergeCell ref="L261:M261"/>
    <mergeCell ref="T197:V197"/>
    <mergeCell ref="F238:W239"/>
    <mergeCell ref="J261:K261"/>
    <mergeCell ref="G242:I242"/>
    <mergeCell ref="D261:F261"/>
    <mergeCell ref="J260:K260"/>
    <mergeCell ref="J259:K259"/>
    <mergeCell ref="G275:I275"/>
    <mergeCell ref="G260:I260"/>
    <mergeCell ref="J270:K270"/>
    <mergeCell ref="D273:F273"/>
    <mergeCell ref="D275:F275"/>
    <mergeCell ref="D277:F277"/>
    <mergeCell ref="D265:F265"/>
    <mergeCell ref="D269:F269"/>
    <mergeCell ref="G274:I274"/>
    <mergeCell ref="J275:K275"/>
    <mergeCell ref="G271:I271"/>
    <mergeCell ref="J272:K272"/>
    <mergeCell ref="G269:I269"/>
    <mergeCell ref="D263:F263"/>
    <mergeCell ref="J263:K263"/>
    <mergeCell ref="J267:K267"/>
    <mergeCell ref="J265:K265"/>
    <mergeCell ref="J266:K266"/>
    <mergeCell ref="D271:F271"/>
    <mergeCell ref="J269:K269"/>
    <mergeCell ref="G266:I266"/>
    <mergeCell ref="L262:M262"/>
    <mergeCell ref="L264:M264"/>
    <mergeCell ref="L265:M265"/>
    <mergeCell ref="J264:K264"/>
    <mergeCell ref="G265:I265"/>
    <mergeCell ref="G263:I263"/>
    <mergeCell ref="J262:K262"/>
    <mergeCell ref="L269:M269"/>
    <mergeCell ref="L277:M277"/>
    <mergeCell ref="J271:K271"/>
    <mergeCell ref="L273:M273"/>
    <mergeCell ref="L274:M274"/>
    <mergeCell ref="L270:M270"/>
    <mergeCell ref="Q276:R276"/>
    <mergeCell ref="O102:Q102"/>
    <mergeCell ref="G268:I268"/>
    <mergeCell ref="AA257:AG257"/>
    <mergeCell ref="AA244:AG244"/>
    <mergeCell ref="AB187:AJ187"/>
    <mergeCell ref="G276:I276"/>
    <mergeCell ref="G272:I272"/>
    <mergeCell ref="J276:K276"/>
    <mergeCell ref="J277:K277"/>
    <mergeCell ref="L566:N566"/>
    <mergeCell ref="O566:Q566"/>
    <mergeCell ref="R566:T566"/>
    <mergeCell ref="G283:I283"/>
    <mergeCell ref="J268:K268"/>
    <mergeCell ref="G262:I262"/>
    <mergeCell ref="FD335:FH335"/>
    <mergeCell ref="G241:M241"/>
    <mergeCell ref="G286:I286"/>
    <mergeCell ref="G288:I288"/>
    <mergeCell ref="G290:I290"/>
    <mergeCell ref="G270:I270"/>
    <mergeCell ref="J292:K292"/>
    <mergeCell ref="G279:I279"/>
    <mergeCell ref="J242:K242"/>
    <mergeCell ref="L193:R193"/>
    <mergeCell ref="AI226:AL226"/>
    <mergeCell ref="J280:K280"/>
    <mergeCell ref="L282:M282"/>
    <mergeCell ref="J273:K273"/>
    <mergeCell ref="V242:W242"/>
    <mergeCell ref="Y245:Z245"/>
    <mergeCell ref="Y251:Z251"/>
    <mergeCell ref="G267:I267"/>
    <mergeCell ref="Q203:R203"/>
    <mergeCell ref="M199:N199"/>
    <mergeCell ref="G261:I261"/>
    <mergeCell ref="O292:P292"/>
    <mergeCell ref="Q294:R294"/>
    <mergeCell ref="Q279:R279"/>
    <mergeCell ref="L278:M278"/>
    <mergeCell ref="L279:M279"/>
    <mergeCell ref="J279:K279"/>
    <mergeCell ref="Q278:R278"/>
    <mergeCell ref="BW333:BZ333"/>
    <mergeCell ref="CX335:DA335"/>
    <mergeCell ref="BY335:BZ335"/>
    <mergeCell ref="CH335:CK335"/>
    <mergeCell ref="CX334:DA334"/>
    <mergeCell ref="CO335:CP335"/>
    <mergeCell ref="CH334:CK334"/>
    <mergeCell ref="CM334:CN334"/>
    <mergeCell ref="CX332:DA332"/>
    <mergeCell ref="BW332:BZ332"/>
    <mergeCell ref="CH332:CK332"/>
    <mergeCell ref="CX333:DA333"/>
    <mergeCell ref="CM333:CP333"/>
    <mergeCell ref="L295:M295"/>
    <mergeCell ref="L293:M293"/>
    <mergeCell ref="N453:R453"/>
    <mergeCell ref="N447:R447"/>
    <mergeCell ref="N441:R441"/>
    <mergeCell ref="N456:R456"/>
    <mergeCell ref="N452:R452"/>
    <mergeCell ref="Q297:R297"/>
    <mergeCell ref="Y294:Z294"/>
    <mergeCell ref="T295:U295"/>
    <mergeCell ref="H447:L447"/>
    <mergeCell ref="G292:I292"/>
    <mergeCell ref="AU212:AV212"/>
    <mergeCell ref="N444:R444"/>
    <mergeCell ref="L291:M291"/>
    <mergeCell ref="H444:L444"/>
    <mergeCell ref="Q293:R293"/>
    <mergeCell ref="V568:X568"/>
    <mergeCell ref="H445:L445"/>
    <mergeCell ref="N448:R448"/>
    <mergeCell ref="L285:M285"/>
    <mergeCell ref="G284:I284"/>
    <mergeCell ref="G282:I282"/>
    <mergeCell ref="F610:H610"/>
    <mergeCell ref="F626:H626"/>
    <mergeCell ref="F613:H613"/>
    <mergeCell ref="F614:H614"/>
    <mergeCell ref="F616:H616"/>
    <mergeCell ref="F625:H625"/>
    <mergeCell ref="F619:H619"/>
    <mergeCell ref="F621:H621"/>
    <mergeCell ref="I566:K566"/>
    <mergeCell ref="F574:H574"/>
    <mergeCell ref="F575:H575"/>
    <mergeCell ref="F576:H576"/>
    <mergeCell ref="I570:K570"/>
    <mergeCell ref="F578:H578"/>
    <mergeCell ref="N460:R460"/>
    <mergeCell ref="N458:R458"/>
    <mergeCell ref="H459:L459"/>
    <mergeCell ref="N457:R457"/>
    <mergeCell ref="N454:R454"/>
    <mergeCell ref="H462:L462"/>
    <mergeCell ref="O571:Q571"/>
    <mergeCell ref="I567:K567"/>
    <mergeCell ref="D289:F289"/>
    <mergeCell ref="D291:F291"/>
    <mergeCell ref="F567:H567"/>
    <mergeCell ref="F568:H568"/>
    <mergeCell ref="AU448:AX448"/>
    <mergeCell ref="N459:R459"/>
    <mergeCell ref="AU449:AX449"/>
    <mergeCell ref="AU450:AX450"/>
    <mergeCell ref="AU453:AX453"/>
    <mergeCell ref="AU454:AX454"/>
    <mergeCell ref="AU452:AX452"/>
    <mergeCell ref="N449:R449"/>
    <mergeCell ref="N450:R450"/>
    <mergeCell ref="AU446:AX446"/>
    <mergeCell ref="AU447:AX447"/>
    <mergeCell ref="N451:R451"/>
    <mergeCell ref="N446:R446"/>
    <mergeCell ref="AU451:AX451"/>
    <mergeCell ref="AH290:AN290"/>
    <mergeCell ref="AH291:AN291"/>
    <mergeCell ref="AU441:AX441"/>
    <mergeCell ref="AU442:AX442"/>
    <mergeCell ref="AA294:AG294"/>
    <mergeCell ref="Y295:Z295"/>
    <mergeCell ref="Y297:Z297"/>
    <mergeCell ref="AA297:AG297"/>
    <mergeCell ref="AU427:AX427"/>
    <mergeCell ref="AU435:AX435"/>
    <mergeCell ref="AU443:AX443"/>
    <mergeCell ref="AU444:AX444"/>
    <mergeCell ref="F349:AN350"/>
    <mergeCell ref="AU438:AX438"/>
    <mergeCell ref="AU439:AX439"/>
    <mergeCell ref="AU440:AX440"/>
    <mergeCell ref="G293:I293"/>
    <mergeCell ref="L292:M292"/>
    <mergeCell ref="F633:H633"/>
    <mergeCell ref="F630:H630"/>
    <mergeCell ref="F648:H648"/>
    <mergeCell ref="F618:H618"/>
    <mergeCell ref="F627:H627"/>
    <mergeCell ref="F628:H628"/>
    <mergeCell ref="F620:H620"/>
    <mergeCell ref="F624:H624"/>
    <mergeCell ref="F639:H639"/>
    <mergeCell ref="F629:H629"/>
    <mergeCell ref="F631:H631"/>
    <mergeCell ref="F632:H632"/>
    <mergeCell ref="F607:H607"/>
    <mergeCell ref="F608:H608"/>
    <mergeCell ref="F566:H566"/>
    <mergeCell ref="I575:K575"/>
    <mergeCell ref="F573:H573"/>
    <mergeCell ref="I576:K576"/>
    <mergeCell ref="F569:H569"/>
    <mergeCell ref="F571:H571"/>
    <mergeCell ref="F570:H570"/>
    <mergeCell ref="F572:H572"/>
    <mergeCell ref="I675:K675"/>
    <mergeCell ref="I676:K676"/>
    <mergeCell ref="I636:K636"/>
    <mergeCell ref="I674:K674"/>
    <mergeCell ref="I646:K646"/>
    <mergeCell ref="I647:K647"/>
    <mergeCell ref="I656:K656"/>
    <mergeCell ref="I669:K669"/>
    <mergeCell ref="I653:K653"/>
    <mergeCell ref="I640:K640"/>
    <mergeCell ref="I644:K644"/>
    <mergeCell ref="I643:K643"/>
    <mergeCell ref="I624:K624"/>
    <mergeCell ref="I627:K627"/>
    <mergeCell ref="I638:K638"/>
    <mergeCell ref="I645:K645"/>
    <mergeCell ref="I632:K632"/>
    <mergeCell ref="I634:K634"/>
    <mergeCell ref="I637:K637"/>
    <mergeCell ref="I639:K639"/>
    <mergeCell ref="I641:K641"/>
    <mergeCell ref="I642:K642"/>
    <mergeCell ref="I605:K605"/>
    <mergeCell ref="I620:K620"/>
    <mergeCell ref="I625:K625"/>
    <mergeCell ref="I617:K617"/>
    <mergeCell ref="I619:K619"/>
    <mergeCell ref="I621:K621"/>
    <mergeCell ref="I623:K623"/>
    <mergeCell ref="I622:K622"/>
    <mergeCell ref="I618:K618"/>
    <mergeCell ref="I616:K616"/>
    <mergeCell ref="I590:K590"/>
    <mergeCell ref="I604:K604"/>
    <mergeCell ref="I597:K597"/>
    <mergeCell ref="I592:K592"/>
    <mergeCell ref="I594:K594"/>
    <mergeCell ref="I596:K596"/>
    <mergeCell ref="F609:H609"/>
    <mergeCell ref="F611:H611"/>
    <mergeCell ref="I573:K573"/>
    <mergeCell ref="I593:K593"/>
    <mergeCell ref="F691:H691"/>
    <mergeCell ref="F692:H692"/>
    <mergeCell ref="F693:H693"/>
    <mergeCell ref="F690:H690"/>
    <mergeCell ref="F694:H694"/>
    <mergeCell ref="F669:H669"/>
    <mergeCell ref="F671:H671"/>
    <mergeCell ref="F672:H672"/>
    <mergeCell ref="F673:H673"/>
    <mergeCell ref="F670:H670"/>
    <mergeCell ref="F657:H657"/>
    <mergeCell ref="F658:H658"/>
    <mergeCell ref="F655:H655"/>
    <mergeCell ref="F668:H668"/>
    <mergeCell ref="F660:H660"/>
    <mergeCell ref="F665:H665"/>
    <mergeCell ref="F659:H659"/>
    <mergeCell ref="F661:H661"/>
    <mergeCell ref="F662:H662"/>
    <mergeCell ref="F663:H663"/>
    <mergeCell ref="F649:H649"/>
    <mergeCell ref="F651:H651"/>
    <mergeCell ref="F652:H652"/>
    <mergeCell ref="F675:H675"/>
    <mergeCell ref="R580:T580"/>
    <mergeCell ref="O579:Q579"/>
    <mergeCell ref="O580:Q580"/>
    <mergeCell ref="R577:T577"/>
    <mergeCell ref="O583:Q583"/>
    <mergeCell ref="F622:H622"/>
    <mergeCell ref="F623:H623"/>
    <mergeCell ref="F615:H615"/>
    <mergeCell ref="F617:H617"/>
    <mergeCell ref="F596:H596"/>
    <mergeCell ref="F595:H595"/>
    <mergeCell ref="F606:H606"/>
    <mergeCell ref="F597:H597"/>
    <mergeCell ref="F598:H598"/>
    <mergeCell ref="F599:H599"/>
    <mergeCell ref="F600:H600"/>
    <mergeCell ref="F605:H605"/>
    <mergeCell ref="F612:H612"/>
    <mergeCell ref="F591:H591"/>
    <mergeCell ref="F592:H592"/>
    <mergeCell ref="F593:H593"/>
    <mergeCell ref="F594:H594"/>
    <mergeCell ref="R600:T600"/>
    <mergeCell ref="I601:K601"/>
    <mergeCell ref="L601:N601"/>
    <mergeCell ref="R601:T601"/>
    <mergeCell ref="O600:Q600"/>
    <mergeCell ref="O601:Q601"/>
    <mergeCell ref="L600:N600"/>
    <mergeCell ref="I600:K600"/>
    <mergeCell ref="R597:T597"/>
    <mergeCell ref="R599:T599"/>
    <mergeCell ref="O598:Q598"/>
    <mergeCell ref="O599:Q599"/>
    <mergeCell ref="O597:Q597"/>
    <mergeCell ref="I579:K579"/>
    <mergeCell ref="I578:K578"/>
    <mergeCell ref="I581:K581"/>
    <mergeCell ref="F577:H577"/>
    <mergeCell ref="F579:H579"/>
    <mergeCell ref="L569:N569"/>
    <mergeCell ref="V571:X571"/>
    <mergeCell ref="V573:X573"/>
    <mergeCell ref="V578:X578"/>
    <mergeCell ref="V583:X583"/>
    <mergeCell ref="V582:X582"/>
    <mergeCell ref="V580:X580"/>
    <mergeCell ref="V577:X577"/>
    <mergeCell ref="V579:X579"/>
    <mergeCell ref="V581:X581"/>
    <mergeCell ref="V572:X572"/>
    <mergeCell ref="V576:X576"/>
    <mergeCell ref="R573:T573"/>
    <mergeCell ref="O572:Q572"/>
    <mergeCell ref="L570:N570"/>
    <mergeCell ref="R571:T571"/>
    <mergeCell ref="L572:N572"/>
    <mergeCell ref="F687:H687"/>
    <mergeCell ref="F688:H688"/>
    <mergeCell ref="F689:H689"/>
    <mergeCell ref="F674:H674"/>
    <mergeCell ref="F676:H676"/>
    <mergeCell ref="F684:H684"/>
    <mergeCell ref="F686:H686"/>
    <mergeCell ref="F680:H680"/>
    <mergeCell ref="F685:H685"/>
    <mergeCell ref="F677:H677"/>
    <mergeCell ref="F581:H581"/>
    <mergeCell ref="F583:H583"/>
    <mergeCell ref="F582:H582"/>
    <mergeCell ref="R581:T581"/>
    <mergeCell ref="O581:Q581"/>
    <mergeCell ref="O582:Q582"/>
    <mergeCell ref="R578:T578"/>
    <mergeCell ref="O577:Q577"/>
    <mergeCell ref="O578:Q578"/>
    <mergeCell ref="L577:N577"/>
    <mergeCell ref="I577:K577"/>
    <mergeCell ref="R579:T579"/>
    <mergeCell ref="R618:T618"/>
    <mergeCell ref="R619:T619"/>
    <mergeCell ref="L617:N617"/>
    <mergeCell ref="L599:N599"/>
    <mergeCell ref="L595:N595"/>
    <mergeCell ref="L596:N596"/>
    <mergeCell ref="L619:N619"/>
    <mergeCell ref="L581:N581"/>
    <mergeCell ref="L583:N583"/>
    <mergeCell ref="L592:N592"/>
    <mergeCell ref="L575:N575"/>
    <mergeCell ref="L582:N582"/>
    <mergeCell ref="L579:N579"/>
    <mergeCell ref="L580:N580"/>
    <mergeCell ref="L578:N578"/>
    <mergeCell ref="L589:N589"/>
    <mergeCell ref="L584:N584"/>
    <mergeCell ref="L618:N618"/>
    <mergeCell ref="L673:N673"/>
    <mergeCell ref="I572:K572"/>
    <mergeCell ref="F634:H634"/>
    <mergeCell ref="F636:H636"/>
    <mergeCell ref="F635:H635"/>
    <mergeCell ref="F646:H646"/>
    <mergeCell ref="F637:H637"/>
    <mergeCell ref="L573:N573"/>
    <mergeCell ref="V590:X590"/>
    <mergeCell ref="R590:T590"/>
    <mergeCell ref="I591:K591"/>
    <mergeCell ref="L591:N591"/>
    <mergeCell ref="V591:X591"/>
    <mergeCell ref="R591:T591"/>
    <mergeCell ref="O590:Q590"/>
    <mergeCell ref="O591:Q591"/>
    <mergeCell ref="L590:N590"/>
    <mergeCell ref="V589:X589"/>
    <mergeCell ref="R589:T589"/>
    <mergeCell ref="O588:Q588"/>
    <mergeCell ref="O589:Q589"/>
    <mergeCell ref="V588:X588"/>
    <mergeCell ref="I588:K588"/>
    <mergeCell ref="L588:N588"/>
    <mergeCell ref="R588:T588"/>
    <mergeCell ref="I589:K589"/>
    <mergeCell ref="L586:N586"/>
    <mergeCell ref="V586:X586"/>
    <mergeCell ref="R586:T586"/>
    <mergeCell ref="O586:Q586"/>
    <mergeCell ref="I587:K587"/>
    <mergeCell ref="L587:N587"/>
    <mergeCell ref="V587:X587"/>
    <mergeCell ref="R587:T587"/>
    <mergeCell ref="O587:Q587"/>
    <mergeCell ref="I586:K586"/>
    <mergeCell ref="R582:T582"/>
    <mergeCell ref="V585:X585"/>
    <mergeCell ref="R585:T585"/>
    <mergeCell ref="O585:Q585"/>
    <mergeCell ref="L585:N585"/>
    <mergeCell ref="V584:X584"/>
    <mergeCell ref="R584:T584"/>
    <mergeCell ref="O584:Q584"/>
    <mergeCell ref="R583:T583"/>
    <mergeCell ref="R576:T576"/>
    <mergeCell ref="O576:Q576"/>
    <mergeCell ref="V575:X575"/>
    <mergeCell ref="R575:T575"/>
    <mergeCell ref="O575:Q575"/>
    <mergeCell ref="R574:T574"/>
    <mergeCell ref="O574:Q574"/>
    <mergeCell ref="V574:X574"/>
    <mergeCell ref="L574:N574"/>
    <mergeCell ref="O573:Q573"/>
    <mergeCell ref="L576:N576"/>
    <mergeCell ref="L593:N593"/>
    <mergeCell ref="R593:T593"/>
    <mergeCell ref="O592:Q592"/>
    <mergeCell ref="O593:Q593"/>
    <mergeCell ref="V594:X594"/>
    <mergeCell ref="R594:T594"/>
    <mergeCell ref="V593:X593"/>
    <mergeCell ref="V609:X609"/>
    <mergeCell ref="R609:T609"/>
    <mergeCell ref="O608:Q608"/>
    <mergeCell ref="O609:Q609"/>
    <mergeCell ref="V608:X608"/>
    <mergeCell ref="I608:K608"/>
    <mergeCell ref="L608:N608"/>
    <mergeCell ref="R608:T608"/>
    <mergeCell ref="I609:K609"/>
    <mergeCell ref="L609:N609"/>
    <mergeCell ref="V607:X607"/>
    <mergeCell ref="R607:T607"/>
    <mergeCell ref="O607:Q607"/>
    <mergeCell ref="I606:K606"/>
    <mergeCell ref="L606:N606"/>
    <mergeCell ref="V606:X606"/>
    <mergeCell ref="R606:T606"/>
    <mergeCell ref="O606:Q606"/>
    <mergeCell ref="O604:Q604"/>
    <mergeCell ref="O605:Q605"/>
    <mergeCell ref="I607:K607"/>
    <mergeCell ref="L607:N607"/>
    <mergeCell ref="V604:X604"/>
    <mergeCell ref="R604:T604"/>
    <mergeCell ref="V605:X605"/>
    <mergeCell ref="R605:T605"/>
    <mergeCell ref="L604:N604"/>
    <mergeCell ref="L605:N605"/>
    <mergeCell ref="V602:X602"/>
    <mergeCell ref="R602:T602"/>
    <mergeCell ref="I603:K603"/>
    <mergeCell ref="L603:N603"/>
    <mergeCell ref="R603:T603"/>
    <mergeCell ref="O602:Q602"/>
    <mergeCell ref="O603:Q603"/>
    <mergeCell ref="V603:X603"/>
    <mergeCell ref="L602:N602"/>
    <mergeCell ref="V600:X600"/>
    <mergeCell ref="V601:X601"/>
    <mergeCell ref="V599:X599"/>
    <mergeCell ref="V598:X598"/>
    <mergeCell ref="I598:K598"/>
    <mergeCell ref="I602:K602"/>
    <mergeCell ref="I613:K613"/>
    <mergeCell ref="L613:N613"/>
    <mergeCell ref="R613:T613"/>
    <mergeCell ref="O612:Q612"/>
    <mergeCell ref="O617:Q617"/>
    <mergeCell ref="L616:N616"/>
    <mergeCell ref="L615:N615"/>
    <mergeCell ref="I615:K615"/>
    <mergeCell ref="I614:K614"/>
    <mergeCell ref="R610:T610"/>
    <mergeCell ref="O613:Q613"/>
    <mergeCell ref="I611:K611"/>
    <mergeCell ref="L611:N611"/>
    <mergeCell ref="R611:T611"/>
    <mergeCell ref="O610:Q610"/>
    <mergeCell ref="O611:Q611"/>
    <mergeCell ref="L610:N610"/>
    <mergeCell ref="I610:K610"/>
    <mergeCell ref="I612:K612"/>
    <mergeCell ref="V615:X615"/>
    <mergeCell ref="V619:X619"/>
    <mergeCell ref="V613:X613"/>
    <mergeCell ref="V616:X616"/>
    <mergeCell ref="V618:X618"/>
    <mergeCell ref="V610:X610"/>
    <mergeCell ref="V612:X612"/>
    <mergeCell ref="V614:X614"/>
    <mergeCell ref="V617:X617"/>
    <mergeCell ref="V611:X611"/>
    <mergeCell ref="L612:N612"/>
    <mergeCell ref="L614:N614"/>
    <mergeCell ref="V595:X595"/>
    <mergeCell ref="R595:T595"/>
    <mergeCell ref="O595:Q595"/>
    <mergeCell ref="L598:N598"/>
    <mergeCell ref="R598:T598"/>
    <mergeCell ref="L597:N597"/>
    <mergeCell ref="V596:X596"/>
    <mergeCell ref="R596:T596"/>
    <mergeCell ref="V597:X597"/>
    <mergeCell ref="O596:Q596"/>
    <mergeCell ref="V624:X624"/>
    <mergeCell ref="I628:K628"/>
    <mergeCell ref="L628:N628"/>
    <mergeCell ref="R628:T628"/>
    <mergeCell ref="I629:K629"/>
    <mergeCell ref="L629:N629"/>
    <mergeCell ref="L627:N627"/>
    <mergeCell ref="I626:K626"/>
    <mergeCell ref="L626:N626"/>
    <mergeCell ref="L625:N625"/>
    <mergeCell ref="O625:Q625"/>
    <mergeCell ref="O626:Q626"/>
    <mergeCell ref="R627:T627"/>
    <mergeCell ref="O627:Q627"/>
    <mergeCell ref="R626:T626"/>
    <mergeCell ref="R623:T623"/>
    <mergeCell ref="L622:N622"/>
    <mergeCell ref="V622:X622"/>
    <mergeCell ref="R622:T622"/>
    <mergeCell ref="O622:Q622"/>
    <mergeCell ref="O623:Q623"/>
    <mergeCell ref="L623:N623"/>
    <mergeCell ref="R624:T624"/>
    <mergeCell ref="L621:N621"/>
    <mergeCell ref="V621:X621"/>
    <mergeCell ref="R621:T621"/>
    <mergeCell ref="V623:X623"/>
    <mergeCell ref="V628:X628"/>
    <mergeCell ref="V625:X625"/>
    <mergeCell ref="V627:X627"/>
    <mergeCell ref="V626:X626"/>
    <mergeCell ref="V620:X620"/>
    <mergeCell ref="R620:T620"/>
    <mergeCell ref="O620:Q620"/>
    <mergeCell ref="O621:Q621"/>
    <mergeCell ref="V635:X635"/>
    <mergeCell ref="R635:T635"/>
    <mergeCell ref="O635:Q635"/>
    <mergeCell ref="V640:X640"/>
    <mergeCell ref="R640:T640"/>
    <mergeCell ref="O640:Q640"/>
    <mergeCell ref="R637:T637"/>
    <mergeCell ref="V637:X637"/>
    <mergeCell ref="O636:Q636"/>
    <mergeCell ref="R636:T636"/>
    <mergeCell ref="R632:T632"/>
    <mergeCell ref="R639:T639"/>
    <mergeCell ref="R638:T638"/>
    <mergeCell ref="I633:K633"/>
    <mergeCell ref="L633:N633"/>
    <mergeCell ref="R633:T633"/>
    <mergeCell ref="O632:Q632"/>
    <mergeCell ref="O633:Q633"/>
    <mergeCell ref="L635:N635"/>
    <mergeCell ref="R634:T634"/>
    <mergeCell ref="I635:K635"/>
    <mergeCell ref="R630:T630"/>
    <mergeCell ref="I631:K631"/>
    <mergeCell ref="L631:N631"/>
    <mergeCell ref="O634:Q634"/>
    <mergeCell ref="V631:X631"/>
    <mergeCell ref="R631:T631"/>
    <mergeCell ref="O630:Q630"/>
    <mergeCell ref="O631:Q631"/>
    <mergeCell ref="I630:K630"/>
    <mergeCell ref="L630:N630"/>
    <mergeCell ref="V630:X630"/>
    <mergeCell ref="V632:X632"/>
    <mergeCell ref="V633:X633"/>
    <mergeCell ref="V638:X638"/>
    <mergeCell ref="V634:X634"/>
    <mergeCell ref="L634:N634"/>
    <mergeCell ref="L637:N637"/>
    <mergeCell ref="L639:N639"/>
    <mergeCell ref="L636:N636"/>
    <mergeCell ref="L638:N638"/>
    <mergeCell ref="V639:X639"/>
    <mergeCell ref="O639:Q639"/>
    <mergeCell ref="O637:Q637"/>
    <mergeCell ref="O638:Q638"/>
    <mergeCell ref="V650:X650"/>
    <mergeCell ref="I649:K649"/>
    <mergeCell ref="L649:N649"/>
    <mergeCell ref="V649:X649"/>
    <mergeCell ref="R649:T649"/>
    <mergeCell ref="O648:Q648"/>
    <mergeCell ref="O649:Q649"/>
    <mergeCell ref="L648:N648"/>
    <mergeCell ref="I648:K648"/>
    <mergeCell ref="L646:N646"/>
    <mergeCell ref="V646:X646"/>
    <mergeCell ref="R646:T646"/>
    <mergeCell ref="O646:Q646"/>
    <mergeCell ref="V647:X647"/>
    <mergeCell ref="R647:T647"/>
    <mergeCell ref="O647:Q647"/>
    <mergeCell ref="L647:N647"/>
    <mergeCell ref="L644:N644"/>
    <mergeCell ref="R644:T644"/>
    <mergeCell ref="O643:Q643"/>
    <mergeCell ref="O644:Q644"/>
    <mergeCell ref="O645:Q645"/>
    <mergeCell ref="L645:N645"/>
    <mergeCell ref="L643:N643"/>
    <mergeCell ref="R643:T643"/>
    <mergeCell ref="R645:T645"/>
    <mergeCell ref="L642:N642"/>
    <mergeCell ref="V642:X642"/>
    <mergeCell ref="R642:T642"/>
    <mergeCell ref="R650:T650"/>
    <mergeCell ref="R648:T648"/>
    <mergeCell ref="V643:X643"/>
    <mergeCell ref="V648:X648"/>
    <mergeCell ref="V645:X645"/>
    <mergeCell ref="V644:X644"/>
    <mergeCell ref="O642:Q642"/>
    <mergeCell ref="I650:K650"/>
    <mergeCell ref="L650:N650"/>
    <mergeCell ref="V651:X651"/>
    <mergeCell ref="R651:T651"/>
    <mergeCell ref="V673:X673"/>
    <mergeCell ref="V665:X665"/>
    <mergeCell ref="V670:X670"/>
    <mergeCell ref="V672:X672"/>
    <mergeCell ref="V669:X669"/>
    <mergeCell ref="V668:X668"/>
    <mergeCell ref="V667:X667"/>
    <mergeCell ref="V660:X660"/>
    <mergeCell ref="V666:X666"/>
    <mergeCell ref="R666:T666"/>
    <mergeCell ref="V662:X662"/>
    <mergeCell ref="V661:X661"/>
    <mergeCell ref="V663:X663"/>
    <mergeCell ref="V653:X653"/>
    <mergeCell ref="V658:X658"/>
    <mergeCell ref="V652:X652"/>
    <mergeCell ref="V659:X659"/>
    <mergeCell ref="V654:X654"/>
    <mergeCell ref="V657:X657"/>
    <mergeCell ref="O651:Q651"/>
    <mergeCell ref="I657:K657"/>
    <mergeCell ref="L657:N657"/>
    <mergeCell ref="I658:K658"/>
    <mergeCell ref="I662:K662"/>
    <mergeCell ref="L662:N662"/>
    <mergeCell ref="L663:N663"/>
    <mergeCell ref="I663:K663"/>
    <mergeCell ref="L665:N665"/>
    <mergeCell ref="I665:K665"/>
    <mergeCell ref="L664:N664"/>
    <mergeCell ref="V655:X655"/>
    <mergeCell ref="V656:X656"/>
    <mergeCell ref="I670:K670"/>
    <mergeCell ref="R670:T670"/>
    <mergeCell ref="L669:N669"/>
    <mergeCell ref="R669:T669"/>
    <mergeCell ref="O668:Q668"/>
    <mergeCell ref="O669:Q669"/>
    <mergeCell ref="I668:K668"/>
    <mergeCell ref="L659:N659"/>
    <mergeCell ref="L668:N668"/>
    <mergeCell ref="R668:T668"/>
    <mergeCell ref="I660:K660"/>
    <mergeCell ref="O663:Q663"/>
    <mergeCell ref="I651:K651"/>
    <mergeCell ref="L651:N651"/>
    <mergeCell ref="R665:T665"/>
    <mergeCell ref="R667:T667"/>
    <mergeCell ref="O664:Q664"/>
    <mergeCell ref="V677:X677"/>
    <mergeCell ref="O682:Q682"/>
    <mergeCell ref="V680:X680"/>
    <mergeCell ref="R680:T680"/>
    <mergeCell ref="R677:T677"/>
    <mergeCell ref="O678:Q678"/>
    <mergeCell ref="O680:Q680"/>
    <mergeCell ref="V679:X679"/>
    <mergeCell ref="R679:T679"/>
    <mergeCell ref="V678:X678"/>
    <mergeCell ref="O672:Q672"/>
    <mergeCell ref="O673:Q673"/>
    <mergeCell ref="I672:K672"/>
    <mergeCell ref="L672:N672"/>
    <mergeCell ref="R672:T672"/>
    <mergeCell ref="I673:K673"/>
    <mergeCell ref="R673:T673"/>
    <mergeCell ref="I671:K671"/>
    <mergeCell ref="L671:N671"/>
    <mergeCell ref="V671:X671"/>
    <mergeCell ref="R671:T671"/>
    <mergeCell ref="O670:Q670"/>
    <mergeCell ref="I659:K659"/>
    <mergeCell ref="I661:K661"/>
    <mergeCell ref="I667:K667"/>
    <mergeCell ref="I664:K664"/>
    <mergeCell ref="L661:N661"/>
    <mergeCell ref="L667:N667"/>
    <mergeCell ref="I666:K666"/>
    <mergeCell ref="L666:N666"/>
    <mergeCell ref="L653:N653"/>
    <mergeCell ref="R653:T653"/>
    <mergeCell ref="O652:Q652"/>
    <mergeCell ref="O653:Q653"/>
    <mergeCell ref="I652:K652"/>
    <mergeCell ref="L656:N656"/>
    <mergeCell ref="R656:T656"/>
    <mergeCell ref="L655:N655"/>
    <mergeCell ref="I654:K654"/>
    <mergeCell ref="I655:K655"/>
    <mergeCell ref="I678:K678"/>
    <mergeCell ref="I680:K680"/>
    <mergeCell ref="V676:X676"/>
    <mergeCell ref="V675:X675"/>
    <mergeCell ref="V674:X674"/>
    <mergeCell ref="R662:T662"/>
    <mergeCell ref="R659:T659"/>
    <mergeCell ref="O661:Q661"/>
    <mergeCell ref="O654:Q654"/>
    <mergeCell ref="O655:Q655"/>
    <mergeCell ref="O662:Q662"/>
    <mergeCell ref="O656:Q656"/>
    <mergeCell ref="O659:Q659"/>
    <mergeCell ref="O660:Q660"/>
    <mergeCell ref="R657:T657"/>
    <mergeCell ref="R658:T658"/>
    <mergeCell ref="R654:T654"/>
    <mergeCell ref="O657:Q657"/>
    <mergeCell ref="O658:Q658"/>
    <mergeCell ref="R655:T655"/>
    <mergeCell ref="R652:T652"/>
    <mergeCell ref="O681:Q681"/>
    <mergeCell ref="L680:N680"/>
    <mergeCell ref="O671:Q671"/>
    <mergeCell ref="I691:K691"/>
    <mergeCell ref="L691:N691"/>
    <mergeCell ref="L684:N684"/>
    <mergeCell ref="I686:K686"/>
    <mergeCell ref="L686:N686"/>
    <mergeCell ref="I679:K679"/>
    <mergeCell ref="I681:K681"/>
    <mergeCell ref="I683:K683"/>
    <mergeCell ref="I682:K682"/>
    <mergeCell ref="I694:K694"/>
    <mergeCell ref="L694:N694"/>
    <mergeCell ref="I693:K693"/>
    <mergeCell ref="L693:N693"/>
    <mergeCell ref="I692:K692"/>
    <mergeCell ref="L692:N692"/>
    <mergeCell ref="V694:X694"/>
    <mergeCell ref="R694:T694"/>
    <mergeCell ref="O693:Q693"/>
    <mergeCell ref="O694:Q694"/>
    <mergeCell ref="V693:X693"/>
    <mergeCell ref="V692:X692"/>
    <mergeCell ref="R692:T692"/>
    <mergeCell ref="O692:Q692"/>
    <mergeCell ref="R693:T693"/>
    <mergeCell ref="V690:X690"/>
    <mergeCell ref="R690:T690"/>
    <mergeCell ref="V691:X691"/>
    <mergeCell ref="R691:T691"/>
    <mergeCell ref="O690:Q690"/>
    <mergeCell ref="O691:Q691"/>
    <mergeCell ref="R688:T688"/>
    <mergeCell ref="I689:K689"/>
    <mergeCell ref="L689:N689"/>
    <mergeCell ref="V689:X689"/>
    <mergeCell ref="R689:T689"/>
    <mergeCell ref="O688:Q688"/>
    <mergeCell ref="O689:Q689"/>
    <mergeCell ref="V688:X688"/>
    <mergeCell ref="I688:K688"/>
    <mergeCell ref="L688:N688"/>
    <mergeCell ref="V687:X687"/>
    <mergeCell ref="R687:T687"/>
    <mergeCell ref="L683:N683"/>
    <mergeCell ref="L681:N681"/>
    <mergeCell ref="I690:K690"/>
    <mergeCell ref="V685:X685"/>
    <mergeCell ref="R685:T685"/>
    <mergeCell ref="O685:Q685"/>
    <mergeCell ref="V686:X686"/>
    <mergeCell ref="R686:T686"/>
    <mergeCell ref="O686:Q686"/>
    <mergeCell ref="V682:X682"/>
    <mergeCell ref="R682:T682"/>
    <mergeCell ref="I685:K685"/>
    <mergeCell ref="I684:K684"/>
    <mergeCell ref="O683:Q683"/>
    <mergeCell ref="O684:Q684"/>
    <mergeCell ref="V683:X683"/>
    <mergeCell ref="V684:X684"/>
    <mergeCell ref="R684:T684"/>
    <mergeCell ref="L682:N682"/>
    <mergeCell ref="V681:X681"/>
    <mergeCell ref="R681:T681"/>
    <mergeCell ref="R683:T683"/>
    <mergeCell ref="L641:N641"/>
    <mergeCell ref="O650:Q650"/>
    <mergeCell ref="L624:N624"/>
    <mergeCell ref="R592:T592"/>
    <mergeCell ref="V569:X569"/>
    <mergeCell ref="R569:T569"/>
    <mergeCell ref="V570:X570"/>
    <mergeCell ref="R570:T570"/>
    <mergeCell ref="R572:T572"/>
    <mergeCell ref="D727:F727"/>
    <mergeCell ref="G702:J702"/>
    <mergeCell ref="G703:J703"/>
    <mergeCell ref="G704:J704"/>
    <mergeCell ref="G705:J705"/>
    <mergeCell ref="G706:J706"/>
    <mergeCell ref="G707:J707"/>
    <mergeCell ref="G708:J708"/>
    <mergeCell ref="G709:J709"/>
    <mergeCell ref="G710:J710"/>
    <mergeCell ref="D721:F721"/>
    <mergeCell ref="D722:F722"/>
    <mergeCell ref="D723:F723"/>
    <mergeCell ref="D724:F724"/>
    <mergeCell ref="D725:F725"/>
    <mergeCell ref="D726:F726"/>
    <mergeCell ref="D715:F715"/>
    <mergeCell ref="D716:F716"/>
    <mergeCell ref="D717:F717"/>
    <mergeCell ref="D718:F718"/>
    <mergeCell ref="D719:F719"/>
    <mergeCell ref="D720:F720"/>
    <mergeCell ref="D709:F709"/>
    <mergeCell ref="D710:F710"/>
    <mergeCell ref="D711:F711"/>
    <mergeCell ref="D712:F712"/>
    <mergeCell ref="D713:F713"/>
    <mergeCell ref="D714:F714"/>
    <mergeCell ref="D703:F703"/>
    <mergeCell ref="D704:F704"/>
    <mergeCell ref="D705:F705"/>
    <mergeCell ref="D706:F706"/>
    <mergeCell ref="D707:F707"/>
    <mergeCell ref="D708:F708"/>
    <mergeCell ref="D702:F702"/>
    <mergeCell ref="G725:J725"/>
    <mergeCell ref="G726:J726"/>
    <mergeCell ref="L690:N690"/>
    <mergeCell ref="L685:N685"/>
    <mergeCell ref="L679:N679"/>
    <mergeCell ref="O675:Q675"/>
    <mergeCell ref="O676:Q676"/>
    <mergeCell ref="R674:T674"/>
    <mergeCell ref="O674:Q674"/>
    <mergeCell ref="O679:Q679"/>
    <mergeCell ref="I687:K687"/>
    <mergeCell ref="L687:N687"/>
    <mergeCell ref="R678:T678"/>
    <mergeCell ref="O677:Q677"/>
    <mergeCell ref="R675:T675"/>
    <mergeCell ref="I677:K677"/>
    <mergeCell ref="L676:N676"/>
    <mergeCell ref="R676:T676"/>
    <mergeCell ref="L678:N678"/>
    <mergeCell ref="O687:Q687"/>
    <mergeCell ref="C299:C301"/>
    <mergeCell ref="S715:U715"/>
    <mergeCell ref="S716:U716"/>
    <mergeCell ref="S717:U717"/>
    <mergeCell ref="S708:U708"/>
    <mergeCell ref="P726:R726"/>
    <mergeCell ref="S718:U718"/>
    <mergeCell ref="S723:U723"/>
    <mergeCell ref="S722:U722"/>
    <mergeCell ref="X718:AB718"/>
    <mergeCell ref="X713:AB713"/>
    <mergeCell ref="X714:AB714"/>
    <mergeCell ref="X722:AB722"/>
    <mergeCell ref="S720:U720"/>
    <mergeCell ref="P722:R722"/>
    <mergeCell ref="S707:U707"/>
    <mergeCell ref="X721:AB721"/>
    <mergeCell ref="X712:AB712"/>
    <mergeCell ref="X710:AB710"/>
    <mergeCell ref="X711:AB711"/>
    <mergeCell ref="X717:AB717"/>
    <mergeCell ref="S714:U714"/>
    <mergeCell ref="S719:U719"/>
    <mergeCell ref="X709:AB709"/>
    <mergeCell ref="S709:U709"/>
    <mergeCell ref="S710:U710"/>
    <mergeCell ref="S711:U711"/>
    <mergeCell ref="S713:U713"/>
    <mergeCell ref="S712:U712"/>
    <mergeCell ref="K724:N724"/>
    <mergeCell ref="K713:N713"/>
    <mergeCell ref="K714:N714"/>
    <mergeCell ref="K715:N715"/>
    <mergeCell ref="K716:N716"/>
    <mergeCell ref="K717:N717"/>
    <mergeCell ref="K725:N725"/>
    <mergeCell ref="K720:N720"/>
    <mergeCell ref="K721:N721"/>
    <mergeCell ref="K722:N722"/>
    <mergeCell ref="K723:N723"/>
    <mergeCell ref="K726:N726"/>
    <mergeCell ref="S701:U701"/>
    <mergeCell ref="S702:U702"/>
    <mergeCell ref="S703:U703"/>
    <mergeCell ref="S704:U704"/>
    <mergeCell ref="S705:U705"/>
    <mergeCell ref="S706:U706"/>
    <mergeCell ref="K718:N718"/>
    <mergeCell ref="K719:N719"/>
    <mergeCell ref="K712:N712"/>
    <mergeCell ref="K706:N706"/>
    <mergeCell ref="K707:N707"/>
    <mergeCell ref="K708:N708"/>
    <mergeCell ref="K709:N709"/>
    <mergeCell ref="K710:N710"/>
    <mergeCell ref="K711:N711"/>
    <mergeCell ref="P723:R723"/>
    <mergeCell ref="P724:R724"/>
    <mergeCell ref="P725:R725"/>
    <mergeCell ref="K700:N700"/>
    <mergeCell ref="K701:N701"/>
    <mergeCell ref="K702:N702"/>
    <mergeCell ref="G723:J723"/>
    <mergeCell ref="G724:J724"/>
    <mergeCell ref="G727:J727"/>
    <mergeCell ref="G718:J718"/>
    <mergeCell ref="G719:J719"/>
    <mergeCell ref="G720:J720"/>
    <mergeCell ref="G721:J721"/>
    <mergeCell ref="G722:J722"/>
    <mergeCell ref="P703:R703"/>
    <mergeCell ref="G717:J717"/>
    <mergeCell ref="P714:R714"/>
    <mergeCell ref="P716:R716"/>
    <mergeCell ref="P717:R717"/>
    <mergeCell ref="K705:N705"/>
    <mergeCell ref="G711:J711"/>
    <mergeCell ref="G712:J712"/>
    <mergeCell ref="G713:J713"/>
    <mergeCell ref="G714:J714"/>
    <mergeCell ref="G715:J715"/>
    <mergeCell ref="G716:J716"/>
    <mergeCell ref="P701:R701"/>
    <mergeCell ref="P702:R702"/>
    <mergeCell ref="X701:AB701"/>
    <mergeCell ref="X702:AB702"/>
    <mergeCell ref="O667:Q667"/>
    <mergeCell ref="R663:T663"/>
    <mergeCell ref="G701:J701"/>
    <mergeCell ref="T297:U297"/>
    <mergeCell ref="V297:W297"/>
    <mergeCell ref="R664:T664"/>
    <mergeCell ref="Z86:Z88"/>
    <mergeCell ref="X122:Z122"/>
    <mergeCell ref="K703:N703"/>
    <mergeCell ref="K704:N704"/>
    <mergeCell ref="X716:AB716"/>
    <mergeCell ref="X715:AB715"/>
    <mergeCell ref="AB201:AJ201"/>
    <mergeCell ref="AA243:AG243"/>
    <mergeCell ref="P727:R727"/>
    <mergeCell ref="X719:AB719"/>
    <mergeCell ref="X720:AB720"/>
    <mergeCell ref="X727:AB727"/>
    <mergeCell ref="X726:AB726"/>
    <mergeCell ref="X724:AB724"/>
    <mergeCell ref="S724:U724"/>
    <mergeCell ref="P721:R721"/>
    <mergeCell ref="X723:AB723"/>
    <mergeCell ref="S725:U725"/>
    <mergeCell ref="S727:U727"/>
    <mergeCell ref="X725:AB725"/>
    <mergeCell ref="S726:U726"/>
    <mergeCell ref="S721:U721"/>
    <mergeCell ref="K727:N727"/>
    <mergeCell ref="P715:R715"/>
    <mergeCell ref="P718:R718"/>
    <mergeCell ref="P719:R719"/>
    <mergeCell ref="P720:R720"/>
    <mergeCell ref="P709:R709"/>
    <mergeCell ref="P710:R710"/>
    <mergeCell ref="P711:R711"/>
    <mergeCell ref="P712:R712"/>
    <mergeCell ref="P713:R713"/>
    <mergeCell ref="V641:X641"/>
    <mergeCell ref="R641:T641"/>
    <mergeCell ref="O641:Q641"/>
    <mergeCell ref="O624:Q624"/>
    <mergeCell ref="H56:S56"/>
    <mergeCell ref="O90:Q90"/>
    <mergeCell ref="O86:Q86"/>
    <mergeCell ref="T195:V195"/>
    <mergeCell ref="Q13:AA13"/>
    <mergeCell ref="AU88:AX88"/>
    <mergeCell ref="BA164:BC164"/>
    <mergeCell ref="BB96:BC96"/>
    <mergeCell ref="AZ151:BA151"/>
    <mergeCell ref="BB102:BC102"/>
    <mergeCell ref="AY135:BA135"/>
    <mergeCell ref="O94:Q94"/>
    <mergeCell ref="J116:P116"/>
    <mergeCell ref="AA295:AG295"/>
    <mergeCell ref="X707:AB707"/>
    <mergeCell ref="X708:AB708"/>
    <mergeCell ref="X703:AB703"/>
    <mergeCell ref="AA242:AG242"/>
    <mergeCell ref="X704:AB704"/>
    <mergeCell ref="X705:AB705"/>
    <mergeCell ref="X706:AB706"/>
    <mergeCell ref="V664:X664"/>
    <mergeCell ref="V636:X636"/>
    <mergeCell ref="AP186:AT195"/>
    <mergeCell ref="AH274:AN274"/>
    <mergeCell ref="AZ155:BA155"/>
    <mergeCell ref="AZ157:BA157"/>
    <mergeCell ref="Q166:T166"/>
    <mergeCell ref="AB166:AJ166"/>
    <mergeCell ref="Y104:Z104"/>
    <mergeCell ref="T92:U92"/>
    <mergeCell ref="V88:W88"/>
    <mergeCell ref="T155:U155"/>
    <mergeCell ref="R660:T660"/>
    <mergeCell ref="AY94:BA94"/>
    <mergeCell ref="O297:P297"/>
    <mergeCell ref="BA175:BC175"/>
    <mergeCell ref="AV143:AW143"/>
    <mergeCell ref="AY137:BA137"/>
    <mergeCell ref="AY139:BA139"/>
    <mergeCell ref="AV135:AW135"/>
    <mergeCell ref="AY141:BA141"/>
    <mergeCell ref="Y289:Z289"/>
    <mergeCell ref="Y288:Z288"/>
    <mergeCell ref="R661:T661"/>
    <mergeCell ref="O666:Q666"/>
    <mergeCell ref="O665:Q665"/>
    <mergeCell ref="V629:X629"/>
    <mergeCell ref="R629:T629"/>
    <mergeCell ref="O628:Q628"/>
    <mergeCell ref="O629:Q629"/>
    <mergeCell ref="R625:T625"/>
    <mergeCell ref="O619:Q619"/>
    <mergeCell ref="O618:Q618"/>
    <mergeCell ref="R614:T614"/>
    <mergeCell ref="O614:Q614"/>
    <mergeCell ref="R615:T615"/>
    <mergeCell ref="R616:T616"/>
    <mergeCell ref="O615:Q615"/>
    <mergeCell ref="R617:T617"/>
    <mergeCell ref="O616:Q616"/>
    <mergeCell ref="R612:T612"/>
    <mergeCell ref="O594:Q594"/>
    <mergeCell ref="V592:X592"/>
    <mergeCell ref="AY54:BE54"/>
    <mergeCell ref="AY56:BE56"/>
    <mergeCell ref="AY58:BE58"/>
    <mergeCell ref="BI44:BN58"/>
    <mergeCell ref="BB92:BC92"/>
    <mergeCell ref="AY92:BA92"/>
    <mergeCell ref="BA179:BC179"/>
    <mergeCell ref="J15:X15"/>
    <mergeCell ref="T179:U179"/>
    <mergeCell ref="AP203:AT203"/>
    <mergeCell ref="X139:Z139"/>
    <mergeCell ref="X143:Z143"/>
    <mergeCell ref="X153:Z153"/>
    <mergeCell ref="BB94:BC94"/>
    <mergeCell ref="AY96:BA96"/>
    <mergeCell ref="AY52:BE52"/>
    <mergeCell ref="AP121:AT130"/>
    <mergeCell ref="BJ162:BK162"/>
    <mergeCell ref="AU117:AW117"/>
    <mergeCell ref="AU118:AW118"/>
    <mergeCell ref="AU120:AW120"/>
    <mergeCell ref="BJ149:BK149"/>
    <mergeCell ref="BJ155:BK155"/>
    <mergeCell ref="BJ157:BK157"/>
    <mergeCell ref="BJ159:BK159"/>
    <mergeCell ref="AV141:AW141"/>
    <mergeCell ref="AY102:BA102"/>
    <mergeCell ref="BJ170:BK170"/>
    <mergeCell ref="BJ137:BK137"/>
    <mergeCell ref="BJ141:BK141"/>
    <mergeCell ref="BJ143:BK143"/>
    <mergeCell ref="BJ147:BK147"/>
    <mergeCell ref="BJ168:BK168"/>
    <mergeCell ref="BJ164:BK164"/>
    <mergeCell ref="AZ153:BA153"/>
    <mergeCell ref="AY143:BA143"/>
    <mergeCell ref="AY147:BA147"/>
    <mergeCell ref="AG179:AJ179"/>
    <mergeCell ref="AA92:AI92"/>
    <mergeCell ref="BA31:BC31"/>
    <mergeCell ref="AV137:AW137"/>
    <mergeCell ref="AD19:AN35"/>
    <mergeCell ref="AU84:AX84"/>
    <mergeCell ref="AL122:AN122"/>
    <mergeCell ref="AL120:AN120"/>
    <mergeCell ref="AP201:AT201"/>
    <mergeCell ref="BA174:BC174"/>
    <mergeCell ref="BA187:BC187"/>
    <mergeCell ref="BA185:BC185"/>
    <mergeCell ref="AP161:AT168"/>
    <mergeCell ref="AU114:AW114"/>
    <mergeCell ref="X90:Y90"/>
    <mergeCell ref="T40:X40"/>
    <mergeCell ref="AU36:AV36"/>
    <mergeCell ref="AD36:AN48"/>
    <mergeCell ref="AU86:AX86"/>
    <mergeCell ref="AL118:AN118"/>
    <mergeCell ref="AU38:AV38"/>
    <mergeCell ref="AV139:AW139"/>
    <mergeCell ref="AP179:AT183"/>
    <mergeCell ref="AP174:AT175"/>
    <mergeCell ref="T96:U96"/>
    <mergeCell ref="T177:U177"/>
    <mergeCell ref="T139:U139"/>
    <mergeCell ref="X145:Z145"/>
    <mergeCell ref="BY137:CA137"/>
    <mergeCell ref="BY139:CA139"/>
    <mergeCell ref="AE145:AJ145"/>
    <mergeCell ref="AV145:AW145"/>
    <mergeCell ref="AY145:BA145"/>
    <mergeCell ref="BY145:CA145"/>
    <mergeCell ref="BY147:CA147"/>
    <mergeCell ref="BY149:CA149"/>
    <mergeCell ref="BY151:CA151"/>
    <mergeCell ref="BY153:CA153"/>
    <mergeCell ref="BV157:BX157"/>
    <mergeCell ref="BY155:CA155"/>
    <mergeCell ref="BY157:CA157"/>
    <mergeCell ref="BP147:BR147"/>
    <mergeCell ref="BP148:BR148"/>
    <mergeCell ref="BY148:CA148"/>
    <mergeCell ref="BP149:BR149"/>
    <mergeCell ref="BP150:BR150"/>
    <mergeCell ref="BY150:CA150"/>
    <mergeCell ref="BP151:BR151"/>
    <mergeCell ref="BP152:BR152"/>
    <mergeCell ref="BY152:CA152"/>
    <mergeCell ref="BP153:BR153"/>
    <mergeCell ref="BP154:BR154"/>
    <mergeCell ref="BY154:CA154"/>
    <mergeCell ref="BS155:BU155"/>
    <mergeCell ref="BP156:BR156"/>
    <mergeCell ref="BY156:CA156"/>
    <mergeCell ref="BP158:BR158"/>
    <mergeCell ref="BY158:CA158"/>
    <mergeCell ref="AP133:AT159"/>
    <mergeCell ref="BV159:BX159"/>
    <mergeCell ref="BY159:CA159"/>
    <mergeCell ref="BV145:BX145"/>
    <mergeCell ref="BN107:BO107"/>
    <mergeCell ref="BK107:BL107"/>
    <mergeCell ref="BR107:BS107"/>
    <mergeCell ref="BK108:BL108"/>
    <mergeCell ref="BN108:BO108"/>
    <mergeCell ref="BR108:BS108"/>
    <mergeCell ref="BK109:BL109"/>
    <mergeCell ref="BN109:BO109"/>
    <mergeCell ref="BR109:BS109"/>
    <mergeCell ref="BK110:BL110"/>
    <mergeCell ref="BN110:BO110"/>
    <mergeCell ref="BR110:BS110"/>
    <mergeCell ref="BS147:BU147"/>
    <mergeCell ref="BS148:BU148"/>
    <mergeCell ref="BS149:BU149"/>
    <mergeCell ref="BS150:BU150"/>
    <mergeCell ref="BS151:BU151"/>
    <mergeCell ref="BS152:BU152"/>
    <mergeCell ref="BS153:BU153"/>
    <mergeCell ref="BS154:BU154"/>
    <mergeCell ref="BS156:BU156"/>
    <mergeCell ref="BS158:BU158"/>
    <mergeCell ref="AL137:AN137"/>
    <mergeCell ref="BV147:BX147"/>
    <mergeCell ref="BV148:BX148"/>
    <mergeCell ref="BV149:BX149"/>
    <mergeCell ref="BV150:BX150"/>
    <mergeCell ref="BV151:BX151"/>
    <mergeCell ref="BV152:BX152"/>
    <mergeCell ref="BV153:BX153"/>
    <mergeCell ref="BV154:BX154"/>
    <mergeCell ref="BV155:BX155"/>
    <mergeCell ref="BV156:BX156"/>
    <mergeCell ref="BV158:BX158"/>
    <mergeCell ref="AL139:AN139"/>
    <mergeCell ref="AL141:AN141"/>
    <mergeCell ref="AL143:AN143"/>
    <mergeCell ref="AL145:AN145"/>
  </mergeCells>
  <phoneticPr fontId="0" type="noConversion"/>
  <conditionalFormatting sqref="DK338:DN338 DQ338:DT338 EA338:EE338 BH338:BK338 BR338:BU338 BX338:CA339 CH338:CK338 CN338:CQ338 CX338:DA338 DD338:DG338 EA339:ED339">
    <cfRule type="expression" dxfId="127" priority="122" stopIfTrue="1">
      <formula>$BE$338=0</formula>
    </cfRule>
  </conditionalFormatting>
  <conditionalFormatting sqref="DK339:DN339 DQ339:DT339 DD339:DG339 BH339:BK339 BR339:BU339 CN339:CQ339 CH339:CK339 CX339:DA339 EE339">
    <cfRule type="expression" dxfId="126" priority="123" stopIfTrue="1">
      <formula>$BE$339=0</formula>
    </cfRule>
  </conditionalFormatting>
  <conditionalFormatting sqref="DK340:DN340 DQ340:DT340 EA340:EE340 BH340:BK340 BR340:BU340 CH340:CK340 CN340:CQ340 BX340:CA340 CX340:DA340 DD340:DG340">
    <cfRule type="expression" dxfId="125" priority="124" stopIfTrue="1">
      <formula>$BE$340=0</formula>
    </cfRule>
  </conditionalFormatting>
  <conditionalFormatting sqref="DK341:DN341 DQ341:DT341 EA341:EE341 BH341:BK341 BR341:BU341 BX341:CA341 CH341:CK341 CN341:CQ341 CX341:DA341 DD341:DG341">
    <cfRule type="expression" dxfId="124" priority="125" stopIfTrue="1">
      <formula>$BE$341=0</formula>
    </cfRule>
  </conditionalFormatting>
  <conditionalFormatting sqref="DK342:DN342 DQ342:DT342 EA342:EE342 BH342:BK342 BR342:BU342 BX342:CA342 CH342:CK342 CN342:CQ342 CX342:DA342 DD342:DG342">
    <cfRule type="expression" dxfId="123" priority="126" stopIfTrue="1">
      <formula>$BE$342=0</formula>
    </cfRule>
  </conditionalFormatting>
  <conditionalFormatting sqref="DK343:DN343 DQ343:DT343 EA343:EE343 BH343:BK343 BR343:BU343 BX343:CA343 CH343:CK343 CN343:CQ343 CX343:DA343 DD343:DG343">
    <cfRule type="expression" dxfId="122" priority="127" stopIfTrue="1">
      <formula>$BE$343=0</formula>
    </cfRule>
  </conditionalFormatting>
  <conditionalFormatting sqref="DK344:DN344 DQ344:DT344 EA344:EE344 BH344:BK344 BR344:BU344 BX344:CA344 CH344:CK344 CN344:CQ344 CX344:DA344 DD344:DG344">
    <cfRule type="expression" dxfId="121" priority="128" stopIfTrue="1">
      <formula>$BE$344=0</formula>
    </cfRule>
  </conditionalFormatting>
  <conditionalFormatting sqref="DK345:DN345 DQ345:DT345 EA345:EE345 BH345:BK345 BR345:BU345 BX345:CA345 CH345:CK345 CN345:CQ345 CX345:DA345 DD345:DG345">
    <cfRule type="expression" dxfId="120" priority="129" stopIfTrue="1">
      <formula>$BE$345=0</formula>
    </cfRule>
  </conditionalFormatting>
  <conditionalFormatting sqref="DK346:DN346 DQ346:DT346 EA346:EE346 BH346:BK346 BR346:BU346 BX346:CA346 CH346:CK346 CN346:CQ346 CX346:DA346 DD346:DG346">
    <cfRule type="expression" dxfId="119" priority="130" stopIfTrue="1">
      <formula>$BE$346=0</formula>
    </cfRule>
  </conditionalFormatting>
  <conditionalFormatting sqref="DK347:DN347 DQ347:DT347 EA347:EE347 BH347:BK347 BR347:BU347 BX347:CA347 CH347:CK347 CN347:CQ347 CX347:DA347 DD347:DG347">
    <cfRule type="expression" dxfId="118" priority="131" stopIfTrue="1">
      <formula>$BE$347=0</formula>
    </cfRule>
  </conditionalFormatting>
  <conditionalFormatting sqref="DK348:DN348 DQ348:DT348 EA348:EE348 BH348:BK348 BR348:BU348 BX348:CA348 CH348:CK348 CN348:CQ348 CX348:DA348 DD348:DG348">
    <cfRule type="expression" dxfId="117" priority="132" stopIfTrue="1">
      <formula>$BE$348=0</formula>
    </cfRule>
  </conditionalFormatting>
  <conditionalFormatting sqref="DK349:DN349 DQ349:DT349 EA349:EE349 BH349:BK349 BR349:BU349 BX349:CA349 CH349:CK349 CN349:CQ349 CX349:DA349 DD349:DG349">
    <cfRule type="expression" dxfId="116" priority="133" stopIfTrue="1">
      <formula>$BE$349=0</formula>
    </cfRule>
  </conditionalFormatting>
  <conditionalFormatting sqref="T185:V185">
    <cfRule type="expression" dxfId="115" priority="135" stopIfTrue="1">
      <formula>$T$187&gt;0.00001</formula>
    </cfRule>
  </conditionalFormatting>
  <conditionalFormatting sqref="T191:V191">
    <cfRule type="expression" dxfId="114" priority="136" stopIfTrue="1">
      <formula>$T$189&gt;0.00001</formula>
    </cfRule>
  </conditionalFormatting>
  <conditionalFormatting sqref="T189:V189">
    <cfRule type="expression" dxfId="113" priority="137" stopIfTrue="1">
      <formula>$T$191&gt;0.00001</formula>
    </cfRule>
  </conditionalFormatting>
  <conditionalFormatting sqref="F399">
    <cfRule type="expression" dxfId="112" priority="139" stopIfTrue="1">
      <formula>$Q$475=1</formula>
    </cfRule>
  </conditionalFormatting>
  <conditionalFormatting sqref="F400">
    <cfRule type="expression" dxfId="111" priority="140" stopIfTrue="1">
      <formula>$Q$476=1</formula>
    </cfRule>
  </conditionalFormatting>
  <conditionalFormatting sqref="F401">
    <cfRule type="expression" dxfId="110" priority="141" stopIfTrue="1">
      <formula>$Q$477=1</formula>
    </cfRule>
  </conditionalFormatting>
  <conditionalFormatting sqref="F402">
    <cfRule type="expression" dxfId="109" priority="142" stopIfTrue="1">
      <formula>$Q$478=1</formula>
    </cfRule>
  </conditionalFormatting>
  <conditionalFormatting sqref="F403">
    <cfRule type="expression" dxfId="108" priority="143" stopIfTrue="1">
      <formula>$Q$478=1</formula>
    </cfRule>
  </conditionalFormatting>
  <conditionalFormatting sqref="G399:AN399">
    <cfRule type="expression" dxfId="107" priority="144" stopIfTrue="1">
      <formula>$X$475&gt;0</formula>
    </cfRule>
  </conditionalFormatting>
  <conditionalFormatting sqref="G402:AN402">
    <cfRule type="expression" dxfId="106" priority="145" stopIfTrue="1">
      <formula>$X$478&gt;0</formula>
    </cfRule>
  </conditionalFormatting>
  <conditionalFormatting sqref="S92">
    <cfRule type="expression" dxfId="105" priority="147" stopIfTrue="1">
      <formula>$R$92="A"</formula>
    </cfRule>
  </conditionalFormatting>
  <conditionalFormatting sqref="S94">
    <cfRule type="expression" dxfId="104" priority="148" stopIfTrue="1">
      <formula>$R$94="a"</formula>
    </cfRule>
  </conditionalFormatting>
  <conditionalFormatting sqref="S96">
    <cfRule type="expression" dxfId="103" priority="149" stopIfTrue="1">
      <formula>$R$96="a"</formula>
    </cfRule>
  </conditionalFormatting>
  <conditionalFormatting sqref="V92:W92">
    <cfRule type="expression" dxfId="102" priority="150" stopIfTrue="1">
      <formula>$R$92="A"</formula>
    </cfRule>
  </conditionalFormatting>
  <conditionalFormatting sqref="V94:W94">
    <cfRule type="expression" dxfId="101" priority="151" stopIfTrue="1">
      <formula>$R$94="A"</formula>
    </cfRule>
  </conditionalFormatting>
  <conditionalFormatting sqref="V96:W96">
    <cfRule type="expression" dxfId="100" priority="152" stopIfTrue="1">
      <formula>$R$96="A"</formula>
    </cfRule>
  </conditionalFormatting>
  <conditionalFormatting sqref="AA85:AM85">
    <cfRule type="expression" dxfId="99" priority="153" stopIfTrue="1">
      <formula>($O$92+$O$94+$O$96+#REF!)&gt;$T$33</formula>
    </cfRule>
  </conditionalFormatting>
  <conditionalFormatting sqref="AA102:AI102 AA94:AI94">
    <cfRule type="expression" dxfId="98" priority="154" stopIfTrue="1">
      <formula>AND(($AA$92+$AA$94+$AA$96+$AA$102)&gt;$T$33)</formula>
    </cfRule>
  </conditionalFormatting>
  <conditionalFormatting sqref="AA96:AI96">
    <cfRule type="expression" dxfId="97" priority="155" stopIfTrue="1">
      <formula>AND(($AA$92+$AA$94+$AA$96+$AA$102)&gt;$T$33)</formula>
    </cfRule>
  </conditionalFormatting>
  <conditionalFormatting sqref="F106:AM110">
    <cfRule type="expression" dxfId="96" priority="156" stopIfTrue="1">
      <formula>$N$477&gt;20</formula>
    </cfRule>
  </conditionalFormatting>
  <conditionalFormatting sqref="H374:AO376">
    <cfRule type="expression" dxfId="95" priority="162" stopIfTrue="1">
      <formula>$Y$695&gt;0</formula>
    </cfRule>
  </conditionalFormatting>
  <conditionalFormatting sqref="K175:AM176 K180:AM180 W177:AM177 K177:S179 X178:AM178 X179:AG179 AK179:AM179">
    <cfRule type="expression" dxfId="94" priority="106" stopIfTrue="1">
      <formula>$AZ$106=1</formula>
    </cfRule>
  </conditionalFormatting>
  <conditionalFormatting sqref="G400:AN400">
    <cfRule type="expression" dxfId="93" priority="101" stopIfTrue="1">
      <formula>$X$476&gt;0</formula>
    </cfRule>
  </conditionalFormatting>
  <conditionalFormatting sqref="G401:AN401">
    <cfRule type="expression" dxfId="92" priority="100" stopIfTrue="1">
      <formula>$X$477&gt;0</formula>
    </cfRule>
  </conditionalFormatting>
  <conditionalFormatting sqref="AE154:AJ154 AB153:AJ153">
    <cfRule type="expression" dxfId="91" priority="97" stopIfTrue="1">
      <formula>V21=20</formula>
    </cfRule>
  </conditionalFormatting>
  <conditionalFormatting sqref="F238">
    <cfRule type="expression" dxfId="90" priority="666" stopIfTrue="1">
      <formula>$AB$170=0</formula>
    </cfRule>
  </conditionalFormatting>
  <conditionalFormatting sqref="T187:V187">
    <cfRule type="expression" dxfId="89" priority="82" stopIfTrue="1">
      <formula>$T$185&gt;0.00001</formula>
    </cfRule>
  </conditionalFormatting>
  <conditionalFormatting sqref="O92:Q92">
    <cfRule type="expression" dxfId="88" priority="1188" stopIfTrue="1">
      <formula>($AY$92*BB92+$AY$94*BB94+$AY$96*BB96+$AY$102)&gt;$T$33</formula>
    </cfRule>
  </conditionalFormatting>
  <conditionalFormatting sqref="O94:Q94">
    <cfRule type="expression" dxfId="87" priority="1189" stopIfTrue="1">
      <formula>($AY$92*BB92+$AY$94*BB94+$AY$96*BB96+$AY$102)&gt;$T$33</formula>
    </cfRule>
  </conditionalFormatting>
  <conditionalFormatting sqref="O96:Q96">
    <cfRule type="expression" dxfId="86" priority="1190" stopIfTrue="1">
      <formula>($AY$92*BB92+$AY$94*BB94+$AY$96*BB96+$AY$102)&gt;$T$33</formula>
    </cfRule>
  </conditionalFormatting>
  <conditionalFormatting sqref="O102:Q102">
    <cfRule type="expression" dxfId="85" priority="1191" stopIfTrue="1">
      <formula>($AY$92*BB92+$AY$94*BB94+$AY$96*BB96+$AY$102)&gt;$T$33</formula>
    </cfRule>
  </conditionalFormatting>
  <conditionalFormatting sqref="AA86:AM91">
    <cfRule type="expression" dxfId="84" priority="1192" stopIfTrue="1">
      <formula>($AY$92*BB92+$AY$94*BB94+$AY$96*BB96+$AY$102)&gt;$T$33</formula>
    </cfRule>
  </conditionalFormatting>
  <conditionalFormatting sqref="W178">
    <cfRule type="expression" dxfId="83" priority="70" stopIfTrue="1">
      <formula>$AZ$106=1</formula>
    </cfRule>
  </conditionalFormatting>
  <conditionalFormatting sqref="W179">
    <cfRule type="expression" dxfId="82" priority="68" stopIfTrue="1">
      <formula>$AZ$106=1</formula>
    </cfRule>
  </conditionalFormatting>
  <conditionalFormatting sqref="AG177:AN179">
    <cfRule type="expression" dxfId="81" priority="66" stopIfTrue="1">
      <formula>$B$118&gt;40</formula>
    </cfRule>
  </conditionalFormatting>
  <conditionalFormatting sqref="Q13:AA13">
    <cfRule type="expression" dxfId="80" priority="64" stopIfTrue="1">
      <formula>$AZ$31=0</formula>
    </cfRule>
  </conditionalFormatting>
  <conditionalFormatting sqref="V19:X19">
    <cfRule type="expression" dxfId="79" priority="63" stopIfTrue="1">
      <formula>$AZ$31=0</formula>
    </cfRule>
  </conditionalFormatting>
  <conditionalFormatting sqref="T147:U147">
    <cfRule type="expression" dxfId="78" priority="53" stopIfTrue="1">
      <formula>$AX$40=0</formula>
    </cfRule>
  </conditionalFormatting>
  <conditionalFormatting sqref="F166:F167">
    <cfRule type="expression" dxfId="77" priority="1193" stopIfTrue="1">
      <formula>$AZ$147&gt;0</formula>
    </cfRule>
  </conditionalFormatting>
  <conditionalFormatting sqref="F168:F174">
    <cfRule type="expression" dxfId="76" priority="1194" stopIfTrue="1">
      <formula>$AZ$147=1</formula>
    </cfRule>
  </conditionalFormatting>
  <conditionalFormatting sqref="F175:F180">
    <cfRule type="expression" dxfId="75" priority="1196" stopIfTrue="1">
      <formula>$AZ$147=1</formula>
    </cfRule>
  </conditionalFormatting>
  <conditionalFormatting sqref="G175:G180 I175:J180 H180 H159 H175:H176">
    <cfRule type="expression" dxfId="74" priority="1197" stopIfTrue="1">
      <formula>$AZ$147=1</formula>
    </cfRule>
  </conditionalFormatting>
  <conditionalFormatting sqref="AK173:AN174 G171:AN171 AO170 B174 I174:U174 I173:AD173 G167:AJ167 I172:W172 W174 AA174:AD174 G170:S170 AA168 AL168:AO168 AL167:AN167 G169:AO169 AA170 X124:Z124 BV145:BX145 AA172 T157:U157 B157 T153 H157:I157 G172:H174 H166 G168:P168 H155 T155:V155 H177:H179 B201 V177:V179 BP147:BR154 BP156:BR156 BS154:BU156 BP158:BU158 BV157:BX157 BS150:BU150 BS152:BU152">
    <cfRule type="expression" dxfId="73" priority="1200" stopIfTrue="1">
      <formula>$AZ$147=1</formula>
    </cfRule>
  </conditionalFormatting>
  <conditionalFormatting sqref="O166">
    <cfRule type="expression" dxfId="72" priority="1231" stopIfTrue="1">
      <formula>$AZ$147&gt;0</formula>
    </cfRule>
    <cfRule type="expression" dxfId="71" priority="1232" stopIfTrue="1">
      <formula>AND(AZ147=0,AY135&gt;0)</formula>
    </cfRule>
  </conditionalFormatting>
  <conditionalFormatting sqref="T149:U149">
    <cfRule type="expression" dxfId="70" priority="1244" stopIfTrue="1">
      <formula>$AX$40=0</formula>
    </cfRule>
  </conditionalFormatting>
  <conditionalFormatting sqref="AP121:AT130">
    <cfRule type="expression" dxfId="69" priority="1247" stopIfTrue="1">
      <formula>$T$137=0</formula>
    </cfRule>
  </conditionalFormatting>
  <conditionalFormatting sqref="B177">
    <cfRule type="expression" dxfId="68" priority="47" stopIfTrue="1">
      <formula>$AZ$147=1</formula>
    </cfRule>
  </conditionalFormatting>
  <conditionalFormatting sqref="BV159:BX159">
    <cfRule type="expression" dxfId="67" priority="36" stopIfTrue="1">
      <formula>$AZ$147=1</formula>
    </cfRule>
  </conditionalFormatting>
  <conditionalFormatting sqref="BS148:BU148">
    <cfRule type="expression" dxfId="66" priority="35" stopIfTrue="1">
      <formula>$AZ$147=1</formula>
    </cfRule>
  </conditionalFormatting>
  <conditionalFormatting sqref="BS147:BU147">
    <cfRule type="expression" dxfId="65" priority="33" stopIfTrue="1">
      <formula>$AZ$147=1</formula>
    </cfRule>
  </conditionalFormatting>
  <conditionalFormatting sqref="BV155:BX155">
    <cfRule type="expression" dxfId="64" priority="31" stopIfTrue="1">
      <formula>$AZ$147=1</formula>
    </cfRule>
  </conditionalFormatting>
  <conditionalFormatting sqref="BV148:BX158">
    <cfRule type="expression" dxfId="63" priority="29" stopIfTrue="1">
      <formula>$AZ$147=1</formula>
    </cfRule>
  </conditionalFormatting>
  <conditionalFormatting sqref="BV147:BX147">
    <cfRule type="expression" dxfId="62" priority="28" stopIfTrue="1">
      <formula>$AZ$147=1</formula>
    </cfRule>
  </conditionalFormatting>
  <conditionalFormatting sqref="V139:AK139 G139 I139:S139">
    <cfRule type="expression" dxfId="61" priority="1248" stopIfTrue="1">
      <formula>$BS$147=0</formula>
    </cfRule>
  </conditionalFormatting>
  <conditionalFormatting sqref="T139:U139">
    <cfRule type="expression" dxfId="60" priority="1252" stopIfTrue="1">
      <formula>$BS$149=0</formula>
    </cfRule>
  </conditionalFormatting>
  <conditionalFormatting sqref="BS149:BU149">
    <cfRule type="expression" dxfId="59" priority="27" stopIfTrue="1">
      <formula>$AZ$147=1</formula>
    </cfRule>
  </conditionalFormatting>
  <conditionalFormatting sqref="V141:AK141 G141 I141:S141">
    <cfRule type="expression" dxfId="58" priority="1253" stopIfTrue="1">
      <formula>$BS$151=0</formula>
    </cfRule>
  </conditionalFormatting>
  <conditionalFormatting sqref="T141:U141">
    <cfRule type="expression" dxfId="57" priority="1257" stopIfTrue="1">
      <formula>$BS$151=0</formula>
    </cfRule>
  </conditionalFormatting>
  <conditionalFormatting sqref="BS151:BU151">
    <cfRule type="expression" dxfId="56" priority="24" stopIfTrue="1">
      <formula>$AZ$147=1</formula>
    </cfRule>
  </conditionalFormatting>
  <conditionalFormatting sqref="V144:AK144 G143:G144 I143:S144 W143:AK143">
    <cfRule type="expression" dxfId="55" priority="1258" stopIfTrue="1">
      <formula>$BS$153=0</formula>
    </cfRule>
  </conditionalFormatting>
  <conditionalFormatting sqref="T144:U144">
    <cfRule type="expression" dxfId="54" priority="1268" stopIfTrue="1">
      <formula>$BS$153=0</formula>
    </cfRule>
  </conditionalFormatting>
  <conditionalFormatting sqref="BS153:BU153">
    <cfRule type="expression" dxfId="53" priority="21" stopIfTrue="1">
      <formula>$AZ$147=1</formula>
    </cfRule>
  </conditionalFormatting>
  <conditionalFormatting sqref="AL137:AN137">
    <cfRule type="expression" dxfId="52" priority="18">
      <formula>$BS$147=0</formula>
    </cfRule>
  </conditionalFormatting>
  <conditionalFormatting sqref="AL139:AN139">
    <cfRule type="expression" dxfId="51" priority="17">
      <formula>$BS$149=0</formula>
    </cfRule>
  </conditionalFormatting>
  <conditionalFormatting sqref="AL141:AN141">
    <cfRule type="expression" dxfId="50" priority="16">
      <formula>$BS$151=0</formula>
    </cfRule>
  </conditionalFormatting>
  <conditionalFormatting sqref="AL143:AN143">
    <cfRule type="expression" dxfId="49" priority="15">
      <formula>$BS$153=0</formula>
    </cfRule>
  </conditionalFormatting>
  <conditionalFormatting sqref="AL145:AN145">
    <cfRule type="expression" dxfId="48" priority="14">
      <formula>$CC$141=0</formula>
    </cfRule>
  </conditionalFormatting>
  <conditionalFormatting sqref="BS157:BU157">
    <cfRule type="expression" dxfId="47" priority="13" stopIfTrue="1">
      <formula>$AZ$147=1</formula>
    </cfRule>
  </conditionalFormatting>
  <conditionalFormatting sqref="BS157:BU157">
    <cfRule type="expression" dxfId="46" priority="12" stopIfTrue="1">
      <formula>$AZ$147=1</formula>
    </cfRule>
  </conditionalFormatting>
  <conditionalFormatting sqref="BS159:BU159">
    <cfRule type="expression" dxfId="45" priority="11" stopIfTrue="1">
      <formula>$AZ$147=1</formula>
    </cfRule>
  </conditionalFormatting>
  <conditionalFormatting sqref="T145:U145">
    <cfRule type="expression" dxfId="44" priority="9">
      <formula>$CC$141=0</formula>
    </cfRule>
  </conditionalFormatting>
  <conditionalFormatting sqref="AE145:AJ145">
    <cfRule type="expression" dxfId="43" priority="8">
      <formula>$CC$141=0</formula>
    </cfRule>
  </conditionalFormatting>
  <conditionalFormatting sqref="AE147:AJ147">
    <cfRule type="expression" dxfId="42" priority="6">
      <formula>$AX$40=0</formula>
    </cfRule>
  </conditionalFormatting>
  <conditionalFormatting sqref="AE149:AJ149">
    <cfRule type="expression" dxfId="41" priority="5">
      <formula>$AX$40=0</formula>
    </cfRule>
  </conditionalFormatting>
  <conditionalFormatting sqref="AL147:AN147">
    <cfRule type="expression" dxfId="40" priority="4">
      <formula>$AX$40=0</formula>
    </cfRule>
  </conditionalFormatting>
  <conditionalFormatting sqref="T143:U143">
    <cfRule type="expression" dxfId="39" priority="3" stopIfTrue="1">
      <formula>$BS$151=0</formula>
    </cfRule>
  </conditionalFormatting>
  <conditionalFormatting sqref="V143">
    <cfRule type="expression" dxfId="38" priority="2" stopIfTrue="1">
      <formula>$BS$151=0</formula>
    </cfRule>
  </conditionalFormatting>
  <conditionalFormatting sqref="X124:Z124">
    <cfRule type="expression" dxfId="37" priority="1">
      <formula>$B$124=2</formula>
    </cfRule>
  </conditionalFormatting>
  <dataValidations xWindow="404" yWindow="418" count="20">
    <dataValidation type="custom" allowBlank="1" showInputMessage="1" showErrorMessage="1" error="Eingabe nur entweder in % oder € möglich!_x000a_" sqref="T187:V187 T191:V191">
      <formula1>T185&lt;0.00001</formula1>
    </dataValidation>
    <dataValidation type="custom" allowBlank="1" showInputMessage="1" showErrorMessage="1" error="Eingabe nur entweder in % oder in € möglich!" sqref="T185:V185 T189:V189">
      <formula1>T187&lt;0.00001</formula1>
    </dataValidation>
    <dataValidation type="custom" allowBlank="1" showInputMessage="1" showErrorMessage="1" error="Eingabe nur entweder in % oder € möglich!_x000a_" sqref="P198 Q198:R200 P200:P202">
      <formula1>T196&lt;0.00001</formula1>
    </dataValidation>
    <dataValidation type="custom" allowBlank="1" showInputMessage="1" showErrorMessage="1" error="Darlehenslaufzeit länger als die Nutzungsdauer!_x000a_Eingabe nicht möglich!" sqref="S92">
      <formula1>S92&lt;=V21</formula1>
    </dataValidation>
    <dataValidation type="custom" allowBlank="1" showInputMessage="1" showErrorMessage="1" error="Darlehenslaufzeit länger als die Nutzungsdauer!_x000a_Eingabe nicht möglich!" sqref="S94">
      <formula1>S94&lt;=V21</formula1>
    </dataValidation>
    <dataValidation type="custom" allowBlank="1" showInputMessage="1" showErrorMessage="1" error="Darlehenslaufzeit länger als die Nutzungsdauer!_x000a_Eingabe nicht möglich!" sqref="S96">
      <formula1>S96&lt;=V21</formula1>
    </dataValidation>
    <dataValidation type="custom" allowBlank="1" showInputMessage="1" showErrorMessage="1" error="Der erfasste Eigenverbrauch ist höher als der durchschnittlich erzielbare Ertrag !!_x000a_Bitte korrigieren !" sqref="X122">
      <formula1>X122&lt;=X118</formula1>
    </dataValidation>
    <dataValidation type="custom" errorStyle="warning" allowBlank="1" showInputMessage="1" showErrorMessage="1" error="Bitte Strompreis prüfen!_x000a_Der eingegebene Wert liegt außerhalb eines_x000a_Preiskorridors von 0,00 bis 0,30 €/kWh" sqref="T172:U172">
      <formula1>AND(T172&gt;=0,T172&lt;=0.3)</formula1>
    </dataValidation>
    <dataValidation type="whole" allowBlank="1" showInputMessage="1" showErrorMessage="1" sqref="X92:Y92 X96:Y96 X94:Y94">
      <formula1>0</formula1>
      <formula2>5</formula2>
    </dataValidation>
    <dataValidation type="whole" allowBlank="1" showInputMessage="1" showErrorMessage="1" sqref="R66:R68">
      <formula1>1</formula1>
      <formula2>12</formula2>
    </dataValidation>
    <dataValidation type="whole" allowBlank="1" showInputMessage="1" showErrorMessage="1" sqref="N22:P24">
      <formula1>0</formula1>
      <formula2>25</formula2>
    </dataValidation>
    <dataValidation type="custom" allowBlank="1" showInputMessage="1" showErrorMessage="1" error="Bitte in % eingeben!" sqref="V92:W92 V94:W94 V96:W96">
      <formula1>V92&lt;=100</formula1>
    </dataValidation>
    <dataValidation type="whole" allowBlank="1" showInputMessage="1" showErrorMessage="1" error="Max. 20 Jahre möglich, da die Vergütung nach EEG für 20 Jahre garantiert wird." sqref="V21:X21">
      <formula1>0</formula1>
      <formula2>20</formula2>
    </dataValidation>
    <dataValidation type="custom" showInputMessage="1" showErrorMessage="1" error="Nur Eingabe von:_x000a_R = Ratendarlehen   bzw._x000a_A = Annuitätendarlehen_x000a_möglich." sqref="R92 R96 R94">
      <formula1>OR(R92="A",R92="R")</formula1>
    </dataValidation>
    <dataValidation type="custom" allowBlank="1" showInputMessage="1" showErrorMessage="1" error="Nur Werte zwischen _x000a_0 bis 100% möglich !" sqref="Z92 Z96 Z94">
      <formula1>AND(Z92&gt;=0,Z92&lt;=1)</formula1>
    </dataValidation>
    <dataValidation type="custom" allowBlank="1" showInputMessage="1" showErrorMessage="1" error="Eingabe nur entweder in % oder in € möglich!" sqref="T195:V195">
      <formula1>T199&lt;0.00001</formula1>
    </dataValidation>
    <dataValidation type="custom" allowBlank="1" showInputMessage="1" showErrorMessage="1" error="Eingabe nur entweder in % oder € möglich!_x000a_" sqref="T197:V197">
      <formula1>X193&lt;0.00001</formula1>
    </dataValidation>
    <dataValidation type="custom" allowBlank="1" showInputMessage="1" showErrorMessage="1" error="erfasster Wert niedriger als Mindestanteil_x000a_oder_x000a_erfasster Wert höher als Jahresleistung der Anlage_x000a_Bitte prüfen !!" sqref="X124:Z124">
      <formula1>AND(X124&gt;(V122*X118),X124&lt;X118)</formula1>
    </dataValidation>
    <dataValidation type="custom" allowBlank="1" showInputMessage="1" showErrorMessage="1" error="Vermarktungskosten bitte als negativen Wert (Vorzeichen = Minus) erfassen !!" sqref="T147:U147">
      <formula1>T147&lt;=0</formula1>
    </dataValidation>
    <dataValidation type="custom" allowBlank="1" showInputMessage="1" showErrorMessage="1" error="mögliche Mehrerlöse durch die Direktvermarktung bitte mit positivem Vorzeichen erfassen !!" sqref="T149:U149">
      <formula1>T149&gt;=0</formula1>
    </dataValidation>
  </dataValidations>
  <hyperlinks>
    <hyperlink ref="C12:C14" location="Programmbeschreibung!A73:A173" display="Hilfe"/>
    <hyperlink ref="C28:C30" location="Programmbeschreibung!A140:A240" display="Hilfe"/>
    <hyperlink ref="C59:C61" location="Programmbeschreibung!A155:A255" display="Hilfe"/>
    <hyperlink ref="C79:C81" location="Programmbeschreibung!A189:A289" display="Hilfe"/>
    <hyperlink ref="C113:C115" location="Programmbeschreibung!A248:A348" display="Hilfe"/>
    <hyperlink ref="C223:C225" location="Programmbeschreibung!A425:A525" display="Hilfe"/>
    <hyperlink ref="C235:C237" location="Programmbeschreibung!A443:A543" display="Hilfe"/>
    <hyperlink ref="C330:C332" location="Programmbeschreibung!A479:A579" display="Hilfe"/>
    <hyperlink ref="AD9:AN9" location="Programmbeschreibung!A1:A8" display="Programmbeschreibung"/>
    <hyperlink ref="C164:C165" location="Programmbeschreibung!A237:A280" display="Hilfe"/>
    <hyperlink ref="C164:C166" location="Programmbeschreibung!A326:A426" display="Hilfe"/>
    <hyperlink ref="C208:C209" location="Programmbeschreibung!A237:A280" display="Hilfe"/>
    <hyperlink ref="C208:C210" location="Programmbeschreibung!A417:A517" display="Hilfe"/>
    <hyperlink ref="C299:C301" location="Programmbeschreibung!A463:A563" display="Hilfe"/>
    <hyperlink ref="C185:C186" location="Programmbeschreibung!A237:A280" display="Hilfe"/>
    <hyperlink ref="C185:C187" location="Programmbeschreibung!A375:A475" display="Hilfe"/>
    <hyperlink ref="C350:C352" location="Programmbeschreibung!A479:A579" display="Hilfe"/>
    <hyperlink ref="C378:C380" location="Programmbeschreibung!A479:A579" display="Hilfe"/>
  </hyperlinks>
  <printOptions horizontalCentered="1"/>
  <pageMargins left="0.59055118110236227" right="0.19685039370078741" top="0.59055118110236227" bottom="0.59055118110236227" header="0.51181102362204722" footer="0.31496062992125984"/>
  <pageSetup paperSize="9" scale="75" fitToHeight="4" orientation="portrait" r:id="rId1"/>
  <headerFooter alignWithMargins="0">
    <oddFooter>&amp;L&amp;8LEL Schwäbisch Gmünd; Abt.IV; LLM (WS)&amp;C&amp;8&amp;F&amp;R&amp;8&amp;D</oddFooter>
  </headerFooter>
  <rowBreaks count="3" manualBreakCount="3">
    <brk id="112" min="3" max="40" man="1"/>
    <brk id="234" min="3" max="40" man="1"/>
    <brk id="326" min="3" max="40" man="1"/>
  </rowBreaks>
  <drawing r:id="rId2"/>
  <legacyDrawing r:id="rId3"/>
  <controls>
    <mc:AlternateContent xmlns:mc="http://schemas.openxmlformats.org/markup-compatibility/2006">
      <mc:Choice Requires="x14">
        <control shapeId="17734" r:id="rId4" name="ComboBox1">
          <controlPr defaultSize="0" print="0" autoLine="0" linkedCell="Einstrahlung!B66" listFillRange="Einstrahlung!B46:B58" r:id="rId5">
            <anchor moveWithCells="1" sizeWithCells="1">
              <from>
                <xdr:col>18</xdr:col>
                <xdr:colOff>0</xdr:colOff>
                <xdr:row>21</xdr:row>
                <xdr:rowOff>19050</xdr:rowOff>
              </from>
              <to>
                <xdr:col>24</xdr:col>
                <xdr:colOff>0</xdr:colOff>
                <xdr:row>24</xdr:row>
                <xdr:rowOff>0</xdr:rowOff>
              </to>
            </anchor>
          </controlPr>
        </control>
      </mc:Choice>
      <mc:Fallback>
        <control shapeId="17734" r:id="rId4" name="ComboBox1"/>
      </mc:Fallback>
    </mc:AlternateContent>
    <mc:AlternateContent xmlns:mc="http://schemas.openxmlformats.org/markup-compatibility/2006">
      <mc:Choice Requires="x14">
        <control shapeId="17746" r:id="rId6" name="Spinner 338">
          <controlPr defaultSize="0" print="0" autoPict="0">
            <anchor moveWithCells="1" sizeWithCells="1">
              <from>
                <xdr:col>31</xdr:col>
                <xdr:colOff>19050</xdr:colOff>
                <xdr:row>113</xdr:row>
                <xdr:rowOff>295275</xdr:rowOff>
              </from>
              <to>
                <xdr:col>33</xdr:col>
                <xdr:colOff>76200</xdr:colOff>
                <xdr:row>116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8216" r:id="rId7" name="Spinner 808">
          <controlPr defaultSize="0" print="0" autoPict="0">
            <anchor moveWithCells="1" sizeWithCells="1">
              <from>
                <xdr:col>16</xdr:col>
                <xdr:colOff>9525</xdr:colOff>
                <xdr:row>113</xdr:row>
                <xdr:rowOff>295275</xdr:rowOff>
              </from>
              <to>
                <xdr:col>17</xdr:col>
                <xdr:colOff>85725</xdr:colOff>
                <xdr:row>116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8273" r:id="rId8" name="Spinner 865">
          <controlPr defaultSize="0" print="0" autoPict="0">
            <anchor moveWithCells="1" sizeWithCells="1">
              <from>
                <xdr:col>21</xdr:col>
                <xdr:colOff>9525</xdr:colOff>
                <xdr:row>171</xdr:row>
                <xdr:rowOff>142875</xdr:rowOff>
              </from>
              <to>
                <xdr:col>22</xdr:col>
                <xdr:colOff>47625</xdr:colOff>
                <xdr:row>174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15943" r:id="rId9" name="Spinner 7175">
          <controlPr defaultSize="0" print="0" autoPict="0">
            <anchor moveWithCells="1" sizeWithCells="1">
              <from>
                <xdr:col>21</xdr:col>
                <xdr:colOff>9525</xdr:colOff>
                <xdr:row>154</xdr:row>
                <xdr:rowOff>142875</xdr:rowOff>
              </from>
              <to>
                <xdr:col>22</xdr:col>
                <xdr:colOff>47625</xdr:colOff>
                <xdr:row>158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15944" r:id="rId10" name="Spinner 7176">
          <controlPr defaultSize="0" print="0" autoPict="0">
            <anchor moveWithCells="1" sizeWithCells="1">
              <from>
                <xdr:col>17</xdr:col>
                <xdr:colOff>9525</xdr:colOff>
                <xdr:row>19</xdr:row>
                <xdr:rowOff>19050</xdr:rowOff>
              </from>
              <to>
                <xdr:col>17</xdr:col>
                <xdr:colOff>342900</xdr:colOff>
                <xdr:row>22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063608" r:id="rId11" name="Spinner 10744">
          <controlPr defaultSize="0" print="0" autoPict="0">
            <anchor moveWithCells="1" sizeWithCells="1">
              <from>
                <xdr:col>45</xdr:col>
                <xdr:colOff>504825</xdr:colOff>
                <xdr:row>198</xdr:row>
                <xdr:rowOff>133350</xdr:rowOff>
              </from>
              <to>
                <xdr:col>45</xdr:col>
                <xdr:colOff>723900</xdr:colOff>
                <xdr:row>202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030509" r:id="rId12" name="Spinner 15661">
          <controlPr defaultSize="0" print="0" autoPict="0">
            <anchor moveWithCells="1" sizeWithCells="1">
              <from>
                <xdr:col>24</xdr:col>
                <xdr:colOff>19050</xdr:colOff>
                <xdr:row>14</xdr:row>
                <xdr:rowOff>0</xdr:rowOff>
              </from>
              <to>
                <xdr:col>25</xdr:col>
                <xdr:colOff>123825</xdr:colOff>
                <xdr:row>14</xdr:row>
                <xdr:rowOff>219075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015699" r:id="rId13" name="Spinner 19859">
          <controlPr defaultSize="0" print="0" autoPict="0">
            <anchor moveWithCells="1" sizeWithCells="1">
              <from>
                <xdr:col>45</xdr:col>
                <xdr:colOff>504825</xdr:colOff>
                <xdr:row>173</xdr:row>
                <xdr:rowOff>38100</xdr:rowOff>
              </from>
              <to>
                <xdr:col>45</xdr:col>
                <xdr:colOff>723900</xdr:colOff>
                <xdr:row>174</xdr:row>
                <xdr:rowOff>104775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015700" r:id="rId14" name="Spinner 19860">
          <controlPr defaultSize="0" print="0" autoPict="0">
            <anchor moveWithCells="1" sizeWithCells="1">
              <from>
                <xdr:col>24</xdr:col>
                <xdr:colOff>19050</xdr:colOff>
                <xdr:row>16</xdr:row>
                <xdr:rowOff>0</xdr:rowOff>
              </from>
              <to>
                <xdr:col>25</xdr:col>
                <xdr:colOff>123825</xdr:colOff>
                <xdr:row>16</xdr:row>
                <xdr:rowOff>219075</xdr:rowOff>
              </to>
            </anchor>
          </controlPr>
        </control>
      </mc:Choice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BU170"/>
  <sheetViews>
    <sheetView zoomScale="60" zoomScaleNormal="60" workbookViewId="0"/>
  </sheetViews>
  <sheetFormatPr baseColWidth="10" defaultColWidth="11" defaultRowHeight="12.75"/>
  <cols>
    <col min="1" max="1" width="2.5703125" style="256" customWidth="1"/>
    <col min="2" max="2" width="20.5703125" style="256" customWidth="1"/>
    <col min="3" max="7" width="15.5703125" style="256" customWidth="1"/>
    <col min="8" max="8" width="11" style="256" customWidth="1"/>
    <col min="9" max="9" width="2.5703125" style="256" customWidth="1"/>
    <col min="10" max="21" width="11" style="256" customWidth="1"/>
    <col min="22" max="22" width="2.7109375" style="256" customWidth="1"/>
    <col min="23" max="23" width="2.5703125" style="256" customWidth="1"/>
    <col min="24" max="24" width="15.5703125" style="256" customWidth="1"/>
    <col min="25" max="25" width="11" style="256" customWidth="1"/>
    <col min="26" max="34" width="11" style="256"/>
    <col min="35" max="36" width="2.5703125" style="256" customWidth="1"/>
    <col min="37" max="44" width="15.5703125" style="256" customWidth="1"/>
    <col min="45" max="46" width="2.5703125" style="256" customWidth="1"/>
    <col min="47" max="47" width="18.5703125" style="256" customWidth="1"/>
    <col min="48" max="52" width="15.5703125" style="256" customWidth="1"/>
    <col min="53" max="54" width="5.5703125" style="256" customWidth="1"/>
    <col min="55" max="55" width="7.140625" style="256" customWidth="1"/>
    <col min="56" max="62" width="11.7109375" style="256" customWidth="1"/>
    <col min="63" max="63" width="9.5703125" style="256" customWidth="1"/>
    <col min="64" max="73" width="11.7109375" style="256" customWidth="1"/>
    <col min="74" max="16384" width="11" style="256"/>
  </cols>
  <sheetData>
    <row r="1" spans="1:73" ht="40.15" customHeight="1" thickBot="1">
      <c r="A1" s="1142"/>
      <c r="B1" s="1234"/>
      <c r="C1" s="1142"/>
      <c r="D1" s="1142"/>
      <c r="E1" s="1142"/>
      <c r="F1" s="1142"/>
      <c r="G1" s="1142"/>
      <c r="H1" s="1142"/>
      <c r="I1" s="1236"/>
      <c r="J1" s="1910" t="s">
        <v>1331</v>
      </c>
      <c r="K1" s="1910"/>
      <c r="L1" s="1910"/>
      <c r="M1" s="1910"/>
      <c r="N1" s="1910"/>
      <c r="O1" s="1910"/>
      <c r="P1" s="1910"/>
      <c r="Q1" s="1910"/>
      <c r="R1" s="1910"/>
      <c r="S1" s="1910"/>
      <c r="T1" s="1910"/>
      <c r="U1" s="1910"/>
      <c r="V1" s="1221"/>
      <c r="W1" s="1235"/>
      <c r="X1" s="1909" t="s">
        <v>1162</v>
      </c>
      <c r="Y1" s="1909"/>
      <c r="Z1" s="1909"/>
      <c r="AA1" s="1909"/>
      <c r="AB1" s="1909"/>
      <c r="AC1" s="1909"/>
      <c r="AD1" s="1909"/>
      <c r="AE1" s="1909"/>
      <c r="AF1" s="1909"/>
      <c r="AG1" s="1909"/>
      <c r="AH1" s="1909"/>
      <c r="AI1" s="1222"/>
      <c r="AJ1" s="1906" t="s">
        <v>1250</v>
      </c>
      <c r="AK1" s="1907"/>
      <c r="AL1" s="1907"/>
      <c r="AM1" s="1907"/>
      <c r="AN1" s="1907"/>
      <c r="AO1" s="1907"/>
      <c r="AP1" s="1907"/>
      <c r="AQ1" s="1907"/>
      <c r="AR1" s="1907"/>
      <c r="AS1" s="1908"/>
      <c r="AT1" s="1898" t="s">
        <v>1160</v>
      </c>
      <c r="AU1" s="1899"/>
      <c r="AV1" s="1899"/>
      <c r="AW1" s="1899"/>
      <c r="AX1" s="1899"/>
      <c r="AY1" s="1899"/>
      <c r="AZ1" s="1899"/>
      <c r="BA1" s="1899"/>
      <c r="BB1" s="1899"/>
      <c r="BC1" s="1899"/>
      <c r="BD1" s="1899"/>
      <c r="BE1" s="1899"/>
      <c r="BF1" s="1899"/>
      <c r="BG1" s="1899"/>
      <c r="BH1" s="1899"/>
      <c r="BI1" s="1899"/>
      <c r="BJ1" s="1899"/>
      <c r="BK1" s="1899"/>
      <c r="BL1" s="1900"/>
      <c r="BM1" s="1901" t="s">
        <v>1161</v>
      </c>
      <c r="BN1" s="1902"/>
      <c r="BO1" s="1902"/>
      <c r="BP1" s="1902"/>
      <c r="BQ1" s="1902"/>
      <c r="BR1" s="1902"/>
      <c r="BS1" s="1902"/>
      <c r="BT1" s="1903"/>
      <c r="BU1" s="1045"/>
    </row>
    <row r="2" spans="1:73" ht="17.45" customHeight="1">
      <c r="A2" s="1233" t="s">
        <v>1195</v>
      </c>
      <c r="B2" s="1045"/>
      <c r="C2" s="1045"/>
      <c r="D2" s="1045"/>
      <c r="E2" s="1045"/>
      <c r="F2" s="1045"/>
      <c r="G2" s="1143"/>
      <c r="H2" s="1904" t="s">
        <v>494</v>
      </c>
      <c r="I2" s="1133"/>
      <c r="J2" s="1135" t="s">
        <v>1334</v>
      </c>
      <c r="K2" s="1133"/>
      <c r="L2" s="1133"/>
      <c r="M2" s="1133"/>
      <c r="N2" s="1133"/>
      <c r="O2" s="1133"/>
      <c r="P2" s="1133"/>
      <c r="Q2" s="1133"/>
      <c r="R2" s="1133"/>
      <c r="S2" s="1133"/>
      <c r="T2" s="1133"/>
      <c r="U2" s="1133"/>
      <c r="V2" s="1133"/>
      <c r="W2" s="1048"/>
      <c r="X2" s="1136" t="s">
        <v>1163</v>
      </c>
      <c r="Y2" s="1048"/>
      <c r="Z2" s="1048"/>
      <c r="AA2" s="1048"/>
      <c r="AB2" s="1048"/>
      <c r="AC2" s="1048"/>
      <c r="AD2" s="1048"/>
      <c r="AE2" s="1048"/>
      <c r="AF2" s="1048"/>
      <c r="AG2" s="1048"/>
      <c r="AH2" s="1223"/>
      <c r="AI2" s="1048"/>
      <c r="AJ2" s="1076"/>
      <c r="AK2" s="1076"/>
      <c r="AL2" s="1076"/>
      <c r="AM2" s="1076"/>
      <c r="AN2" s="1076"/>
      <c r="AO2" s="1076"/>
      <c r="AP2" s="1076"/>
      <c r="AQ2" s="1076"/>
      <c r="AR2" s="1076"/>
      <c r="AS2" s="1045"/>
      <c r="AT2" s="1136" t="s">
        <v>886</v>
      </c>
      <c r="AU2" s="1076"/>
      <c r="AV2" s="1076"/>
      <c r="AW2" s="1076"/>
      <c r="AX2" s="1076"/>
      <c r="AY2" s="1076"/>
      <c r="AZ2" s="1076"/>
      <c r="BA2" s="1076"/>
      <c r="BB2" s="1076"/>
      <c r="BC2" s="1076"/>
      <c r="BD2" s="1048"/>
      <c r="BE2" s="1048"/>
      <c r="BF2" s="1048"/>
      <c r="BG2" s="1048"/>
      <c r="BH2" s="1048"/>
      <c r="BI2" s="1048"/>
      <c r="BJ2" s="1048"/>
      <c r="BK2" s="1048"/>
      <c r="BL2" s="1048"/>
      <c r="BM2" s="1107"/>
      <c r="BN2" s="1107"/>
      <c r="BO2" s="1107"/>
      <c r="BP2" s="1107"/>
      <c r="BQ2" s="1107"/>
      <c r="BR2" s="1107"/>
      <c r="BS2" s="1107"/>
      <c r="BT2" s="1107"/>
      <c r="BU2" s="1045"/>
    </row>
    <row r="3" spans="1:73" ht="17.45" customHeight="1" thickBot="1">
      <c r="A3" s="1232" t="s">
        <v>1574</v>
      </c>
      <c r="B3" s="1133"/>
      <c r="C3" s="1133"/>
      <c r="D3" s="1133"/>
      <c r="E3" s="1133"/>
      <c r="F3" s="1133"/>
      <c r="G3" s="1133"/>
      <c r="H3" s="1905"/>
      <c r="I3" s="1133"/>
      <c r="J3" s="1133"/>
      <c r="K3" s="1133"/>
      <c r="L3" s="1133"/>
      <c r="M3" s="1133"/>
      <c r="N3" s="1133"/>
      <c r="O3" s="1133"/>
      <c r="P3" s="1133"/>
      <c r="Q3" s="1133"/>
      <c r="R3" s="1133"/>
      <c r="S3" s="1133"/>
      <c r="T3" s="1133"/>
      <c r="U3" s="1133"/>
      <c r="V3" s="1133"/>
      <c r="W3" s="1048"/>
      <c r="X3" s="1224" t="s">
        <v>1251</v>
      </c>
      <c r="Y3" s="1224"/>
      <c r="Z3" s="1224"/>
      <c r="AA3" s="1224"/>
      <c r="AB3" s="1224"/>
      <c r="AC3" s="1224"/>
      <c r="AD3" s="1224"/>
      <c r="AE3" s="1224"/>
      <c r="AF3" s="1224"/>
      <c r="AG3" s="1224"/>
      <c r="AH3" s="1224"/>
      <c r="AI3" s="1224"/>
      <c r="AJ3" s="1048"/>
      <c r="AK3" s="1048"/>
      <c r="AL3" s="1048"/>
      <c r="AM3" s="1048"/>
      <c r="AN3" s="1048"/>
      <c r="AO3" s="1048"/>
      <c r="AP3" s="1048"/>
      <c r="AQ3" s="1048"/>
      <c r="AR3" s="1048"/>
      <c r="AS3" s="1133"/>
      <c r="AT3" s="1048"/>
      <c r="AU3" s="1048"/>
      <c r="AV3" s="1048"/>
      <c r="AW3" s="1048"/>
      <c r="AX3" s="1048"/>
      <c r="AY3" s="1048"/>
      <c r="AZ3" s="1894"/>
      <c r="BA3" s="1048"/>
      <c r="BB3" s="1076"/>
      <c r="BC3" s="1048"/>
      <c r="BD3" s="1048"/>
      <c r="BE3" s="1048"/>
      <c r="BF3" s="1048"/>
      <c r="BG3" s="1048"/>
      <c r="BH3" s="1048"/>
      <c r="BI3" s="1048"/>
      <c r="BJ3" s="1048"/>
      <c r="BK3" s="1048"/>
      <c r="BL3" s="1048"/>
      <c r="BM3" s="1107"/>
      <c r="BN3" s="1107"/>
      <c r="BO3" s="1107"/>
      <c r="BP3" s="1107"/>
      <c r="BQ3" s="1107"/>
      <c r="BR3" s="1107"/>
      <c r="BS3" s="1107"/>
      <c r="BT3" s="1107"/>
      <c r="BU3" s="1045"/>
    </row>
    <row r="4" spans="1:73" ht="17.45" customHeight="1">
      <c r="A4" s="1133"/>
      <c r="B4" s="1133"/>
      <c r="C4" s="1133"/>
      <c r="D4" s="1133"/>
      <c r="E4" s="1133"/>
      <c r="F4" s="1133"/>
      <c r="G4" s="1133"/>
      <c r="H4" s="1133"/>
      <c r="I4" s="1137"/>
      <c r="J4" s="1133" t="s">
        <v>597</v>
      </c>
      <c r="K4" s="1046" t="s">
        <v>1335</v>
      </c>
      <c r="L4" s="1046"/>
      <c r="M4" s="1133"/>
      <c r="N4" s="1133"/>
      <c r="O4" s="1133"/>
      <c r="P4" s="1133"/>
      <c r="Q4" s="1133"/>
      <c r="R4" s="1133"/>
      <c r="S4" s="1133"/>
      <c r="T4" s="1133"/>
      <c r="U4" s="1133"/>
      <c r="V4" s="1133"/>
      <c r="W4" s="1229"/>
      <c r="X4" s="1225" t="s">
        <v>597</v>
      </c>
      <c r="Y4" s="1085" t="s">
        <v>1238</v>
      </c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077"/>
      <c r="AK4" s="1077"/>
      <c r="AL4" s="1077"/>
      <c r="AM4" s="1077"/>
      <c r="AN4" s="1077"/>
      <c r="AO4" s="1077"/>
      <c r="AP4" s="1077"/>
      <c r="AQ4" s="1077"/>
      <c r="AR4" s="1077"/>
      <c r="AS4" s="1133"/>
      <c r="AT4" s="1048"/>
      <c r="AU4" s="1077"/>
      <c r="AV4" s="1077"/>
      <c r="AW4" s="1077"/>
      <c r="AX4" s="1077"/>
      <c r="AY4" s="1077"/>
      <c r="AZ4" s="1895"/>
      <c r="BA4" s="1048"/>
      <c r="BB4" s="1076"/>
      <c r="BC4" s="1077" t="s">
        <v>597</v>
      </c>
      <c r="BD4" s="1078" t="s">
        <v>885</v>
      </c>
      <c r="BE4" s="1048"/>
      <c r="BF4" s="1048"/>
      <c r="BG4" s="1048"/>
      <c r="BH4" s="1048"/>
      <c r="BI4" s="1048"/>
      <c r="BJ4" s="1048"/>
      <c r="BK4" s="1048"/>
      <c r="BL4" s="1079" t="s">
        <v>598</v>
      </c>
      <c r="BM4" s="1107"/>
      <c r="BN4" s="1107"/>
      <c r="BO4" s="1107"/>
      <c r="BP4" s="1107"/>
      <c r="BQ4" s="1107"/>
      <c r="BR4" s="1107"/>
      <c r="BS4" s="1107"/>
      <c r="BT4" s="1107"/>
      <c r="BU4" s="1045"/>
    </row>
    <row r="5" spans="1:73" ht="17.45" customHeight="1">
      <c r="A5" s="1134" t="s">
        <v>1164</v>
      </c>
      <c r="B5" s="1133"/>
      <c r="C5" s="1133"/>
      <c r="D5" s="1133"/>
      <c r="E5" s="1133"/>
      <c r="F5" s="1133"/>
      <c r="G5" s="1133"/>
      <c r="H5" s="1133"/>
      <c r="I5" s="1133"/>
      <c r="J5" s="1135" t="s">
        <v>1543</v>
      </c>
      <c r="K5" s="1133"/>
      <c r="L5" s="1133"/>
      <c r="M5" s="1046" t="s">
        <v>1336</v>
      </c>
      <c r="N5" s="1133"/>
      <c r="O5" s="1133"/>
      <c r="P5" s="1133"/>
      <c r="Q5" s="1133" t="s">
        <v>1230</v>
      </c>
      <c r="R5" s="1133"/>
      <c r="S5" s="1133"/>
      <c r="T5" s="1133"/>
      <c r="U5" s="1133"/>
      <c r="V5" s="1133"/>
      <c r="W5" s="1224"/>
      <c r="X5" s="1226" t="s">
        <v>1277</v>
      </c>
      <c r="Y5" s="1224"/>
      <c r="Z5" s="1085" t="s">
        <v>1229</v>
      </c>
      <c r="AA5" s="1224"/>
      <c r="AB5" s="1224"/>
      <c r="AC5" s="1224"/>
      <c r="AD5" s="1224" t="s">
        <v>1230</v>
      </c>
      <c r="AE5" s="1224"/>
      <c r="AF5" s="1224"/>
      <c r="AG5" s="1224"/>
      <c r="AH5" s="1224"/>
      <c r="AI5" s="1224"/>
      <c r="AJ5" s="1081"/>
      <c r="AK5" s="1081"/>
      <c r="AL5" s="1081"/>
      <c r="AM5" s="1081"/>
      <c r="AN5" s="1081"/>
      <c r="AO5" s="1081"/>
      <c r="AP5" s="1081"/>
      <c r="AQ5" s="1081"/>
      <c r="AR5" s="1081"/>
      <c r="AS5" s="1133"/>
      <c r="AT5" s="1048"/>
      <c r="AU5" s="1080" t="s">
        <v>899</v>
      </c>
      <c r="AV5" s="1081"/>
      <c r="AW5" s="1081"/>
      <c r="AX5" s="1081"/>
      <c r="AY5" s="1081"/>
      <c r="AZ5" s="1896"/>
      <c r="BA5" s="1048"/>
      <c r="BB5" s="1076"/>
      <c r="BC5" s="1048"/>
      <c r="BD5" s="1082"/>
      <c r="BE5" s="1048"/>
      <c r="BF5" s="1048"/>
      <c r="BG5" s="1048"/>
      <c r="BH5" s="1048"/>
      <c r="BI5" s="1048"/>
      <c r="BJ5" s="1048"/>
      <c r="BK5" s="1048"/>
      <c r="BL5" s="1048"/>
      <c r="BM5" s="1107"/>
      <c r="BN5" s="1107"/>
      <c r="BO5" s="1107"/>
      <c r="BP5" s="1107"/>
      <c r="BQ5" s="1107"/>
      <c r="BR5" s="1107"/>
      <c r="BS5" s="1107"/>
      <c r="BT5" s="1107"/>
      <c r="BU5" s="1045"/>
    </row>
    <row r="6" spans="1:73" ht="17.45" customHeight="1">
      <c r="A6" s="1133"/>
      <c r="B6" s="1133"/>
      <c r="C6" s="1133"/>
      <c r="D6" s="1133"/>
      <c r="E6" s="1133"/>
      <c r="F6" s="1133"/>
      <c r="G6" s="1133"/>
      <c r="H6" s="1133"/>
      <c r="I6" s="1133"/>
      <c r="J6" s="1133" t="s">
        <v>1575</v>
      </c>
      <c r="K6" s="1133"/>
      <c r="L6" s="1133"/>
      <c r="M6" s="1133"/>
      <c r="N6" s="1133"/>
      <c r="O6" s="1133"/>
      <c r="P6" s="1133"/>
      <c r="Q6" s="1133"/>
      <c r="R6" s="1133"/>
      <c r="S6" s="1133"/>
      <c r="T6" s="1133"/>
      <c r="U6" s="1133"/>
      <c r="V6" s="1133"/>
      <c r="W6" s="1224"/>
      <c r="X6" s="1224"/>
      <c r="Y6" s="1224"/>
      <c r="Z6" s="1224"/>
      <c r="AA6" s="1224"/>
      <c r="AB6" s="1224"/>
      <c r="AC6" s="1224"/>
      <c r="AD6" s="1224"/>
      <c r="AE6" s="1224"/>
      <c r="AF6" s="1224"/>
      <c r="AG6" s="1224"/>
      <c r="AH6" s="1224"/>
      <c r="AI6" s="1224"/>
      <c r="AJ6" s="1081"/>
      <c r="AK6" s="1081"/>
      <c r="AL6" s="1081"/>
      <c r="AM6" s="1081"/>
      <c r="AN6" s="1081"/>
      <c r="AO6" s="1081"/>
      <c r="AP6" s="1081"/>
      <c r="AQ6" s="1081"/>
      <c r="AR6" s="1081"/>
      <c r="AS6" s="1133"/>
      <c r="AT6" s="1048"/>
      <c r="AU6" s="1083" t="s">
        <v>900</v>
      </c>
      <c r="AV6" s="1081"/>
      <c r="AW6" s="1081"/>
      <c r="AX6" s="1081"/>
      <c r="AY6" s="1048"/>
      <c r="AZ6" s="1081"/>
      <c r="BA6" s="1048"/>
      <c r="BB6" s="1076"/>
      <c r="BC6" s="1048"/>
      <c r="BD6" s="1082"/>
      <c r="BE6" s="1048"/>
      <c r="BF6" s="1048"/>
      <c r="BG6" s="1048"/>
      <c r="BH6" s="1048"/>
      <c r="BI6" s="1048"/>
      <c r="BJ6" s="1048"/>
      <c r="BK6" s="1048"/>
      <c r="BL6" s="1082" t="s">
        <v>607</v>
      </c>
      <c r="BM6" s="1107"/>
      <c r="BN6" s="1108" t="s">
        <v>604</v>
      </c>
      <c r="BO6" s="1107"/>
      <c r="BP6" s="1107"/>
      <c r="BQ6" s="1107"/>
      <c r="BR6" s="1107"/>
      <c r="BS6" s="1107"/>
      <c r="BT6" s="1107"/>
      <c r="BU6" s="1045"/>
    </row>
    <row r="7" spans="1:73" ht="17.45" customHeight="1">
      <c r="A7" s="1133"/>
      <c r="B7" s="1133" t="s">
        <v>1165</v>
      </c>
      <c r="C7" s="1133" t="s">
        <v>1332</v>
      </c>
      <c r="D7" s="1133"/>
      <c r="E7" s="1133"/>
      <c r="F7" s="1133"/>
      <c r="G7" s="1133"/>
      <c r="H7" s="1133"/>
      <c r="I7" s="1133"/>
      <c r="J7" s="1133"/>
      <c r="K7" s="1133"/>
      <c r="L7" s="1133"/>
      <c r="M7" s="1133"/>
      <c r="N7" s="1133"/>
      <c r="O7" s="1133"/>
      <c r="P7" s="1133"/>
      <c r="Q7" s="1133"/>
      <c r="R7" s="1133"/>
      <c r="S7" s="1133"/>
      <c r="T7" s="1133"/>
      <c r="U7" s="1133"/>
      <c r="V7" s="1133"/>
      <c r="W7" s="1224"/>
      <c r="X7" s="1224"/>
      <c r="Y7" s="1224"/>
      <c r="Z7" s="1224"/>
      <c r="AA7" s="1224"/>
      <c r="AB7" s="1224"/>
      <c r="AC7" s="1224"/>
      <c r="AD7" s="1224"/>
      <c r="AE7" s="1224"/>
      <c r="AF7" s="1224"/>
      <c r="AG7" s="1224"/>
      <c r="AH7" s="1224"/>
      <c r="AI7" s="1224"/>
      <c r="AJ7" s="1081"/>
      <c r="AK7" s="1081"/>
      <c r="AL7" s="1081"/>
      <c r="AM7" s="1081"/>
      <c r="AN7" s="1081"/>
      <c r="AO7" s="1081"/>
      <c r="AP7" s="1081"/>
      <c r="AQ7" s="1081"/>
      <c r="AR7" s="1081"/>
      <c r="AS7" s="1133"/>
      <c r="AT7" s="1048"/>
      <c r="AU7" s="1081"/>
      <c r="AV7" s="1081"/>
      <c r="AW7" s="1081"/>
      <c r="AX7" s="1081"/>
      <c r="AY7" s="1048"/>
      <c r="AZ7" s="1081"/>
      <c r="BA7" s="1081"/>
      <c r="BB7" s="1081"/>
      <c r="BC7" s="1048"/>
      <c r="BD7" s="1048"/>
      <c r="BE7" s="1048"/>
      <c r="BF7" s="1048"/>
      <c r="BG7" s="1048"/>
      <c r="BH7" s="1048"/>
      <c r="BI7" s="1048"/>
      <c r="BJ7" s="1048"/>
      <c r="BK7" s="1048"/>
      <c r="BL7" s="1048" t="s">
        <v>607</v>
      </c>
      <c r="BM7" s="1107"/>
      <c r="BN7" s="1108" t="s">
        <v>605</v>
      </c>
      <c r="BO7" s="1107"/>
      <c r="BP7" s="1107"/>
      <c r="BQ7" s="1107"/>
      <c r="BR7" s="1107"/>
      <c r="BS7" s="1107"/>
      <c r="BT7" s="1107"/>
      <c r="BU7" s="1045"/>
    </row>
    <row r="8" spans="1:73" ht="17.45" customHeight="1">
      <c r="A8" s="1133"/>
      <c r="B8" s="1133"/>
      <c r="C8" s="1133" t="s">
        <v>1333</v>
      </c>
      <c r="D8" s="1133"/>
      <c r="E8" s="1133"/>
      <c r="F8" s="1133"/>
      <c r="G8" s="1133"/>
      <c r="H8" s="1133"/>
      <c r="I8" s="1133"/>
      <c r="J8" s="1133"/>
      <c r="K8" s="1133"/>
      <c r="L8" s="1133"/>
      <c r="M8" s="1133"/>
      <c r="N8" s="1133"/>
      <c r="O8" s="1133"/>
      <c r="P8" s="1133"/>
      <c r="Q8" s="1133"/>
      <c r="R8" s="1133"/>
      <c r="S8" s="1133"/>
      <c r="T8" s="1133"/>
      <c r="U8" s="1133"/>
      <c r="V8" s="1133"/>
      <c r="W8" s="1224"/>
      <c r="X8" s="1224"/>
      <c r="Y8" s="1224"/>
      <c r="Z8" s="1224"/>
      <c r="AA8" s="1224"/>
      <c r="AB8" s="1224"/>
      <c r="AC8" s="1224"/>
      <c r="AD8" s="1224"/>
      <c r="AE8" s="1224"/>
      <c r="AF8" s="1224"/>
      <c r="AG8" s="1224"/>
      <c r="AH8" s="1224"/>
      <c r="AI8" s="1224"/>
      <c r="AJ8" s="1081"/>
      <c r="AK8" s="1081"/>
      <c r="AL8" s="1081"/>
      <c r="AM8" s="1081"/>
      <c r="AN8" s="1081"/>
      <c r="AO8" s="1081"/>
      <c r="AP8" s="1081"/>
      <c r="AQ8" s="1081"/>
      <c r="AR8" s="1081"/>
      <c r="AS8" s="1133"/>
      <c r="AT8" s="1048"/>
      <c r="AU8" s="1081" t="s">
        <v>892</v>
      </c>
      <c r="AV8" s="1081"/>
      <c r="AW8" s="1081"/>
      <c r="AX8" s="1081"/>
      <c r="AY8" s="1048"/>
      <c r="AZ8" s="1081"/>
      <c r="BA8" s="1081"/>
      <c r="BB8" s="1081"/>
      <c r="BC8" s="1048"/>
      <c r="BD8" s="1048"/>
      <c r="BE8" s="1048"/>
      <c r="BF8" s="1048"/>
      <c r="BG8" s="1048"/>
      <c r="BH8" s="1048"/>
      <c r="BI8" s="1048"/>
      <c r="BJ8" s="1048"/>
      <c r="BK8" s="1048"/>
      <c r="BL8" s="1048" t="s">
        <v>611</v>
      </c>
      <c r="BM8" s="1109"/>
      <c r="BN8" s="1108" t="s">
        <v>610</v>
      </c>
      <c r="BO8" s="1107"/>
      <c r="BP8" s="1107"/>
      <c r="BQ8" s="1107"/>
      <c r="BR8" s="1107"/>
      <c r="BS8" s="1107"/>
      <c r="BT8" s="1107"/>
      <c r="BU8" s="1045"/>
    </row>
    <row r="9" spans="1:73" ht="17.45" customHeight="1">
      <c r="A9" s="1133"/>
      <c r="B9" s="1133" t="s">
        <v>1198</v>
      </c>
      <c r="C9" s="1133" t="s">
        <v>1315</v>
      </c>
      <c r="D9" s="1133"/>
      <c r="E9" s="1133"/>
      <c r="F9" s="1133"/>
      <c r="G9" s="1231"/>
      <c r="H9" s="1231"/>
      <c r="I9" s="1133"/>
      <c r="J9" s="1133"/>
      <c r="K9" s="1133"/>
      <c r="L9" s="1133"/>
      <c r="M9" s="1133"/>
      <c r="N9" s="1133"/>
      <c r="O9" s="1133"/>
      <c r="P9" s="1133"/>
      <c r="Q9" s="1133"/>
      <c r="R9" s="1133"/>
      <c r="S9" s="1133"/>
      <c r="T9" s="1133"/>
      <c r="U9" s="1133"/>
      <c r="V9" s="1133"/>
      <c r="W9" s="1224"/>
      <c r="X9" s="1224"/>
      <c r="Y9" s="1224"/>
      <c r="Z9" s="1224"/>
      <c r="AA9" s="1224"/>
      <c r="AB9" s="1224"/>
      <c r="AC9" s="1224"/>
      <c r="AD9" s="1224"/>
      <c r="AE9" s="1224"/>
      <c r="AF9" s="1224"/>
      <c r="AG9" s="1224"/>
      <c r="AH9" s="1224"/>
      <c r="AI9" s="1224"/>
      <c r="AJ9" s="1081"/>
      <c r="AK9" s="1081"/>
      <c r="AL9" s="1081"/>
      <c r="AM9" s="1081"/>
      <c r="AN9" s="1081"/>
      <c r="AO9" s="1081"/>
      <c r="AP9" s="1081"/>
      <c r="AQ9" s="1081"/>
      <c r="AR9" s="1081"/>
      <c r="AS9" s="1133"/>
      <c r="AT9" s="1048"/>
      <c r="AU9" s="1081" t="s">
        <v>964</v>
      </c>
      <c r="AV9" s="1081"/>
      <c r="AW9" s="1081"/>
      <c r="AX9" s="1081"/>
      <c r="AY9" s="1081"/>
      <c r="AZ9" s="1081"/>
      <c r="BA9" s="1081"/>
      <c r="BB9" s="1081"/>
      <c r="BC9" s="1048"/>
      <c r="BD9" s="1048"/>
      <c r="BE9" s="1048"/>
      <c r="BF9" s="1048"/>
      <c r="BG9" s="1048"/>
      <c r="BH9" s="1048"/>
      <c r="BI9" s="1048"/>
      <c r="BJ9" s="1048"/>
      <c r="BK9" s="1048"/>
      <c r="BL9" s="1048" t="s">
        <v>608</v>
      </c>
      <c r="BM9" s="1107"/>
      <c r="BN9" s="1108" t="s">
        <v>606</v>
      </c>
      <c r="BO9" s="1107"/>
      <c r="BP9" s="1107"/>
      <c r="BQ9" s="1107"/>
      <c r="BR9" s="1107"/>
      <c r="BS9" s="1107"/>
      <c r="BT9" s="1107"/>
      <c r="BU9" s="1045"/>
    </row>
    <row r="10" spans="1:73" ht="17.45" customHeight="1">
      <c r="A10" s="1134"/>
      <c r="B10" s="1133"/>
      <c r="C10" s="1133"/>
      <c r="D10" s="1133"/>
      <c r="E10" s="1133"/>
      <c r="F10" s="1133"/>
      <c r="G10" s="1133"/>
      <c r="H10" s="1133"/>
      <c r="I10" s="1133"/>
      <c r="J10" s="1133"/>
      <c r="K10" s="1133"/>
      <c r="L10" s="1133"/>
      <c r="M10" s="1133"/>
      <c r="N10" s="1133"/>
      <c r="O10" s="1133"/>
      <c r="P10" s="1133"/>
      <c r="Q10" s="1133"/>
      <c r="R10" s="1133"/>
      <c r="S10" s="1133"/>
      <c r="T10" s="1133"/>
      <c r="U10" s="1133"/>
      <c r="V10" s="1133"/>
      <c r="W10" s="1224"/>
      <c r="X10" s="1224"/>
      <c r="Y10" s="1224"/>
      <c r="Z10" s="1224"/>
      <c r="AA10" s="1224"/>
      <c r="AB10" s="1224"/>
      <c r="AC10" s="1224"/>
      <c r="AD10" s="1224"/>
      <c r="AE10" s="1224"/>
      <c r="AF10" s="1224"/>
      <c r="AG10" s="1224"/>
      <c r="AH10" s="1224"/>
      <c r="AI10" s="1224"/>
      <c r="AJ10" s="1081"/>
      <c r="AK10" s="1081"/>
      <c r="AL10" s="1081"/>
      <c r="AM10" s="1081"/>
      <c r="AN10" s="1081"/>
      <c r="AO10" s="1081"/>
      <c r="AP10" s="1081"/>
      <c r="AQ10" s="1081"/>
      <c r="AR10" s="1081"/>
      <c r="AS10" s="1133"/>
      <c r="AT10" s="1048"/>
      <c r="AU10" s="1081" t="s">
        <v>894</v>
      </c>
      <c r="AV10" s="1081"/>
      <c r="AW10" s="1081"/>
      <c r="AX10" s="1081"/>
      <c r="AY10" s="1081"/>
      <c r="AZ10" s="1081"/>
      <c r="BA10" s="1081"/>
      <c r="BB10" s="1081"/>
      <c r="BC10" s="1048"/>
      <c r="BD10" s="1048"/>
      <c r="BE10" s="1048"/>
      <c r="BF10" s="1048"/>
      <c r="BG10" s="1048"/>
      <c r="BH10" s="1048"/>
      <c r="BI10" s="1048"/>
      <c r="BJ10" s="1048"/>
      <c r="BK10" s="1048"/>
      <c r="BL10" s="1048" t="s">
        <v>609</v>
      </c>
      <c r="BM10" s="1107"/>
      <c r="BN10" s="1108" t="s">
        <v>599</v>
      </c>
      <c r="BO10" s="1107"/>
      <c r="BP10" s="1107"/>
      <c r="BQ10" s="1107"/>
      <c r="BR10" s="1107"/>
      <c r="BS10" s="1107"/>
      <c r="BT10" s="1107"/>
      <c r="BU10" s="1045"/>
    </row>
    <row r="11" spans="1:73" ht="17.45" customHeight="1">
      <c r="A11" s="1134" t="s">
        <v>1318</v>
      </c>
      <c r="B11" s="1133"/>
      <c r="C11" s="1133"/>
      <c r="D11" s="1133"/>
      <c r="E11" s="1133"/>
      <c r="F11" s="1133"/>
      <c r="G11" s="1133"/>
      <c r="H11" s="1133"/>
      <c r="I11" s="1133"/>
      <c r="J11" s="1133"/>
      <c r="K11" s="1133"/>
      <c r="L11" s="1133"/>
      <c r="M11" s="1133"/>
      <c r="N11" s="1133"/>
      <c r="O11" s="1133"/>
      <c r="P11" s="1133"/>
      <c r="Q11" s="1133"/>
      <c r="R11" s="1133"/>
      <c r="S11" s="1133"/>
      <c r="T11" s="1133"/>
      <c r="U11" s="1133"/>
      <c r="V11" s="1133"/>
      <c r="W11" s="1224"/>
      <c r="X11" s="1224"/>
      <c r="Y11" s="1224"/>
      <c r="Z11" s="1224"/>
      <c r="AA11" s="1224"/>
      <c r="AB11" s="1224"/>
      <c r="AC11" s="1224"/>
      <c r="AD11" s="1224"/>
      <c r="AE11" s="1224"/>
      <c r="AF11" s="1224"/>
      <c r="AG11" s="1224"/>
      <c r="AH11" s="1224"/>
      <c r="AI11" s="1224"/>
      <c r="AJ11" s="1081"/>
      <c r="AK11" s="1081"/>
      <c r="AL11" s="1081"/>
      <c r="AM11" s="1081"/>
      <c r="AN11" s="1081"/>
      <c r="AO11" s="1081"/>
      <c r="AP11" s="1081"/>
      <c r="AQ11" s="1081"/>
      <c r="AR11" s="1081"/>
      <c r="AS11" s="1133"/>
      <c r="AT11" s="1048"/>
      <c r="AU11" s="1081" t="s">
        <v>895</v>
      </c>
      <c r="AV11" s="1081"/>
      <c r="AW11" s="1081"/>
      <c r="AX11" s="1081"/>
      <c r="AY11" s="1081"/>
      <c r="AZ11" s="1081"/>
      <c r="BA11" s="1081"/>
      <c r="BB11" s="1081"/>
      <c r="BC11" s="1048"/>
      <c r="BD11" s="1048"/>
      <c r="BE11" s="1048"/>
      <c r="BF11" s="1048"/>
      <c r="BG11" s="1048"/>
      <c r="BH11" s="1048"/>
      <c r="BI11" s="1048"/>
      <c r="BJ11" s="1048"/>
      <c r="BK11" s="1048"/>
      <c r="BL11" s="1048"/>
      <c r="BM11" s="1107"/>
      <c r="BN11" s="1107"/>
      <c r="BO11" s="1107"/>
      <c r="BP11" s="1107"/>
      <c r="BQ11" s="1107"/>
      <c r="BR11" s="1107"/>
      <c r="BS11" s="1107"/>
      <c r="BT11" s="1107"/>
      <c r="BU11" s="1045"/>
    </row>
    <row r="12" spans="1:73" ht="17.45" customHeight="1">
      <c r="A12" s="1133"/>
      <c r="B12" s="1133"/>
      <c r="C12" s="1133"/>
      <c r="D12" s="1133"/>
      <c r="E12" s="1133"/>
      <c r="F12" s="1133"/>
      <c r="G12" s="1133"/>
      <c r="H12" s="1133"/>
      <c r="I12" s="1133"/>
      <c r="J12" s="1133"/>
      <c r="K12" s="1133"/>
      <c r="L12" s="1133"/>
      <c r="M12" s="1133"/>
      <c r="N12" s="1133"/>
      <c r="O12" s="1133"/>
      <c r="P12" s="1133"/>
      <c r="Q12" s="1133"/>
      <c r="R12" s="1133"/>
      <c r="S12" s="1133"/>
      <c r="T12" s="1133"/>
      <c r="U12" s="1133"/>
      <c r="V12" s="1133"/>
      <c r="W12" s="1224"/>
      <c r="X12" s="1224"/>
      <c r="Y12" s="1224"/>
      <c r="Z12" s="1224"/>
      <c r="AA12" s="1224"/>
      <c r="AB12" s="1224"/>
      <c r="AC12" s="1224"/>
      <c r="AD12" s="1224"/>
      <c r="AE12" s="1224"/>
      <c r="AF12" s="1224"/>
      <c r="AG12" s="1224"/>
      <c r="AH12" s="1224"/>
      <c r="AI12" s="1224"/>
      <c r="AJ12" s="1081"/>
      <c r="AK12" s="1081"/>
      <c r="AL12" s="1081"/>
      <c r="AM12" s="1081"/>
      <c r="AN12" s="1081"/>
      <c r="AO12" s="1081"/>
      <c r="AP12" s="1081"/>
      <c r="AQ12" s="1081"/>
      <c r="AR12" s="1081"/>
      <c r="AS12" s="1133"/>
      <c r="AT12" s="1048"/>
      <c r="AU12" s="1081" t="s">
        <v>896</v>
      </c>
      <c r="AV12" s="1081"/>
      <c r="AW12" s="1081"/>
      <c r="AX12" s="1081"/>
      <c r="AY12" s="1081"/>
      <c r="AZ12" s="1081"/>
      <c r="BA12" s="1081"/>
      <c r="BB12" s="1081"/>
      <c r="BC12" s="1048"/>
      <c r="BD12" s="1048"/>
      <c r="BE12" s="1048"/>
      <c r="BF12" s="1048"/>
      <c r="BG12" s="1048"/>
      <c r="BH12" s="1048"/>
      <c r="BI12" s="1048"/>
      <c r="BJ12" s="1048"/>
      <c r="BK12" s="1048"/>
      <c r="BL12" s="1048"/>
      <c r="BM12" s="1107"/>
      <c r="BN12" s="1107"/>
      <c r="BO12" s="1107"/>
      <c r="BP12" s="1107"/>
      <c r="BQ12" s="1107"/>
      <c r="BR12" s="1107"/>
      <c r="BS12" s="1107"/>
      <c r="BT12" s="1107"/>
      <c r="BU12" s="1045"/>
    </row>
    <row r="13" spans="1:73" ht="17.100000000000001" customHeight="1">
      <c r="A13" s="1133"/>
      <c r="B13" s="1133" t="s">
        <v>1182</v>
      </c>
      <c r="C13" s="1133" t="s">
        <v>1184</v>
      </c>
      <c r="D13" s="1133"/>
      <c r="E13" s="1133"/>
      <c r="F13" s="1133"/>
      <c r="G13" s="1133"/>
      <c r="H13" s="1133"/>
      <c r="I13" s="1133"/>
      <c r="J13" s="1133"/>
      <c r="K13" s="1133"/>
      <c r="L13" s="1133"/>
      <c r="M13" s="1133"/>
      <c r="N13" s="1133"/>
      <c r="O13" s="1133"/>
      <c r="P13" s="1133"/>
      <c r="Q13" s="1133"/>
      <c r="R13" s="1133"/>
      <c r="S13" s="1133"/>
      <c r="T13" s="1133"/>
      <c r="U13" s="1133"/>
      <c r="V13" s="1133"/>
      <c r="W13" s="1224"/>
      <c r="X13" s="1224"/>
      <c r="Y13" s="1224"/>
      <c r="Z13" s="1224"/>
      <c r="AA13" s="1224"/>
      <c r="AB13" s="1224"/>
      <c r="AC13" s="1224"/>
      <c r="AD13" s="1224"/>
      <c r="AE13" s="1224"/>
      <c r="AF13" s="1224"/>
      <c r="AG13" s="1224"/>
      <c r="AH13" s="1224"/>
      <c r="AI13" s="1224"/>
      <c r="AJ13" s="1081"/>
      <c r="AK13" s="1081"/>
      <c r="AL13" s="1081"/>
      <c r="AM13" s="1081"/>
      <c r="AN13" s="1081"/>
      <c r="AO13" s="1081"/>
      <c r="AP13" s="1081"/>
      <c r="AQ13" s="1081"/>
      <c r="AR13" s="1081"/>
      <c r="AS13" s="1133"/>
      <c r="AT13" s="1048"/>
      <c r="AU13" s="1081" t="s">
        <v>897</v>
      </c>
      <c r="AV13" s="1081"/>
      <c r="AW13" s="1081"/>
      <c r="AX13" s="1081"/>
      <c r="AY13" s="1081"/>
      <c r="AZ13" s="1081"/>
      <c r="BA13" s="1081"/>
      <c r="BB13" s="1081"/>
      <c r="BC13" s="1048"/>
      <c r="BD13" s="1048"/>
      <c r="BE13" s="1048"/>
      <c r="BF13" s="1048"/>
      <c r="BG13" s="1048"/>
      <c r="BH13" s="1048"/>
      <c r="BI13" s="1048"/>
      <c r="BJ13" s="1048"/>
      <c r="BK13" s="1048"/>
      <c r="BL13" s="1084"/>
      <c r="BM13" s="1107"/>
      <c r="BN13" s="1107"/>
      <c r="BO13" s="1107"/>
      <c r="BP13" s="1107"/>
      <c r="BQ13" s="1107"/>
      <c r="BR13" s="1107"/>
      <c r="BS13" s="1107"/>
      <c r="BT13" s="1107"/>
      <c r="BU13" s="1045"/>
    </row>
    <row r="14" spans="1:73" ht="17.45" customHeight="1">
      <c r="A14" s="1133"/>
      <c r="B14" s="1133" t="s">
        <v>1185</v>
      </c>
      <c r="C14" s="1133" t="s">
        <v>1186</v>
      </c>
      <c r="D14" s="1133"/>
      <c r="E14" s="1133"/>
      <c r="F14" s="1133"/>
      <c r="G14" s="1133"/>
      <c r="H14" s="1133"/>
      <c r="I14" s="1133"/>
      <c r="J14" s="1133"/>
      <c r="K14" s="1133"/>
      <c r="L14" s="1133"/>
      <c r="M14" s="1133"/>
      <c r="N14" s="1133"/>
      <c r="O14" s="1133"/>
      <c r="P14" s="1133"/>
      <c r="Q14" s="1133"/>
      <c r="R14" s="1133"/>
      <c r="S14" s="1133"/>
      <c r="T14" s="1133"/>
      <c r="U14" s="1133"/>
      <c r="V14" s="1133"/>
      <c r="W14" s="1224"/>
      <c r="X14" s="1224"/>
      <c r="Y14" s="1224"/>
      <c r="Z14" s="1224"/>
      <c r="AA14" s="1224"/>
      <c r="AB14" s="1224"/>
      <c r="AC14" s="1224"/>
      <c r="AD14" s="1224"/>
      <c r="AE14" s="1224"/>
      <c r="AF14" s="1224"/>
      <c r="AG14" s="1224"/>
      <c r="AH14" s="1224"/>
      <c r="AI14" s="1224"/>
      <c r="AJ14" s="1081"/>
      <c r="AK14" s="1081"/>
      <c r="AL14" s="1081"/>
      <c r="AM14" s="1081"/>
      <c r="AN14" s="1081"/>
      <c r="AO14" s="1081"/>
      <c r="AP14" s="1081"/>
      <c r="AQ14" s="1081"/>
      <c r="AR14" s="1081"/>
      <c r="AS14" s="1133"/>
      <c r="AT14" s="1048"/>
      <c r="AU14" s="1081"/>
      <c r="AV14" s="1081"/>
      <c r="AW14" s="1081"/>
      <c r="AX14" s="1081"/>
      <c r="AY14" s="1081"/>
      <c r="AZ14" s="1081"/>
      <c r="BA14" s="1081"/>
      <c r="BB14" s="1081"/>
      <c r="BC14" s="1077" t="s">
        <v>597</v>
      </c>
      <c r="BD14" s="1085" t="s">
        <v>813</v>
      </c>
      <c r="BE14" s="1048"/>
      <c r="BF14" s="1048"/>
      <c r="BG14" s="1048"/>
      <c r="BH14" s="1048"/>
      <c r="BI14" s="1048"/>
      <c r="BJ14" s="1048"/>
      <c r="BK14" s="1048"/>
      <c r="BL14" s="1048"/>
      <c r="BM14" s="1107"/>
      <c r="BN14" s="1108"/>
      <c r="BO14" s="1107"/>
      <c r="BP14" s="1107"/>
      <c r="BQ14" s="1107"/>
      <c r="BR14" s="1107"/>
      <c r="BS14" s="1107"/>
      <c r="BT14" s="1107"/>
      <c r="BU14" s="1045"/>
    </row>
    <row r="15" spans="1:73" ht="17.45" customHeight="1">
      <c r="A15" s="1133"/>
      <c r="B15" s="1133" t="s">
        <v>1187</v>
      </c>
      <c r="C15" s="1133" t="s">
        <v>1188</v>
      </c>
      <c r="D15" s="1133"/>
      <c r="E15" s="1133"/>
      <c r="F15" s="1133"/>
      <c r="G15" s="1133"/>
      <c r="H15" s="1133"/>
      <c r="I15" s="1133"/>
      <c r="J15" s="1133"/>
      <c r="K15" s="1133"/>
      <c r="L15" s="1133"/>
      <c r="M15" s="1133"/>
      <c r="N15" s="1133"/>
      <c r="O15" s="1133"/>
      <c r="P15" s="1133"/>
      <c r="Q15" s="1133"/>
      <c r="R15" s="1133"/>
      <c r="S15" s="1133"/>
      <c r="T15" s="1133"/>
      <c r="U15" s="1133"/>
      <c r="V15" s="1133"/>
      <c r="W15" s="1224"/>
      <c r="X15" s="1224"/>
      <c r="Y15" s="1224"/>
      <c r="Z15" s="1224"/>
      <c r="AA15" s="1224"/>
      <c r="AB15" s="1224"/>
      <c r="AC15" s="1224"/>
      <c r="AD15" s="1224"/>
      <c r="AE15" s="1224"/>
      <c r="AF15" s="1224"/>
      <c r="AG15" s="1224"/>
      <c r="AH15" s="1224"/>
      <c r="AI15" s="1224"/>
      <c r="AJ15" s="1081"/>
      <c r="AK15" s="1081"/>
      <c r="AL15" s="1081"/>
      <c r="AM15" s="1081"/>
      <c r="AN15" s="1081"/>
      <c r="AO15" s="1081"/>
      <c r="AP15" s="1081"/>
      <c r="AQ15" s="1081"/>
      <c r="AR15" s="1081"/>
      <c r="AS15" s="1133"/>
      <c r="AT15" s="1048"/>
      <c r="AU15" s="1086" t="s">
        <v>977</v>
      </c>
      <c r="AV15" s="1081"/>
      <c r="AW15" s="1081"/>
      <c r="AX15" s="1081"/>
      <c r="AY15" s="1081"/>
      <c r="AZ15" s="1081"/>
      <c r="BA15" s="1081"/>
      <c r="BB15" s="1081"/>
      <c r="BC15" s="1048"/>
      <c r="BD15" s="1082" t="s">
        <v>1137</v>
      </c>
      <c r="BE15" s="1048"/>
      <c r="BF15" s="1048"/>
      <c r="BG15" s="1048"/>
      <c r="BH15" s="1048"/>
      <c r="BI15" s="1048"/>
      <c r="BJ15" s="1048"/>
      <c r="BK15" s="1048"/>
      <c r="BL15" s="1048"/>
      <c r="BM15" s="1107"/>
      <c r="BN15" s="1108"/>
      <c r="BO15" s="1107"/>
      <c r="BP15" s="1107"/>
      <c r="BQ15" s="1107"/>
      <c r="BR15" s="1107"/>
      <c r="BS15" s="1107"/>
      <c r="BT15" s="1107"/>
      <c r="BU15" s="1045"/>
    </row>
    <row r="16" spans="1:73" ht="17.45" customHeight="1">
      <c r="A16" s="1133"/>
      <c r="B16" s="1133"/>
      <c r="C16" s="1133" t="s">
        <v>1189</v>
      </c>
      <c r="D16" s="1133"/>
      <c r="E16" s="1133"/>
      <c r="F16" s="1133"/>
      <c r="G16" s="1133"/>
      <c r="H16" s="1133"/>
      <c r="I16" s="1133"/>
      <c r="J16" s="1133"/>
      <c r="K16" s="1133"/>
      <c r="L16" s="1133"/>
      <c r="M16" s="1133"/>
      <c r="N16" s="1133"/>
      <c r="O16" s="1133"/>
      <c r="P16" s="1133"/>
      <c r="Q16" s="1133"/>
      <c r="R16" s="1133"/>
      <c r="S16" s="1133"/>
      <c r="T16" s="1133"/>
      <c r="U16" s="1133"/>
      <c r="V16" s="1133"/>
      <c r="W16" s="1224"/>
      <c r="X16" s="1224"/>
      <c r="Y16" s="1224"/>
      <c r="Z16" s="1224"/>
      <c r="AA16" s="1224"/>
      <c r="AB16" s="1224"/>
      <c r="AC16" s="1224"/>
      <c r="AD16" s="1224"/>
      <c r="AE16" s="1224"/>
      <c r="AF16" s="1224"/>
      <c r="AG16" s="1224"/>
      <c r="AH16" s="1224"/>
      <c r="AI16" s="1224"/>
      <c r="AJ16" s="1081"/>
      <c r="AK16" s="1081"/>
      <c r="AL16" s="1081"/>
      <c r="AM16" s="1081"/>
      <c r="AN16" s="1081"/>
      <c r="AO16" s="1081"/>
      <c r="AP16" s="1081"/>
      <c r="AQ16" s="1081"/>
      <c r="AR16" s="1081"/>
      <c r="AS16" s="1133"/>
      <c r="AT16" s="1048"/>
      <c r="AU16" s="1086" t="s">
        <v>978</v>
      </c>
      <c r="AV16" s="1081"/>
      <c r="AW16" s="1081"/>
      <c r="AX16" s="1081"/>
      <c r="AY16" s="1081"/>
      <c r="AZ16" s="1081"/>
      <c r="BA16" s="1081"/>
      <c r="BB16" s="1081"/>
      <c r="BC16" s="1077"/>
      <c r="BD16" s="1085"/>
      <c r="BE16" s="1048"/>
      <c r="BF16" s="1048"/>
      <c r="BG16" s="1048"/>
      <c r="BH16" s="1048"/>
      <c r="BI16" s="1048"/>
      <c r="BJ16" s="1897" t="s">
        <v>1141</v>
      </c>
      <c r="BK16" s="1897"/>
      <c r="BL16" s="1897"/>
      <c r="BM16" s="1107"/>
      <c r="BN16" s="1107"/>
      <c r="BO16" s="1107"/>
      <c r="BP16" s="1107"/>
      <c r="BQ16" s="1107"/>
      <c r="BR16" s="1107"/>
      <c r="BS16" s="1107"/>
      <c r="BT16" s="1107"/>
      <c r="BU16" s="1045"/>
    </row>
    <row r="17" spans="1:73" ht="17.45" customHeight="1">
      <c r="A17" s="1133"/>
      <c r="B17" s="1133" t="s">
        <v>1190</v>
      </c>
      <c r="C17" s="1133" t="s">
        <v>1191</v>
      </c>
      <c r="D17" s="1133"/>
      <c r="E17" s="1133"/>
      <c r="F17" s="1133"/>
      <c r="G17" s="1133"/>
      <c r="H17" s="1133"/>
      <c r="I17" s="1133"/>
      <c r="J17" s="1133"/>
      <c r="K17" s="1133"/>
      <c r="L17" s="1133"/>
      <c r="M17" s="1133"/>
      <c r="N17" s="1133"/>
      <c r="O17" s="1133"/>
      <c r="P17" s="1133"/>
      <c r="Q17" s="1133"/>
      <c r="R17" s="1133"/>
      <c r="S17" s="1133"/>
      <c r="T17" s="1133"/>
      <c r="U17" s="1133"/>
      <c r="V17" s="1133"/>
      <c r="W17" s="1224"/>
      <c r="X17" s="1224"/>
      <c r="Y17" s="1224"/>
      <c r="Z17" s="1224"/>
      <c r="AA17" s="1224"/>
      <c r="AB17" s="1224"/>
      <c r="AC17" s="1224"/>
      <c r="AD17" s="1224"/>
      <c r="AE17" s="1224"/>
      <c r="AF17" s="1224"/>
      <c r="AG17" s="1224"/>
      <c r="AH17" s="1224"/>
      <c r="AI17" s="1224"/>
      <c r="AJ17" s="1081"/>
      <c r="AK17" s="1081"/>
      <c r="AL17" s="1081"/>
      <c r="AM17" s="1081"/>
      <c r="AN17" s="1081"/>
      <c r="AO17" s="1081"/>
      <c r="AP17" s="1081"/>
      <c r="AQ17" s="1081"/>
      <c r="AR17" s="1081"/>
      <c r="AS17" s="1133"/>
      <c r="AT17" s="1048"/>
      <c r="AU17" s="1086" t="s">
        <v>1018</v>
      </c>
      <c r="AV17" s="1081"/>
      <c r="AW17" s="1081"/>
      <c r="AX17" s="1081"/>
      <c r="AY17" s="1081"/>
      <c r="AZ17" s="1081"/>
      <c r="BA17" s="1081"/>
      <c r="BB17" s="1081"/>
      <c r="BC17" s="1048"/>
      <c r="BD17" s="1087" t="s">
        <v>890</v>
      </c>
      <c r="BE17" s="1048"/>
      <c r="BF17" s="1048"/>
      <c r="BG17" s="1048"/>
      <c r="BH17" s="1048"/>
      <c r="BI17" s="1048"/>
      <c r="BJ17" s="1897"/>
      <c r="BK17" s="1897"/>
      <c r="BL17" s="1897"/>
      <c r="BM17" s="1107"/>
      <c r="BN17" s="1107"/>
      <c r="BO17" s="1107"/>
      <c r="BP17" s="1107"/>
      <c r="BQ17" s="1107"/>
      <c r="BR17" s="1107"/>
      <c r="BS17" s="1107"/>
      <c r="BT17" s="1107"/>
      <c r="BU17" s="1045"/>
    </row>
    <row r="18" spans="1:73" ht="17.45" customHeight="1">
      <c r="A18" s="1133"/>
      <c r="B18" s="1133" t="s">
        <v>1192</v>
      </c>
      <c r="C18" s="1133" t="s">
        <v>1317</v>
      </c>
      <c r="D18" s="1133"/>
      <c r="E18" s="1133"/>
      <c r="F18" s="1133"/>
      <c r="G18" s="1133"/>
      <c r="H18" s="1133"/>
      <c r="I18" s="1133"/>
      <c r="J18" s="1133"/>
      <c r="K18" s="1133"/>
      <c r="L18" s="1133"/>
      <c r="M18" s="1133"/>
      <c r="N18" s="1133"/>
      <c r="O18" s="1133"/>
      <c r="P18" s="1133"/>
      <c r="Q18" s="1133"/>
      <c r="R18" s="1133"/>
      <c r="S18" s="1133"/>
      <c r="T18" s="1133"/>
      <c r="U18" s="1133"/>
      <c r="V18" s="1133"/>
      <c r="W18" s="1224"/>
      <c r="X18" s="1224"/>
      <c r="Y18" s="1224"/>
      <c r="Z18" s="1224"/>
      <c r="AA18" s="1224"/>
      <c r="AB18" s="1224"/>
      <c r="AC18" s="1224"/>
      <c r="AD18" s="1224"/>
      <c r="AE18" s="1224"/>
      <c r="AF18" s="1224"/>
      <c r="AG18" s="1224"/>
      <c r="AH18" s="1224"/>
      <c r="AI18" s="1224"/>
      <c r="AJ18" s="1081"/>
      <c r="AK18" s="1081"/>
      <c r="AL18" s="1081"/>
      <c r="AM18" s="1081"/>
      <c r="AN18" s="1081"/>
      <c r="AO18" s="1081"/>
      <c r="AP18" s="1081"/>
      <c r="AQ18" s="1081"/>
      <c r="AR18" s="1081"/>
      <c r="AS18" s="1133"/>
      <c r="AT18" s="1048"/>
      <c r="AU18" s="1086" t="s">
        <v>979</v>
      </c>
      <c r="AV18" s="1081"/>
      <c r="AW18" s="1081"/>
      <c r="AX18" s="1081"/>
      <c r="AY18" s="1081"/>
      <c r="AZ18" s="1081"/>
      <c r="BA18" s="1081"/>
      <c r="BB18" s="1081"/>
      <c r="BC18" s="1048"/>
      <c r="BD18" s="1048"/>
      <c r="BE18" s="1048"/>
      <c r="BF18" s="1048"/>
      <c r="BG18" s="1048"/>
      <c r="BH18" s="1048"/>
      <c r="BI18" s="1048"/>
      <c r="BJ18" s="1048"/>
      <c r="BK18" s="1048"/>
      <c r="BL18" s="1048"/>
      <c r="BM18" s="1107"/>
      <c r="BN18" s="1107"/>
      <c r="BO18" s="1107"/>
      <c r="BP18" s="1107"/>
      <c r="BQ18" s="1107"/>
      <c r="BR18" s="1107"/>
      <c r="BS18" s="1107"/>
      <c r="BT18" s="1107"/>
      <c r="BU18" s="1045"/>
    </row>
    <row r="19" spans="1:73" ht="17.45" customHeight="1">
      <c r="A19" s="1133"/>
      <c r="B19" s="1133" t="s">
        <v>1319</v>
      </c>
      <c r="C19" s="1133" t="s">
        <v>1370</v>
      </c>
      <c r="D19" s="1133"/>
      <c r="E19" s="1133"/>
      <c r="F19" s="1133"/>
      <c r="G19" s="1133"/>
      <c r="H19" s="1231"/>
      <c r="I19" s="1133"/>
      <c r="J19" s="1133"/>
      <c r="K19" s="1133"/>
      <c r="L19" s="1133"/>
      <c r="M19" s="1133"/>
      <c r="N19" s="1133"/>
      <c r="O19" s="1133"/>
      <c r="P19" s="1133"/>
      <c r="Q19" s="1133"/>
      <c r="R19" s="1133"/>
      <c r="S19" s="1133"/>
      <c r="T19" s="1133"/>
      <c r="U19" s="1133"/>
      <c r="V19" s="1133"/>
      <c r="W19" s="1224"/>
      <c r="X19" s="1224"/>
      <c r="Y19" s="1224"/>
      <c r="Z19" s="1224"/>
      <c r="AA19" s="1224"/>
      <c r="AB19" s="1224"/>
      <c r="AC19" s="1224"/>
      <c r="AD19" s="1224"/>
      <c r="AE19" s="1224"/>
      <c r="AF19" s="1224"/>
      <c r="AG19" s="1224"/>
      <c r="AH19" s="1224"/>
      <c r="AI19" s="1224"/>
      <c r="AJ19" s="1081"/>
      <c r="AK19" s="1081"/>
      <c r="AL19" s="1081"/>
      <c r="AM19" s="1081"/>
      <c r="AN19" s="1081"/>
      <c r="AO19" s="1081"/>
      <c r="AP19" s="1081"/>
      <c r="AQ19" s="1081"/>
      <c r="AR19" s="1081"/>
      <c r="AS19" s="1133"/>
      <c r="AT19" s="1048"/>
      <c r="AU19" s="1086" t="s">
        <v>980</v>
      </c>
      <c r="AV19" s="1081"/>
      <c r="AW19" s="1081"/>
      <c r="AX19" s="1081"/>
      <c r="AY19" s="1081"/>
      <c r="AZ19" s="1081"/>
      <c r="BA19" s="1081"/>
      <c r="BB19" s="1081"/>
      <c r="BC19" s="1048"/>
      <c r="BD19" s="1087"/>
      <c r="BE19" s="1047"/>
      <c r="BF19" s="1047"/>
      <c r="BG19" s="1047"/>
      <c r="BH19" s="1047"/>
      <c r="BI19" s="1047"/>
      <c r="BJ19" s="1047"/>
      <c r="BK19" s="1047"/>
      <c r="BL19" s="1048"/>
      <c r="BM19" s="1110" t="s">
        <v>887</v>
      </c>
      <c r="BN19" s="1111"/>
      <c r="BO19" s="1111"/>
      <c r="BP19" s="1111"/>
      <c r="BQ19" s="1111"/>
      <c r="BR19" s="1111"/>
      <c r="BS19" s="1111"/>
      <c r="BT19" s="1111"/>
      <c r="BU19" s="1045"/>
    </row>
    <row r="20" spans="1:73" ht="17.45" customHeight="1">
      <c r="A20" s="1134"/>
      <c r="B20" s="1230" t="s">
        <v>1365</v>
      </c>
      <c r="C20" s="1133" t="s">
        <v>1371</v>
      </c>
      <c r="D20" s="1133"/>
      <c r="E20" s="1133"/>
      <c r="F20" s="1133"/>
      <c r="G20" s="1133"/>
      <c r="H20" s="1231"/>
      <c r="I20" s="1133"/>
      <c r="J20" s="1133"/>
      <c r="K20" s="1133"/>
      <c r="L20" s="1133"/>
      <c r="M20" s="1133"/>
      <c r="N20" s="1133"/>
      <c r="O20" s="1133"/>
      <c r="P20" s="1133"/>
      <c r="Q20" s="1133"/>
      <c r="R20" s="1133"/>
      <c r="S20" s="1133"/>
      <c r="T20" s="1133"/>
      <c r="U20" s="1133"/>
      <c r="V20" s="1133"/>
      <c r="W20" s="1224"/>
      <c r="X20" s="1224"/>
      <c r="Y20" s="1224"/>
      <c r="Z20" s="1224"/>
      <c r="AA20" s="1224"/>
      <c r="AB20" s="1224"/>
      <c r="AC20" s="1224"/>
      <c r="AD20" s="1224"/>
      <c r="AE20" s="1224"/>
      <c r="AF20" s="1224"/>
      <c r="AG20" s="1224"/>
      <c r="AH20" s="1224"/>
      <c r="AI20" s="1224"/>
      <c r="AJ20" s="1081"/>
      <c r="AK20" s="1081"/>
      <c r="AL20" s="1081"/>
      <c r="AM20" s="1081"/>
      <c r="AN20" s="1081"/>
      <c r="AO20" s="1081"/>
      <c r="AP20" s="1081"/>
      <c r="AQ20" s="1081"/>
      <c r="AR20" s="1081"/>
      <c r="AS20" s="1133"/>
      <c r="AT20" s="1048"/>
      <c r="AU20" s="1081"/>
      <c r="AV20" s="1081"/>
      <c r="AW20" s="1081"/>
      <c r="AX20" s="1081"/>
      <c r="AY20" s="1081"/>
      <c r="AZ20" s="1081"/>
      <c r="BA20" s="1081"/>
      <c r="BB20" s="1081"/>
      <c r="BC20" s="1048"/>
      <c r="BD20" s="1048"/>
      <c r="BE20" s="1048"/>
      <c r="BF20" s="1048"/>
      <c r="BG20" s="1048"/>
      <c r="BH20" s="1048"/>
      <c r="BI20" s="1048"/>
      <c r="BJ20" s="1048"/>
      <c r="BK20" s="1048"/>
      <c r="BL20" s="1048"/>
      <c r="BM20" s="1111" t="s">
        <v>888</v>
      </c>
      <c r="BN20" s="1107"/>
      <c r="BO20" s="1107"/>
      <c r="BP20" s="1107"/>
      <c r="BQ20" s="1107"/>
      <c r="BR20" s="1107"/>
      <c r="BS20" s="1107"/>
      <c r="BT20" s="1107"/>
      <c r="BU20" s="1045"/>
    </row>
    <row r="21" spans="1:73" ht="17.45" customHeight="1">
      <c r="A21" s="1134"/>
      <c r="B21" s="1230"/>
      <c r="C21" s="1133" t="s">
        <v>1372</v>
      </c>
      <c r="D21" s="1133"/>
      <c r="E21" s="1133"/>
      <c r="F21" s="1133"/>
      <c r="G21" s="1133"/>
      <c r="H21" s="1133"/>
      <c r="I21" s="1133"/>
      <c r="J21" s="1133"/>
      <c r="K21" s="1133"/>
      <c r="L21" s="1133"/>
      <c r="M21" s="1133"/>
      <c r="N21" s="1133"/>
      <c r="O21" s="1133"/>
      <c r="P21" s="1133"/>
      <c r="Q21" s="1133"/>
      <c r="R21" s="1133"/>
      <c r="S21" s="1133"/>
      <c r="T21" s="1133"/>
      <c r="U21" s="1133"/>
      <c r="V21" s="1133"/>
      <c r="W21" s="1224"/>
      <c r="X21" s="1224"/>
      <c r="Y21" s="1224"/>
      <c r="Z21" s="1224"/>
      <c r="AA21" s="1224"/>
      <c r="AB21" s="1224"/>
      <c r="AC21" s="1224"/>
      <c r="AD21" s="1224"/>
      <c r="AE21" s="1224"/>
      <c r="AF21" s="1224"/>
      <c r="AG21" s="1224"/>
      <c r="AH21" s="1224"/>
      <c r="AI21" s="1224"/>
      <c r="AJ21" s="1081"/>
      <c r="AK21" s="1081"/>
      <c r="AL21" s="1081"/>
      <c r="AM21" s="1081"/>
      <c r="AN21" s="1081"/>
      <c r="AO21" s="1081"/>
      <c r="AP21" s="1081"/>
      <c r="AQ21" s="1081"/>
      <c r="AR21" s="1081"/>
      <c r="AS21" s="1133"/>
      <c r="AT21" s="1048"/>
      <c r="AU21" s="1088"/>
      <c r="AV21" s="1081"/>
      <c r="AW21" s="1081"/>
      <c r="AX21" s="1081"/>
      <c r="AY21" s="1081"/>
      <c r="AZ21" s="1081"/>
      <c r="BA21" s="1081"/>
      <c r="BB21" s="1081"/>
      <c r="BC21" s="1048"/>
      <c r="BD21" s="1048"/>
      <c r="BE21" s="1048"/>
      <c r="BF21" s="1048"/>
      <c r="BG21" s="1048"/>
      <c r="BH21" s="1048"/>
      <c r="BI21" s="1048"/>
      <c r="BJ21" s="1048"/>
      <c r="BK21" s="1048"/>
      <c r="BL21" s="1048"/>
      <c r="BM21" s="1111" t="s">
        <v>889</v>
      </c>
      <c r="BN21" s="1107"/>
      <c r="BO21" s="1107"/>
      <c r="BP21" s="1107"/>
      <c r="BQ21" s="1107"/>
      <c r="BR21" s="1107"/>
      <c r="BS21" s="1107"/>
      <c r="BT21" s="1107"/>
      <c r="BU21" s="1045"/>
    </row>
    <row r="22" spans="1:73" ht="17.45" customHeight="1">
      <c r="A22" s="1134"/>
      <c r="B22" s="1230"/>
      <c r="C22" s="1133" t="s">
        <v>1537</v>
      </c>
      <c r="D22" s="1133"/>
      <c r="E22" s="1133"/>
      <c r="F22" s="1133"/>
      <c r="G22" s="1133"/>
      <c r="H22" s="1231" t="s">
        <v>1316</v>
      </c>
      <c r="I22" s="1133"/>
      <c r="J22" s="1133"/>
      <c r="K22" s="1133"/>
      <c r="L22" s="1133"/>
      <c r="M22" s="1133"/>
      <c r="N22" s="1133"/>
      <c r="O22" s="1133"/>
      <c r="P22" s="1133"/>
      <c r="Q22" s="1133"/>
      <c r="R22" s="1133"/>
      <c r="S22" s="1133"/>
      <c r="T22" s="1133"/>
      <c r="U22" s="1133"/>
      <c r="V22" s="1133"/>
      <c r="W22" s="1224"/>
      <c r="X22" s="1224"/>
      <c r="Y22" s="1224"/>
      <c r="Z22" s="1224"/>
      <c r="AA22" s="1224"/>
      <c r="AB22" s="1224"/>
      <c r="AC22" s="1224"/>
      <c r="AD22" s="1224"/>
      <c r="AE22" s="1224"/>
      <c r="AF22" s="1224"/>
      <c r="AG22" s="1224"/>
      <c r="AH22" s="1224"/>
      <c r="AI22" s="1224"/>
      <c r="AJ22" s="1081"/>
      <c r="AK22" s="1081"/>
      <c r="AL22" s="1081"/>
      <c r="AM22" s="1081"/>
      <c r="AN22" s="1081"/>
      <c r="AO22" s="1081"/>
      <c r="AP22" s="1081"/>
      <c r="AQ22" s="1081"/>
      <c r="AR22" s="1081"/>
      <c r="AS22" s="1133"/>
      <c r="AT22" s="1048"/>
      <c r="AU22" s="1088" t="s">
        <v>965</v>
      </c>
      <c r="AV22" s="1081"/>
      <c r="AW22" s="1081"/>
      <c r="AX22" s="1081"/>
      <c r="AY22" s="1081"/>
      <c r="AZ22" s="1081"/>
      <c r="BA22" s="1081"/>
      <c r="BB22" s="1081"/>
      <c r="BC22" s="1048"/>
      <c r="BD22" s="1048"/>
      <c r="BE22" s="1048"/>
      <c r="BF22" s="1048"/>
      <c r="BG22" s="1048"/>
      <c r="BH22" s="1048"/>
      <c r="BI22" s="1048"/>
      <c r="BJ22" s="1048"/>
      <c r="BK22" s="1048"/>
      <c r="BL22" s="1048"/>
      <c r="BM22" s="1107"/>
      <c r="BN22" s="1107"/>
      <c r="BO22" s="1107"/>
      <c r="BP22" s="1107"/>
      <c r="BQ22" s="1107"/>
      <c r="BR22" s="1107"/>
      <c r="BS22" s="1107"/>
      <c r="BT22" s="1107"/>
      <c r="BU22" s="1045"/>
    </row>
    <row r="23" spans="1:73" ht="17.45" customHeight="1">
      <c r="A23" s="1134"/>
      <c r="B23" s="1133" t="s">
        <v>1320</v>
      </c>
      <c r="C23" s="1133" t="s">
        <v>1321</v>
      </c>
      <c r="D23" s="1133"/>
      <c r="E23" s="1133"/>
      <c r="F23" s="1133"/>
      <c r="G23" s="1133"/>
      <c r="H23" s="1133"/>
      <c r="I23" s="1133"/>
      <c r="J23" s="1133"/>
      <c r="K23" s="1133"/>
      <c r="L23" s="1133"/>
      <c r="M23" s="1133"/>
      <c r="N23" s="1133"/>
      <c r="O23" s="1133"/>
      <c r="P23" s="1133"/>
      <c r="Q23" s="1133"/>
      <c r="R23" s="1133"/>
      <c r="S23" s="1133"/>
      <c r="T23" s="1133"/>
      <c r="U23" s="1133"/>
      <c r="V23" s="1133"/>
      <c r="W23" s="1224"/>
      <c r="X23" s="1224"/>
      <c r="Y23" s="1224"/>
      <c r="Z23" s="1224"/>
      <c r="AA23" s="1224"/>
      <c r="AB23" s="1224"/>
      <c r="AC23" s="1224"/>
      <c r="AD23" s="1224"/>
      <c r="AE23" s="1224"/>
      <c r="AF23" s="1224"/>
      <c r="AG23" s="1224"/>
      <c r="AH23" s="1224"/>
      <c r="AI23" s="1224"/>
      <c r="AJ23" s="1081"/>
      <c r="AK23" s="1081"/>
      <c r="AL23" s="1081"/>
      <c r="AM23" s="1081"/>
      <c r="AN23" s="1081"/>
      <c r="AO23" s="1081"/>
      <c r="AP23" s="1081"/>
      <c r="AQ23" s="1081"/>
      <c r="AR23" s="1081"/>
      <c r="AS23" s="1133"/>
      <c r="AT23" s="1048"/>
      <c r="AU23" s="1081" t="s">
        <v>1058</v>
      </c>
      <c r="AV23" s="1081"/>
      <c r="AW23" s="1081"/>
      <c r="AX23" s="1081"/>
      <c r="AY23" s="1081"/>
      <c r="AZ23" s="1081"/>
      <c r="BA23" s="1081"/>
      <c r="BB23" s="1081"/>
      <c r="BC23" s="1048"/>
      <c r="BD23" s="1048"/>
      <c r="BE23" s="1048"/>
      <c r="BF23" s="1048"/>
      <c r="BG23" s="1048"/>
      <c r="BH23" s="1048"/>
      <c r="BI23" s="1048"/>
      <c r="BJ23" s="1048"/>
      <c r="BK23" s="1048"/>
      <c r="BL23" s="1048"/>
      <c r="BM23" s="1107" t="s">
        <v>821</v>
      </c>
      <c r="BN23" s="1107" t="s">
        <v>822</v>
      </c>
      <c r="BO23" s="1107"/>
      <c r="BP23" s="1107"/>
      <c r="BQ23" s="1107"/>
      <c r="BR23" s="1107" t="s">
        <v>823</v>
      </c>
      <c r="BS23" s="1107"/>
      <c r="BT23" s="1107"/>
      <c r="BU23" s="1045"/>
    </row>
    <row r="24" spans="1:73" ht="17.45" customHeight="1">
      <c r="A24" s="1134"/>
      <c r="B24" s="1133"/>
      <c r="C24" s="1133"/>
      <c r="D24" s="1133"/>
      <c r="E24" s="1133"/>
      <c r="F24" s="1133"/>
      <c r="G24" s="1133"/>
      <c r="H24" s="1133"/>
      <c r="I24" s="1133"/>
      <c r="J24" s="1133"/>
      <c r="K24" s="1133"/>
      <c r="L24" s="1133"/>
      <c r="M24" s="1133"/>
      <c r="N24" s="1133"/>
      <c r="O24" s="1133"/>
      <c r="P24" s="1133"/>
      <c r="Q24" s="1133"/>
      <c r="R24" s="1133"/>
      <c r="S24" s="1133"/>
      <c r="T24" s="1133"/>
      <c r="U24" s="1133"/>
      <c r="V24" s="1133"/>
      <c r="W24" s="1224"/>
      <c r="X24" s="1224"/>
      <c r="Y24" s="1224"/>
      <c r="Z24" s="1224"/>
      <c r="AA24" s="1224"/>
      <c r="AB24" s="1224"/>
      <c r="AC24" s="1224"/>
      <c r="AD24" s="1224"/>
      <c r="AE24" s="1224"/>
      <c r="AF24" s="1224"/>
      <c r="AG24" s="1224"/>
      <c r="AH24" s="1224"/>
      <c r="AI24" s="1224"/>
      <c r="AJ24" s="1081"/>
      <c r="AK24" s="1081"/>
      <c r="AL24" s="1081"/>
      <c r="AM24" s="1081"/>
      <c r="AN24" s="1081"/>
      <c r="AO24" s="1081"/>
      <c r="AP24" s="1081"/>
      <c r="AQ24" s="1081"/>
      <c r="AR24" s="1081"/>
      <c r="AS24" s="1133"/>
      <c r="AT24" s="1048"/>
      <c r="AU24" s="1088"/>
      <c r="AV24" s="1081"/>
      <c r="AW24" s="1081"/>
      <c r="AX24" s="1081"/>
      <c r="AY24" s="1081"/>
      <c r="AZ24" s="1081"/>
      <c r="BA24" s="1081"/>
      <c r="BB24" s="1081"/>
      <c r="BC24" s="1048"/>
      <c r="BD24" s="1048"/>
      <c r="BE24" s="1048"/>
      <c r="BF24" s="1048"/>
      <c r="BG24" s="1048"/>
      <c r="BH24" s="1048"/>
      <c r="BI24" s="1048"/>
      <c r="BJ24" s="1048"/>
      <c r="BK24" s="1048"/>
      <c r="BL24" s="1048"/>
      <c r="BM24" s="1107"/>
      <c r="BN24" s="1107" t="s">
        <v>824</v>
      </c>
      <c r="BO24" s="1107" t="s">
        <v>825</v>
      </c>
      <c r="BP24" s="1107" t="s">
        <v>826</v>
      </c>
      <c r="BQ24" s="1107" t="s">
        <v>827</v>
      </c>
      <c r="BR24" s="1112" t="s">
        <v>827</v>
      </c>
      <c r="BS24" s="1107"/>
      <c r="BT24" s="1107"/>
      <c r="BU24" s="1045"/>
    </row>
    <row r="25" spans="1:73" ht="17.45" customHeight="1" thickBot="1">
      <c r="A25" s="1134" t="s">
        <v>1193</v>
      </c>
      <c r="B25" s="1133"/>
      <c r="C25" s="1133"/>
      <c r="D25" s="1133"/>
      <c r="E25" s="1133"/>
      <c r="F25" s="1133"/>
      <c r="G25" s="1133"/>
      <c r="H25" s="1133"/>
      <c r="I25" s="1133"/>
      <c r="J25" s="1133"/>
      <c r="K25" s="1133"/>
      <c r="L25" s="1133"/>
      <c r="M25" s="1133"/>
      <c r="N25" s="1133"/>
      <c r="O25" s="1133"/>
      <c r="P25" s="1133"/>
      <c r="Q25" s="1133"/>
      <c r="R25" s="1133"/>
      <c r="S25" s="1133"/>
      <c r="T25" s="1133"/>
      <c r="U25" s="1133"/>
      <c r="V25" s="1133"/>
      <c r="W25" s="1224"/>
      <c r="X25" s="1224"/>
      <c r="Y25" s="1224"/>
      <c r="Z25" s="1224"/>
      <c r="AA25" s="1224"/>
      <c r="AB25" s="1224"/>
      <c r="AC25" s="1224"/>
      <c r="AD25" s="1224"/>
      <c r="AE25" s="1224"/>
      <c r="AF25" s="1224"/>
      <c r="AG25" s="1224"/>
      <c r="AH25" s="1224"/>
      <c r="AI25" s="1224"/>
      <c r="AJ25" s="1081"/>
      <c r="AK25" s="1081"/>
      <c r="AL25" s="1081"/>
      <c r="AM25" s="1081"/>
      <c r="AN25" s="1081"/>
      <c r="AO25" s="1081"/>
      <c r="AP25" s="1081"/>
      <c r="AQ25" s="1081"/>
      <c r="AR25" s="1081"/>
      <c r="AS25" s="1133"/>
      <c r="AT25" s="1048"/>
      <c r="AU25" s="1081" t="s">
        <v>943</v>
      </c>
      <c r="AV25" s="1081" t="s">
        <v>1016</v>
      </c>
      <c r="AW25" s="1081"/>
      <c r="AX25" s="1081"/>
      <c r="AY25" s="1089">
        <v>9.23</v>
      </c>
      <c r="AZ25" s="1090" t="s">
        <v>875</v>
      </c>
      <c r="BA25" s="1081"/>
      <c r="BB25" s="1081"/>
      <c r="BC25" s="1048"/>
      <c r="BD25" s="1048"/>
      <c r="BE25" s="1048"/>
      <c r="BF25" s="1048"/>
      <c r="BG25" s="1048"/>
      <c r="BH25" s="1048"/>
      <c r="BI25" s="1048"/>
      <c r="BJ25" s="1048"/>
      <c r="BK25" s="1048"/>
      <c r="BL25" s="1048"/>
      <c r="BM25" s="1107"/>
      <c r="BN25" s="1113"/>
      <c r="BO25" s="1113"/>
      <c r="BP25" s="1113"/>
      <c r="BQ25" s="1107"/>
      <c r="BR25" s="1107"/>
      <c r="BS25" s="1107"/>
      <c r="BT25" s="1107"/>
      <c r="BU25" s="1045"/>
    </row>
    <row r="26" spans="1:73" ht="17.45" customHeight="1" thickBot="1">
      <c r="A26" s="1133"/>
      <c r="B26" s="1133"/>
      <c r="C26" s="1133"/>
      <c r="D26" s="1133"/>
      <c r="E26" s="1133"/>
      <c r="F26" s="1133"/>
      <c r="G26" s="1133"/>
      <c r="H26" s="1133"/>
      <c r="I26" s="1133"/>
      <c r="J26" s="1133"/>
      <c r="K26" s="1133"/>
      <c r="L26" s="1133"/>
      <c r="M26" s="1133"/>
      <c r="N26" s="1133"/>
      <c r="O26" s="1133"/>
      <c r="P26" s="1133"/>
      <c r="Q26" s="1133"/>
      <c r="R26" s="1133"/>
      <c r="S26" s="1133"/>
      <c r="T26" s="1133"/>
      <c r="U26" s="1133"/>
      <c r="V26" s="1133"/>
      <c r="W26" s="1224"/>
      <c r="X26" s="1224"/>
      <c r="Y26" s="1224"/>
      <c r="Z26" s="1224"/>
      <c r="AA26" s="1224"/>
      <c r="AB26" s="1224"/>
      <c r="AC26" s="1224"/>
      <c r="AD26" s="1224"/>
      <c r="AE26" s="1224"/>
      <c r="AF26" s="1224"/>
      <c r="AG26" s="1224"/>
      <c r="AH26" s="1224"/>
      <c r="AI26" s="1224"/>
      <c r="AJ26" s="1081"/>
      <c r="AK26" s="1081"/>
      <c r="AL26" s="1081"/>
      <c r="AM26" s="1081"/>
      <c r="AN26" s="1081"/>
      <c r="AO26" s="1081"/>
      <c r="AP26" s="1081"/>
      <c r="AQ26" s="1081"/>
      <c r="AR26" s="1081"/>
      <c r="AS26" s="1133"/>
      <c r="AT26" s="1048"/>
      <c r="AU26" s="1081" t="s">
        <v>945</v>
      </c>
      <c r="AV26" s="1081" t="s">
        <v>1017</v>
      </c>
      <c r="AW26" s="1081"/>
      <c r="AX26" s="1081"/>
      <c r="AY26" s="1089"/>
      <c r="AZ26" s="1090"/>
      <c r="BA26" s="1081"/>
      <c r="BB26" s="1081"/>
      <c r="BC26" s="1048"/>
      <c r="BD26" s="1048"/>
      <c r="BE26" s="1048"/>
      <c r="BF26" s="1048"/>
      <c r="BG26" s="1048"/>
      <c r="BH26" s="1048"/>
      <c r="BI26" s="1048"/>
      <c r="BJ26" s="1048"/>
      <c r="BK26" s="1048"/>
      <c r="BL26" s="1048"/>
      <c r="BM26" s="1114" t="s">
        <v>828</v>
      </c>
      <c r="BN26" s="1115">
        <v>19.5</v>
      </c>
      <c r="BO26" s="1115">
        <v>18.5</v>
      </c>
      <c r="BP26" s="1115">
        <v>16.5</v>
      </c>
      <c r="BQ26" s="1115">
        <v>13.5</v>
      </c>
      <c r="BR26" s="1116">
        <v>13.5</v>
      </c>
      <c r="BS26" s="1107"/>
      <c r="BT26" s="1107"/>
      <c r="BU26" s="1045"/>
    </row>
    <row r="27" spans="1:73" ht="17.45" customHeight="1">
      <c r="A27" s="1133"/>
      <c r="B27" s="1133" t="s">
        <v>1180</v>
      </c>
      <c r="C27" s="1133" t="s">
        <v>1183</v>
      </c>
      <c r="D27" s="1133"/>
      <c r="E27" s="1133"/>
      <c r="F27" s="1133"/>
      <c r="G27" s="1133"/>
      <c r="H27" s="1133"/>
      <c r="I27" s="1133"/>
      <c r="J27" s="1133"/>
      <c r="K27" s="1133"/>
      <c r="L27" s="1133"/>
      <c r="M27" s="1133"/>
      <c r="N27" s="1133"/>
      <c r="O27" s="1133"/>
      <c r="P27" s="1133"/>
      <c r="Q27" s="1133"/>
      <c r="R27" s="1133"/>
      <c r="S27" s="1133"/>
      <c r="T27" s="1133"/>
      <c r="U27" s="1133"/>
      <c r="V27" s="1133"/>
      <c r="W27" s="1224"/>
      <c r="X27" s="1224"/>
      <c r="Y27" s="1224"/>
      <c r="Z27" s="1224"/>
      <c r="AA27" s="1224"/>
      <c r="AB27" s="1224"/>
      <c r="AC27" s="1224"/>
      <c r="AD27" s="1224"/>
      <c r="AE27" s="1224"/>
      <c r="AF27" s="1224"/>
      <c r="AG27" s="1224"/>
      <c r="AH27" s="1224"/>
      <c r="AI27" s="1224"/>
      <c r="AJ27" s="1081"/>
      <c r="AK27" s="1081"/>
      <c r="AL27" s="1081"/>
      <c r="AM27" s="1081"/>
      <c r="AN27" s="1081"/>
      <c r="AO27" s="1081"/>
      <c r="AP27" s="1081"/>
      <c r="AQ27" s="1081"/>
      <c r="AR27" s="1081"/>
      <c r="AS27" s="1133"/>
      <c r="AT27" s="1048"/>
      <c r="AU27" s="1081"/>
      <c r="AV27" s="1081"/>
      <c r="AW27" s="1081" t="s">
        <v>947</v>
      </c>
      <c r="AX27" s="1081"/>
      <c r="AY27" s="1089">
        <v>13.15</v>
      </c>
      <c r="AZ27" s="1090" t="s">
        <v>875</v>
      </c>
      <c r="BA27" s="1081"/>
      <c r="BB27" s="1081"/>
      <c r="BC27" s="1048"/>
      <c r="BD27" s="1048"/>
      <c r="BE27" s="1048"/>
      <c r="BF27" s="1048"/>
      <c r="BG27" s="1048"/>
      <c r="BH27" s="1048"/>
      <c r="BI27" s="1048"/>
      <c r="BJ27" s="1048"/>
      <c r="BK27" s="1048"/>
      <c r="BL27" s="1048"/>
      <c r="BM27" s="1117" t="s">
        <v>829</v>
      </c>
      <c r="BN27" s="1118"/>
      <c r="BO27" s="1119"/>
      <c r="BP27" s="1120">
        <v>0.01</v>
      </c>
      <c r="BQ27" s="1119"/>
      <c r="BR27" s="1121"/>
      <c r="BS27" s="1107"/>
      <c r="BT27" s="1107"/>
      <c r="BU27" s="1045"/>
    </row>
    <row r="28" spans="1:73" ht="17.45" customHeight="1">
      <c r="A28" s="1133"/>
      <c r="B28" s="1133" t="s">
        <v>1166</v>
      </c>
      <c r="C28" s="1133" t="s">
        <v>1181</v>
      </c>
      <c r="D28" s="1133"/>
      <c r="E28" s="1133"/>
      <c r="F28" s="1133"/>
      <c r="G28" s="1133"/>
      <c r="H28" s="1133"/>
      <c r="I28" s="1133"/>
      <c r="J28" s="1133"/>
      <c r="K28" s="1133"/>
      <c r="L28" s="1133"/>
      <c r="M28" s="1133"/>
      <c r="N28" s="1133"/>
      <c r="O28" s="1133"/>
      <c r="P28" s="1133"/>
      <c r="Q28" s="1133"/>
      <c r="R28" s="1133"/>
      <c r="S28" s="1133"/>
      <c r="T28" s="1133"/>
      <c r="U28" s="1133"/>
      <c r="V28" s="1133"/>
      <c r="W28" s="1224"/>
      <c r="X28" s="1224"/>
      <c r="Y28" s="1224"/>
      <c r="Z28" s="1224"/>
      <c r="AA28" s="1224"/>
      <c r="AB28" s="1224"/>
      <c r="AC28" s="1224"/>
      <c r="AD28" s="1224"/>
      <c r="AE28" s="1224"/>
      <c r="AF28" s="1224"/>
      <c r="AG28" s="1224"/>
      <c r="AH28" s="1224"/>
      <c r="AI28" s="1224"/>
      <c r="AJ28" s="1081"/>
      <c r="AK28" s="1081"/>
      <c r="AL28" s="1081"/>
      <c r="AM28" s="1081"/>
      <c r="AN28" s="1081"/>
      <c r="AO28" s="1081"/>
      <c r="AP28" s="1081"/>
      <c r="AQ28" s="1081"/>
      <c r="AR28" s="1081"/>
      <c r="AS28" s="1133"/>
      <c r="AT28" s="1048"/>
      <c r="AU28" s="1081"/>
      <c r="AV28" s="1081"/>
      <c r="AW28" s="1081" t="s">
        <v>948</v>
      </c>
      <c r="AX28" s="1081"/>
      <c r="AY28" s="1089">
        <v>12.8</v>
      </c>
      <c r="AZ28" s="1090" t="s">
        <v>875</v>
      </c>
      <c r="BA28" s="1081"/>
      <c r="BB28" s="1081"/>
      <c r="BC28" s="1048"/>
      <c r="BD28" s="1048"/>
      <c r="BE28" s="1048"/>
      <c r="BF28" s="1048"/>
      <c r="BG28" s="1048"/>
      <c r="BH28" s="1048"/>
      <c r="BI28" s="1048"/>
      <c r="BJ28" s="1048"/>
      <c r="BK28" s="1048"/>
      <c r="BL28" s="1048"/>
      <c r="BM28" s="1122" t="s">
        <v>830</v>
      </c>
      <c r="BN28" s="1123">
        <v>19.305</v>
      </c>
      <c r="BO28" s="1123">
        <v>18.315000000000001</v>
      </c>
      <c r="BP28" s="1123">
        <v>16.335000000000001</v>
      </c>
      <c r="BQ28" s="1123">
        <v>13.365</v>
      </c>
      <c r="BR28" s="1124">
        <v>13.365</v>
      </c>
      <c r="BS28" s="1107"/>
      <c r="BT28" s="1107"/>
      <c r="BU28" s="1045"/>
    </row>
    <row r="29" spans="1:73" ht="17.45" customHeight="1" thickBot="1">
      <c r="A29" s="1133"/>
      <c r="B29" s="1133"/>
      <c r="C29" s="1133" t="s">
        <v>1167</v>
      </c>
      <c r="D29" s="1133"/>
      <c r="E29" s="1133"/>
      <c r="F29" s="1133"/>
      <c r="G29" s="1133"/>
      <c r="H29" s="1133"/>
      <c r="I29" s="1133"/>
      <c r="J29" s="1133"/>
      <c r="K29" s="1133"/>
      <c r="L29" s="1133"/>
      <c r="M29" s="1133"/>
      <c r="N29" s="1133"/>
      <c r="O29" s="1133"/>
      <c r="P29" s="1133"/>
      <c r="Q29" s="1133"/>
      <c r="R29" s="1133"/>
      <c r="S29" s="1133"/>
      <c r="T29" s="1133"/>
      <c r="U29" s="1133"/>
      <c r="V29" s="1133"/>
      <c r="W29" s="1224"/>
      <c r="X29" s="1224"/>
      <c r="Y29" s="1224"/>
      <c r="Z29" s="1224"/>
      <c r="AA29" s="1224"/>
      <c r="AB29" s="1224"/>
      <c r="AC29" s="1224"/>
      <c r="AD29" s="1224"/>
      <c r="AE29" s="1224"/>
      <c r="AF29" s="1224"/>
      <c r="AG29" s="1224"/>
      <c r="AH29" s="1224"/>
      <c r="AI29" s="1224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133"/>
      <c r="AT29" s="1048"/>
      <c r="AU29" s="1081"/>
      <c r="AV29" s="1081"/>
      <c r="AW29" s="1081" t="s">
        <v>949</v>
      </c>
      <c r="AX29" s="1081"/>
      <c r="AY29" s="1089">
        <v>11.49</v>
      </c>
      <c r="AZ29" s="1090" t="s">
        <v>875</v>
      </c>
      <c r="BA29" s="1081"/>
      <c r="BB29" s="1081"/>
      <c r="BC29" s="1048"/>
      <c r="BD29" s="1048"/>
      <c r="BE29" s="1048"/>
      <c r="BF29" s="1048"/>
      <c r="BG29" s="1048"/>
      <c r="BH29" s="1048"/>
      <c r="BI29" s="1048"/>
      <c r="BJ29" s="1048"/>
      <c r="BK29" s="1048"/>
      <c r="BL29" s="1048"/>
      <c r="BM29" s="1125" t="s">
        <v>831</v>
      </c>
      <c r="BN29" s="1126">
        <v>19.305</v>
      </c>
      <c r="BO29" s="1126">
        <v>18.315000000000001</v>
      </c>
      <c r="BP29" s="1126">
        <v>16.335000000000001</v>
      </c>
      <c r="BQ29" s="1126">
        <v>13.365</v>
      </c>
      <c r="BR29" s="1127">
        <v>13.365</v>
      </c>
      <c r="BS29" s="1107"/>
      <c r="BT29" s="1107"/>
      <c r="BU29" s="1045"/>
    </row>
    <row r="30" spans="1:73" ht="17.45" customHeight="1">
      <c r="A30" s="1133"/>
      <c r="B30" s="1133"/>
      <c r="C30" s="1133" t="s">
        <v>1168</v>
      </c>
      <c r="D30" s="1133"/>
      <c r="E30" s="1133"/>
      <c r="F30" s="1133"/>
      <c r="G30" s="1133"/>
      <c r="H30" s="1133"/>
      <c r="I30" s="1133"/>
      <c r="J30" s="1133"/>
      <c r="K30" s="1133"/>
      <c r="L30" s="1133"/>
      <c r="M30" s="1133"/>
      <c r="N30" s="1133"/>
      <c r="O30" s="1133"/>
      <c r="P30" s="1133"/>
      <c r="Q30" s="1133"/>
      <c r="R30" s="1133"/>
      <c r="S30" s="1133"/>
      <c r="T30" s="1133"/>
      <c r="U30" s="1133"/>
      <c r="V30" s="1133"/>
      <c r="W30" s="1224"/>
      <c r="X30" s="1224"/>
      <c r="Y30" s="1224"/>
      <c r="Z30" s="1224"/>
      <c r="AA30" s="1224"/>
      <c r="AB30" s="1224"/>
      <c r="AC30" s="1224"/>
      <c r="AD30" s="1224"/>
      <c r="AE30" s="1224"/>
      <c r="AF30" s="1224"/>
      <c r="AG30" s="1224"/>
      <c r="AH30" s="1224"/>
      <c r="AI30" s="1224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133"/>
      <c r="AT30" s="1048"/>
      <c r="AU30" s="1081"/>
      <c r="AV30" s="1081"/>
      <c r="AW30" s="1081" t="s">
        <v>950</v>
      </c>
      <c r="AX30" s="1081"/>
      <c r="AY30" s="1089">
        <v>9.23</v>
      </c>
      <c r="AZ30" s="1090" t="s">
        <v>875</v>
      </c>
      <c r="BA30" s="1081"/>
      <c r="BB30" s="1081"/>
      <c r="BC30" s="1048"/>
      <c r="BD30" s="1048"/>
      <c r="BE30" s="1048"/>
      <c r="BF30" s="1048"/>
      <c r="BG30" s="1048"/>
      <c r="BH30" s="1048"/>
      <c r="BI30" s="1048"/>
      <c r="BJ30" s="1048"/>
      <c r="BK30" s="1048"/>
      <c r="BL30" s="1048"/>
      <c r="BM30" s="1117" t="s">
        <v>829</v>
      </c>
      <c r="BN30" s="1118"/>
      <c r="BO30" s="1119"/>
      <c r="BP30" s="1120">
        <v>0.01</v>
      </c>
      <c r="BQ30" s="1119"/>
      <c r="BR30" s="1121"/>
      <c r="BS30" s="1107"/>
      <c r="BT30" s="1107"/>
      <c r="BU30" s="1045"/>
    </row>
    <row r="31" spans="1:73" ht="17.45" customHeight="1">
      <c r="A31" s="1133"/>
      <c r="B31" s="1133" t="s">
        <v>1169</v>
      </c>
      <c r="C31" s="1133" t="s">
        <v>1170</v>
      </c>
      <c r="D31" s="1133"/>
      <c r="E31" s="1133"/>
      <c r="F31" s="1133"/>
      <c r="G31" s="1133"/>
      <c r="H31" s="1133"/>
      <c r="I31" s="1133"/>
      <c r="J31" s="1133"/>
      <c r="K31" s="1133"/>
      <c r="L31" s="1133"/>
      <c r="M31" s="1133"/>
      <c r="N31" s="1133"/>
      <c r="O31" s="1133"/>
      <c r="P31" s="1133"/>
      <c r="Q31" s="1133"/>
      <c r="R31" s="1133"/>
      <c r="S31" s="1133"/>
      <c r="T31" s="1133"/>
      <c r="U31" s="1133"/>
      <c r="V31" s="1133"/>
      <c r="W31" s="1224"/>
      <c r="X31" s="1224"/>
      <c r="Y31" s="1224"/>
      <c r="Z31" s="1224"/>
      <c r="AA31" s="1224"/>
      <c r="AB31" s="1224"/>
      <c r="AC31" s="1224"/>
      <c r="AD31" s="1224"/>
      <c r="AE31" s="1224"/>
      <c r="AF31" s="1224"/>
      <c r="AG31" s="1224"/>
      <c r="AH31" s="1224"/>
      <c r="AI31" s="1224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133"/>
      <c r="AT31" s="1048"/>
      <c r="AU31" s="1081"/>
      <c r="AV31" s="1081"/>
      <c r="AW31" s="1081"/>
      <c r="AX31" s="1081"/>
      <c r="AY31" s="1089"/>
      <c r="AZ31" s="1090"/>
      <c r="BA31" s="1081"/>
      <c r="BB31" s="1081"/>
      <c r="BC31" s="1048"/>
      <c r="BD31" s="1048"/>
      <c r="BE31" s="1048"/>
      <c r="BF31" s="1048"/>
      <c r="BG31" s="1048"/>
      <c r="BH31" s="1048"/>
      <c r="BI31" s="1048"/>
      <c r="BJ31" s="1048"/>
      <c r="BK31" s="1048"/>
      <c r="BL31" s="1048"/>
      <c r="BM31" s="1122" t="s">
        <v>832</v>
      </c>
      <c r="BN31" s="1123">
        <v>19.11195</v>
      </c>
      <c r="BO31" s="1123">
        <v>18.13185</v>
      </c>
      <c r="BP31" s="1123">
        <v>16.17165</v>
      </c>
      <c r="BQ31" s="1123">
        <v>13.231350000000001</v>
      </c>
      <c r="BR31" s="1124">
        <v>13.231350000000001</v>
      </c>
      <c r="BS31" s="1107"/>
      <c r="BT31" s="1107"/>
      <c r="BU31" s="1045"/>
    </row>
    <row r="32" spans="1:73" ht="17.45" customHeight="1" thickBot="1">
      <c r="A32" s="1133"/>
      <c r="B32" s="1133"/>
      <c r="C32" s="1133"/>
      <c r="D32" s="1133"/>
      <c r="E32" s="1133"/>
      <c r="F32" s="1133"/>
      <c r="G32" s="1133"/>
      <c r="H32" s="1133"/>
      <c r="I32" s="1133"/>
      <c r="J32" s="1133"/>
      <c r="K32" s="1133"/>
      <c r="L32" s="1133"/>
      <c r="M32" s="1133"/>
      <c r="N32" s="1133"/>
      <c r="O32" s="1133"/>
      <c r="P32" s="1133"/>
      <c r="Q32" s="1133"/>
      <c r="R32" s="1133"/>
      <c r="S32" s="1133"/>
      <c r="T32" s="1133"/>
      <c r="U32" s="1133"/>
      <c r="V32" s="1133"/>
      <c r="W32" s="1224"/>
      <c r="X32" s="1224"/>
      <c r="Y32" s="1224"/>
      <c r="Z32" s="1224"/>
      <c r="AA32" s="1224"/>
      <c r="AB32" s="1224"/>
      <c r="AC32" s="1224"/>
      <c r="AD32" s="1224"/>
      <c r="AE32" s="1224"/>
      <c r="AF32" s="1224"/>
      <c r="AG32" s="1224"/>
      <c r="AH32" s="1224"/>
      <c r="AI32" s="1224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133"/>
      <c r="AT32" s="1048"/>
      <c r="AU32" s="1081"/>
      <c r="AV32" s="1081"/>
      <c r="AW32" s="1081"/>
      <c r="AX32" s="1081"/>
      <c r="AY32" s="1089"/>
      <c r="AZ32" s="1090"/>
      <c r="BA32" s="1081"/>
      <c r="BB32" s="1081"/>
      <c r="BC32" s="1048"/>
      <c r="BD32" s="1048"/>
      <c r="BE32" s="1048"/>
      <c r="BF32" s="1048"/>
      <c r="BG32" s="1048"/>
      <c r="BH32" s="1048"/>
      <c r="BI32" s="1048"/>
      <c r="BJ32" s="1048"/>
      <c r="BK32" s="1048"/>
      <c r="BL32" s="1048"/>
      <c r="BM32" s="1125" t="s">
        <v>831</v>
      </c>
      <c r="BN32" s="1126">
        <v>19.11195</v>
      </c>
      <c r="BO32" s="1126">
        <v>18.13185</v>
      </c>
      <c r="BP32" s="1126">
        <v>16.17165</v>
      </c>
      <c r="BQ32" s="1126">
        <v>13.231350000000001</v>
      </c>
      <c r="BR32" s="1127">
        <v>13.231350000000001</v>
      </c>
      <c r="BS32" s="1107"/>
      <c r="BT32" s="1107"/>
      <c r="BU32" s="1045"/>
    </row>
    <row r="33" spans="1:73" ht="17.45" customHeight="1">
      <c r="A33" s="1134" t="s">
        <v>1194</v>
      </c>
      <c r="B33" s="1133"/>
      <c r="C33" s="1133"/>
      <c r="D33" s="1133"/>
      <c r="E33" s="1133"/>
      <c r="F33" s="1133"/>
      <c r="G33" s="1133"/>
      <c r="H33" s="1133"/>
      <c r="I33" s="1133"/>
      <c r="J33" s="1133"/>
      <c r="K33" s="1133"/>
      <c r="L33" s="1133"/>
      <c r="M33" s="1133"/>
      <c r="N33" s="1133"/>
      <c r="O33" s="1133"/>
      <c r="P33" s="1133"/>
      <c r="Q33" s="1133"/>
      <c r="R33" s="1133"/>
      <c r="S33" s="1133"/>
      <c r="T33" s="1133"/>
      <c r="U33" s="1133"/>
      <c r="V33" s="1133"/>
      <c r="W33" s="1224"/>
      <c r="X33" s="1224"/>
      <c r="Y33" s="1224"/>
      <c r="Z33" s="1224"/>
      <c r="AA33" s="1224"/>
      <c r="AB33" s="1224"/>
      <c r="AC33" s="1224"/>
      <c r="AD33" s="1224"/>
      <c r="AE33" s="1224"/>
      <c r="AF33" s="1224"/>
      <c r="AG33" s="1224"/>
      <c r="AH33" s="1224"/>
      <c r="AI33" s="1224"/>
      <c r="AJ33" s="1081"/>
      <c r="AK33" s="1081"/>
      <c r="AL33" s="1081"/>
      <c r="AM33" s="1081"/>
      <c r="AN33" s="1081"/>
      <c r="AO33" s="1081"/>
      <c r="AP33" s="1081"/>
      <c r="AQ33" s="1081"/>
      <c r="AR33" s="1081"/>
      <c r="AS33" s="1133"/>
      <c r="AT33" s="1048"/>
      <c r="AU33" s="1081"/>
      <c r="AV33" s="1081"/>
      <c r="AW33" s="1081"/>
      <c r="AX33" s="1081"/>
      <c r="AY33" s="1081"/>
      <c r="AZ33" s="1081"/>
      <c r="BA33" s="1081"/>
      <c r="BB33" s="1081"/>
      <c r="BC33" s="1048"/>
      <c r="BD33" s="1048"/>
      <c r="BE33" s="1048"/>
      <c r="BF33" s="1048"/>
      <c r="BG33" s="1048"/>
      <c r="BH33" s="1048"/>
      <c r="BI33" s="1048"/>
      <c r="BJ33" s="1048"/>
      <c r="BK33" s="1048"/>
      <c r="BL33" s="1048"/>
      <c r="BM33" s="1117" t="s">
        <v>829</v>
      </c>
      <c r="BN33" s="1119"/>
      <c r="BO33" s="1119"/>
      <c r="BP33" s="1120">
        <v>0.01</v>
      </c>
      <c r="BQ33" s="1119"/>
      <c r="BR33" s="1121"/>
      <c r="BS33" s="1107"/>
      <c r="BT33" s="1107"/>
      <c r="BU33" s="1045"/>
    </row>
    <row r="34" spans="1:73" ht="17.45" customHeight="1">
      <c r="A34" s="1133"/>
      <c r="B34" s="1133"/>
      <c r="C34" s="1133"/>
      <c r="D34" s="1133"/>
      <c r="E34" s="1133"/>
      <c r="F34" s="1133"/>
      <c r="G34" s="1133"/>
      <c r="H34" s="1133"/>
      <c r="I34" s="1133"/>
      <c r="J34" s="1133"/>
      <c r="K34" s="1133"/>
      <c r="L34" s="1133"/>
      <c r="M34" s="1133"/>
      <c r="N34" s="1133"/>
      <c r="O34" s="1133"/>
      <c r="P34" s="1133"/>
      <c r="Q34" s="1133"/>
      <c r="R34" s="1133"/>
      <c r="S34" s="1133"/>
      <c r="T34" s="1133"/>
      <c r="U34" s="1133"/>
      <c r="V34" s="1133"/>
      <c r="W34" s="1224"/>
      <c r="X34" s="1224"/>
      <c r="Y34" s="1224"/>
      <c r="Z34" s="1224"/>
      <c r="AA34" s="1224"/>
      <c r="AB34" s="1224"/>
      <c r="AC34" s="1224"/>
      <c r="AD34" s="1224"/>
      <c r="AE34" s="1224"/>
      <c r="AF34" s="1224"/>
      <c r="AG34" s="1224"/>
      <c r="AH34" s="1224"/>
      <c r="AI34" s="1224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133"/>
      <c r="AT34" s="1048"/>
      <c r="AU34" s="1088" t="s">
        <v>932</v>
      </c>
      <c r="AV34" s="1081"/>
      <c r="AW34" s="1081"/>
      <c r="AX34" s="1081"/>
      <c r="AY34" s="1081"/>
      <c r="AZ34" s="1081"/>
      <c r="BA34" s="1081"/>
      <c r="BB34" s="1081"/>
      <c r="BC34" s="1048"/>
      <c r="BD34" s="1048"/>
      <c r="BE34" s="1048"/>
      <c r="BF34" s="1048"/>
      <c r="BG34" s="1048"/>
      <c r="BH34" s="1048"/>
      <c r="BI34" s="1048"/>
      <c r="BJ34" s="1048"/>
      <c r="BK34" s="1048"/>
      <c r="BL34" s="1048"/>
      <c r="BM34" s="1122" t="s">
        <v>833</v>
      </c>
      <c r="BN34" s="1123">
        <v>18.920830500000001</v>
      </c>
      <c r="BO34" s="1123">
        <v>17.9505315</v>
      </c>
      <c r="BP34" s="1123">
        <v>16.009933499999999</v>
      </c>
      <c r="BQ34" s="1123">
        <v>13.0990365</v>
      </c>
      <c r="BR34" s="1124">
        <v>13.0990365</v>
      </c>
      <c r="BS34" s="1107"/>
      <c r="BT34" s="1107"/>
      <c r="BU34" s="1045"/>
    </row>
    <row r="35" spans="1:73" ht="17.45" customHeight="1" thickBot="1">
      <c r="A35" s="1133"/>
      <c r="B35" s="1133" t="s">
        <v>1538</v>
      </c>
      <c r="C35" s="1133"/>
      <c r="D35" s="1133"/>
      <c r="E35" s="1133"/>
      <c r="F35" s="1133"/>
      <c r="G35" s="1133"/>
      <c r="H35" s="1231" t="s">
        <v>1316</v>
      </c>
      <c r="I35" s="1133"/>
      <c r="J35" s="1133"/>
      <c r="K35" s="1133"/>
      <c r="L35" s="1133"/>
      <c r="M35" s="1133"/>
      <c r="N35" s="1133"/>
      <c r="O35" s="1133"/>
      <c r="P35" s="1133"/>
      <c r="Q35" s="1133"/>
      <c r="R35" s="1133"/>
      <c r="S35" s="1133"/>
      <c r="T35" s="1133"/>
      <c r="U35" s="1133"/>
      <c r="V35" s="1133"/>
      <c r="W35" s="1224"/>
      <c r="X35" s="1224"/>
      <c r="Y35" s="1224"/>
      <c r="Z35" s="1224"/>
      <c r="AA35" s="1224"/>
      <c r="AB35" s="1224"/>
      <c r="AC35" s="1224"/>
      <c r="AD35" s="1224"/>
      <c r="AE35" s="1224"/>
      <c r="AF35" s="1224"/>
      <c r="AG35" s="1224"/>
      <c r="AH35" s="1224"/>
      <c r="AI35" s="1224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133"/>
      <c r="AT35" s="1048"/>
      <c r="AU35" s="1081" t="s">
        <v>970</v>
      </c>
      <c r="AV35" s="1081"/>
      <c r="AW35" s="1081"/>
      <c r="AX35" s="1081"/>
      <c r="AY35" s="1081"/>
      <c r="AZ35" s="1081"/>
      <c r="BA35" s="1081"/>
      <c r="BB35" s="1081"/>
      <c r="BC35" s="1048"/>
      <c r="BD35" s="1048"/>
      <c r="BE35" s="1048"/>
      <c r="BF35" s="1048"/>
      <c r="BG35" s="1048"/>
      <c r="BH35" s="1048"/>
      <c r="BI35" s="1048"/>
      <c r="BJ35" s="1048"/>
      <c r="BK35" s="1048"/>
      <c r="BL35" s="1048"/>
      <c r="BM35" s="1125" t="s">
        <v>831</v>
      </c>
      <c r="BN35" s="1126">
        <v>18.920830500000001</v>
      </c>
      <c r="BO35" s="1126">
        <v>17.9505315</v>
      </c>
      <c r="BP35" s="1126">
        <v>16.009933499999999</v>
      </c>
      <c r="BQ35" s="1126">
        <v>13.0990365</v>
      </c>
      <c r="BR35" s="1127">
        <v>13.0990365</v>
      </c>
      <c r="BS35" s="1107"/>
      <c r="BT35" s="1107"/>
      <c r="BU35" s="1045"/>
    </row>
    <row r="36" spans="1:73" ht="17.45" customHeight="1">
      <c r="A36" s="1133"/>
      <c r="B36" s="1133" t="s">
        <v>1539</v>
      </c>
      <c r="C36" s="1133"/>
      <c r="D36" s="1133"/>
      <c r="E36" s="1133"/>
      <c r="F36" s="1133"/>
      <c r="G36" s="1133"/>
      <c r="H36" s="1231"/>
      <c r="I36" s="1133"/>
      <c r="J36" s="1133"/>
      <c r="K36" s="1133"/>
      <c r="L36" s="1133"/>
      <c r="M36" s="1133"/>
      <c r="N36" s="1133"/>
      <c r="O36" s="1133"/>
      <c r="P36" s="1133"/>
      <c r="Q36" s="1133"/>
      <c r="R36" s="1133"/>
      <c r="S36" s="1133"/>
      <c r="T36" s="1133"/>
      <c r="U36" s="1133"/>
      <c r="V36" s="1133"/>
      <c r="W36" s="1224"/>
      <c r="X36" s="1224"/>
      <c r="Y36" s="1224"/>
      <c r="Z36" s="1224"/>
      <c r="AA36" s="1224"/>
      <c r="AB36" s="1224"/>
      <c r="AC36" s="1224"/>
      <c r="AD36" s="1224"/>
      <c r="AE36" s="1224"/>
      <c r="AF36" s="1224"/>
      <c r="AG36" s="1224"/>
      <c r="AH36" s="1224"/>
      <c r="AI36" s="1224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133"/>
      <c r="AT36" s="1048"/>
      <c r="AU36" s="1081" t="s">
        <v>971</v>
      </c>
      <c r="AV36" s="1081"/>
      <c r="AW36" s="1081"/>
      <c r="AX36" s="1081"/>
      <c r="AY36" s="1081"/>
      <c r="AZ36" s="1081"/>
      <c r="BA36" s="1081"/>
      <c r="BB36" s="1081"/>
      <c r="BC36" s="1048"/>
      <c r="BD36" s="1048"/>
      <c r="BE36" s="1048"/>
      <c r="BF36" s="1048"/>
      <c r="BG36" s="1048"/>
      <c r="BH36" s="1048"/>
      <c r="BI36" s="1048"/>
      <c r="BJ36" s="1048"/>
      <c r="BK36" s="1048"/>
      <c r="BL36" s="1048"/>
      <c r="BM36" s="1117" t="s">
        <v>829</v>
      </c>
      <c r="BN36" s="1119"/>
      <c r="BO36" s="1119"/>
      <c r="BP36" s="1120">
        <v>0.01</v>
      </c>
      <c r="BQ36" s="1119"/>
      <c r="BR36" s="1121"/>
      <c r="BS36" s="1107"/>
      <c r="BT36" s="1107"/>
      <c r="BU36" s="1045"/>
    </row>
    <row r="37" spans="1:73" ht="17.45" customHeight="1">
      <c r="A37" s="1133"/>
      <c r="B37" s="1133" t="s">
        <v>1540</v>
      </c>
      <c r="C37" s="1133"/>
      <c r="D37" s="1133"/>
      <c r="E37" s="1133"/>
      <c r="F37" s="1133"/>
      <c r="G37" s="1133"/>
      <c r="H37" s="1231"/>
      <c r="I37" s="1133"/>
      <c r="J37" s="1133"/>
      <c r="K37" s="1133"/>
      <c r="L37" s="1133"/>
      <c r="M37" s="1133"/>
      <c r="N37" s="1133"/>
      <c r="O37" s="1133"/>
      <c r="P37" s="1133"/>
      <c r="Q37" s="1133"/>
      <c r="R37" s="1133"/>
      <c r="S37" s="1133"/>
      <c r="T37" s="1133"/>
      <c r="U37" s="1133"/>
      <c r="V37" s="1133"/>
      <c r="W37" s="1224"/>
      <c r="X37" s="1224"/>
      <c r="Y37" s="1224"/>
      <c r="Z37" s="1224"/>
      <c r="AA37" s="1224"/>
      <c r="AB37" s="1224"/>
      <c r="AC37" s="1224"/>
      <c r="AD37" s="1224"/>
      <c r="AE37" s="1224"/>
      <c r="AF37" s="1224"/>
      <c r="AG37" s="1224"/>
      <c r="AH37" s="1224"/>
      <c r="AI37" s="1224"/>
      <c r="AJ37" s="1081"/>
      <c r="AK37" s="1081"/>
      <c r="AL37" s="1081"/>
      <c r="AM37" s="1081"/>
      <c r="AN37" s="1081"/>
      <c r="AO37" s="1081"/>
      <c r="AP37" s="1081"/>
      <c r="AQ37" s="1081"/>
      <c r="AR37" s="1081"/>
      <c r="AS37" s="1133"/>
      <c r="AT37" s="1048"/>
      <c r="AU37" s="1081" t="s">
        <v>966</v>
      </c>
      <c r="AV37" s="1081"/>
      <c r="AW37" s="1081"/>
      <c r="AX37" s="1081"/>
      <c r="AY37" s="1081"/>
      <c r="AZ37" s="1081"/>
      <c r="BA37" s="1081"/>
      <c r="BB37" s="1081"/>
      <c r="BC37" s="1048"/>
      <c r="BD37" s="1048"/>
      <c r="BE37" s="1048"/>
      <c r="BF37" s="1048"/>
      <c r="BG37" s="1048"/>
      <c r="BH37" s="1048"/>
      <c r="BI37" s="1048"/>
      <c r="BJ37" s="1048"/>
      <c r="BK37" s="1048"/>
      <c r="BL37" s="1048"/>
      <c r="BM37" s="1122" t="s">
        <v>834</v>
      </c>
      <c r="BN37" s="1123">
        <v>18.731622195</v>
      </c>
      <c r="BO37" s="1123">
        <v>17.771026185</v>
      </c>
      <c r="BP37" s="1123">
        <v>15.849834164999999</v>
      </c>
      <c r="BQ37" s="1123">
        <v>12.968046135</v>
      </c>
      <c r="BR37" s="1124">
        <v>12.968046135</v>
      </c>
      <c r="BS37" s="1107"/>
      <c r="BT37" s="1107"/>
      <c r="BU37" s="1045"/>
    </row>
    <row r="38" spans="1:73" ht="17.45" customHeight="1" thickBot="1">
      <c r="A38" s="1133"/>
      <c r="B38" s="1133" t="s">
        <v>1541</v>
      </c>
      <c r="C38" s="1133"/>
      <c r="D38" s="1133"/>
      <c r="E38" s="1133"/>
      <c r="F38" s="1133"/>
      <c r="G38" s="1133"/>
      <c r="H38" s="1231"/>
      <c r="I38" s="1133"/>
      <c r="J38" s="1133"/>
      <c r="K38" s="1133"/>
      <c r="L38" s="1133"/>
      <c r="M38" s="1133"/>
      <c r="N38" s="1133"/>
      <c r="O38" s="1133"/>
      <c r="P38" s="1133"/>
      <c r="Q38" s="1133"/>
      <c r="R38" s="1133"/>
      <c r="S38" s="1133"/>
      <c r="T38" s="1133"/>
      <c r="U38" s="1133"/>
      <c r="V38" s="1133"/>
      <c r="W38" s="1224"/>
      <c r="X38" s="1224"/>
      <c r="Y38" s="1224"/>
      <c r="Z38" s="1224"/>
      <c r="AA38" s="1224"/>
      <c r="AB38" s="1224"/>
      <c r="AC38" s="1224"/>
      <c r="AD38" s="1224"/>
      <c r="AE38" s="1224"/>
      <c r="AF38" s="1224"/>
      <c r="AG38" s="1224"/>
      <c r="AH38" s="1224"/>
      <c r="AI38" s="1224"/>
      <c r="AJ38" s="1081"/>
      <c r="AK38" s="1081"/>
      <c r="AL38" s="1081"/>
      <c r="AM38" s="1081"/>
      <c r="AN38" s="1081"/>
      <c r="AO38" s="1081"/>
      <c r="AP38" s="1081"/>
      <c r="AQ38" s="1081"/>
      <c r="AR38" s="1081"/>
      <c r="AS38" s="1133"/>
      <c r="AT38" s="1048"/>
      <c r="AU38" s="1081"/>
      <c r="AV38" s="1081"/>
      <c r="AW38" s="1081"/>
      <c r="AX38" s="1081"/>
      <c r="AY38" s="1081"/>
      <c r="AZ38" s="1081"/>
      <c r="BA38" s="1081"/>
      <c r="BB38" s="1081"/>
      <c r="BC38" s="1048"/>
      <c r="BD38" s="1048"/>
      <c r="BE38" s="1048"/>
      <c r="BF38" s="1048"/>
      <c r="BG38" s="1048"/>
      <c r="BH38" s="1048"/>
      <c r="BI38" s="1048"/>
      <c r="BJ38" s="1048"/>
      <c r="BK38" s="1048"/>
      <c r="BL38" s="1048"/>
      <c r="BM38" s="1125" t="s">
        <v>831</v>
      </c>
      <c r="BN38" s="1126">
        <v>18.731622195</v>
      </c>
      <c r="BO38" s="1126">
        <v>17.771026185</v>
      </c>
      <c r="BP38" s="1126">
        <v>15.849834164999999</v>
      </c>
      <c r="BQ38" s="1126">
        <v>12.968046135</v>
      </c>
      <c r="BR38" s="1127">
        <v>12.968046135</v>
      </c>
      <c r="BS38" s="1107"/>
      <c r="BT38" s="1107"/>
      <c r="BU38" s="1045"/>
    </row>
    <row r="39" spans="1:73" ht="17.45" customHeight="1">
      <c r="A39" s="1133"/>
      <c r="B39" s="1133" t="s">
        <v>1542</v>
      </c>
      <c r="C39" s="1133"/>
      <c r="D39" s="1133"/>
      <c r="E39" s="1133"/>
      <c r="F39" s="1133"/>
      <c r="G39" s="1133"/>
      <c r="H39" s="1231"/>
      <c r="I39" s="1133"/>
      <c r="J39" s="1133"/>
      <c r="K39" s="1133"/>
      <c r="L39" s="1133"/>
      <c r="M39" s="1133"/>
      <c r="N39" s="1133"/>
      <c r="O39" s="1133"/>
      <c r="P39" s="1133"/>
      <c r="Q39" s="1133"/>
      <c r="R39" s="1133"/>
      <c r="S39" s="1133"/>
      <c r="T39" s="1133"/>
      <c r="U39" s="1133"/>
      <c r="V39" s="1133"/>
      <c r="W39" s="1224"/>
      <c r="X39" s="1224"/>
      <c r="Y39" s="1224"/>
      <c r="Z39" s="1224"/>
      <c r="AA39" s="1224"/>
      <c r="AB39" s="1224"/>
      <c r="AC39" s="1224"/>
      <c r="AD39" s="1224"/>
      <c r="AE39" s="1224"/>
      <c r="AF39" s="1224"/>
      <c r="AG39" s="1224"/>
      <c r="AH39" s="1224"/>
      <c r="AI39" s="1224"/>
      <c r="AJ39" s="1081"/>
      <c r="AK39" s="1081"/>
      <c r="AL39" s="1081"/>
      <c r="AM39" s="1081"/>
      <c r="AN39" s="1081"/>
      <c r="AO39" s="1081"/>
      <c r="AP39" s="1081"/>
      <c r="AQ39" s="1081"/>
      <c r="AR39" s="1081"/>
      <c r="AS39" s="1133"/>
      <c r="AT39" s="1048"/>
      <c r="AU39" s="1081" t="s">
        <v>931</v>
      </c>
      <c r="AV39" s="1081" t="s">
        <v>932</v>
      </c>
      <c r="AW39" s="1081"/>
      <c r="AX39" s="1081"/>
      <c r="AY39" s="1081"/>
      <c r="AZ39" s="1081"/>
      <c r="BA39" s="1081"/>
      <c r="BB39" s="1081"/>
      <c r="BC39" s="1048"/>
      <c r="BD39" s="1048"/>
      <c r="BE39" s="1048"/>
      <c r="BF39" s="1048"/>
      <c r="BG39" s="1048"/>
      <c r="BH39" s="1048"/>
      <c r="BI39" s="1048"/>
      <c r="BJ39" s="1048"/>
      <c r="BK39" s="1048"/>
      <c r="BL39" s="1048"/>
      <c r="BM39" s="1117" t="s">
        <v>829</v>
      </c>
      <c r="BN39" s="1119"/>
      <c r="BO39" s="1119"/>
      <c r="BP39" s="1120">
        <v>0.01</v>
      </c>
      <c r="BQ39" s="1119"/>
      <c r="BR39" s="1121"/>
      <c r="BS39" s="1107"/>
      <c r="BT39" s="1107"/>
      <c r="BU39" s="1045"/>
    </row>
    <row r="40" spans="1:73" ht="17.45" customHeight="1">
      <c r="A40" s="1133"/>
      <c r="B40" s="1133"/>
      <c r="C40" s="1133"/>
      <c r="D40" s="1133"/>
      <c r="E40" s="1133"/>
      <c r="F40" s="1133"/>
      <c r="G40" s="1133"/>
      <c r="H40" s="1231"/>
      <c r="I40" s="1133"/>
      <c r="J40" s="1133"/>
      <c r="K40" s="1133"/>
      <c r="L40" s="1133"/>
      <c r="M40" s="1133"/>
      <c r="N40" s="1133"/>
      <c r="O40" s="1133"/>
      <c r="P40" s="1133"/>
      <c r="Q40" s="1133"/>
      <c r="R40" s="1133"/>
      <c r="S40" s="1133"/>
      <c r="T40" s="1133"/>
      <c r="U40" s="1133"/>
      <c r="V40" s="1133"/>
      <c r="W40" s="1224"/>
      <c r="X40" s="1224"/>
      <c r="Y40" s="1224"/>
      <c r="Z40" s="1224"/>
      <c r="AA40" s="1224"/>
      <c r="AB40" s="1224"/>
      <c r="AC40" s="1224"/>
      <c r="AD40" s="1224"/>
      <c r="AE40" s="1224"/>
      <c r="AF40" s="1224"/>
      <c r="AG40" s="1224"/>
      <c r="AH40" s="1224"/>
      <c r="AI40" s="1224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133"/>
      <c r="AT40" s="1048"/>
      <c r="AU40" s="1081" t="s">
        <v>933</v>
      </c>
      <c r="AV40" s="1081" t="s">
        <v>934</v>
      </c>
      <c r="AW40" s="1081"/>
      <c r="AX40" s="1090" t="s">
        <v>935</v>
      </c>
      <c r="AY40" s="1090"/>
      <c r="AZ40" s="1090" t="s">
        <v>936</v>
      </c>
      <c r="BA40" s="1081"/>
      <c r="BB40" s="1081"/>
      <c r="BC40" s="1048"/>
      <c r="BD40" s="1048"/>
      <c r="BE40" s="1048"/>
      <c r="BF40" s="1048"/>
      <c r="BG40" s="1048"/>
      <c r="BH40" s="1048"/>
      <c r="BI40" s="1048"/>
      <c r="BJ40" s="1048"/>
      <c r="BK40" s="1048"/>
      <c r="BL40" s="1048"/>
      <c r="BM40" s="1122" t="s">
        <v>835</v>
      </c>
      <c r="BN40" s="1123">
        <v>18.544305973050001</v>
      </c>
      <c r="BO40" s="1123">
        <v>17.593315923150001</v>
      </c>
      <c r="BP40" s="1123">
        <v>15.691335823349998</v>
      </c>
      <c r="BQ40" s="1123">
        <v>12.838365673649999</v>
      </c>
      <c r="BR40" s="1124">
        <v>12.838365673649999</v>
      </c>
      <c r="BS40" s="1107"/>
      <c r="BT40" s="1107"/>
      <c r="BU40" s="1045"/>
    </row>
    <row r="41" spans="1:73" ht="17.45" customHeight="1" thickBot="1">
      <c r="A41" s="1133"/>
      <c r="B41" s="1370" t="s">
        <v>1216</v>
      </c>
      <c r="C41" s="1370" t="s">
        <v>1217</v>
      </c>
      <c r="D41" s="1371"/>
      <c r="E41" s="1371"/>
      <c r="F41" s="1371"/>
      <c r="G41" s="1371"/>
      <c r="H41" s="1133"/>
      <c r="I41" s="1133"/>
      <c r="J41" s="1133"/>
      <c r="K41" s="1133"/>
      <c r="L41" s="1133"/>
      <c r="M41" s="1133"/>
      <c r="N41" s="1133"/>
      <c r="O41" s="1133"/>
      <c r="P41" s="1133"/>
      <c r="Q41" s="1133"/>
      <c r="R41" s="1133"/>
      <c r="S41" s="1133"/>
      <c r="T41" s="1133"/>
      <c r="U41" s="1133"/>
      <c r="V41" s="1133"/>
      <c r="W41" s="1224"/>
      <c r="X41" s="1224"/>
      <c r="Y41" s="1224"/>
      <c r="Z41" s="1224"/>
      <c r="AA41" s="1224"/>
      <c r="AB41" s="1224"/>
      <c r="AC41" s="1224"/>
      <c r="AD41" s="1224"/>
      <c r="AE41" s="1224"/>
      <c r="AF41" s="1224"/>
      <c r="AG41" s="1224"/>
      <c r="AH41" s="1224"/>
      <c r="AI41" s="1224"/>
      <c r="AJ41" s="1081"/>
      <c r="AK41" s="1081"/>
      <c r="AL41" s="1081"/>
      <c r="AM41" s="1081"/>
      <c r="AN41" s="1081"/>
      <c r="AO41" s="1081"/>
      <c r="AP41" s="1081"/>
      <c r="AQ41" s="1081"/>
      <c r="AR41" s="1081"/>
      <c r="AS41" s="1133"/>
      <c r="AT41" s="1048"/>
      <c r="AU41" s="1081"/>
      <c r="AV41" s="1081"/>
      <c r="AW41" s="1081"/>
      <c r="AX41" s="1090" t="s">
        <v>937</v>
      </c>
      <c r="AY41" s="1090"/>
      <c r="AZ41" s="1090" t="s">
        <v>938</v>
      </c>
      <c r="BA41" s="1081"/>
      <c r="BB41" s="1081"/>
      <c r="BC41" s="1048"/>
      <c r="BD41" s="1048"/>
      <c r="BE41" s="1048"/>
      <c r="BF41" s="1048"/>
      <c r="BG41" s="1048"/>
      <c r="BH41" s="1048"/>
      <c r="BI41" s="1048"/>
      <c r="BJ41" s="1048"/>
      <c r="BK41" s="1048"/>
      <c r="BL41" s="1048"/>
      <c r="BM41" s="1125" t="s">
        <v>831</v>
      </c>
      <c r="BN41" s="1126">
        <v>18.544305973050001</v>
      </c>
      <c r="BO41" s="1126">
        <v>17.593315923150001</v>
      </c>
      <c r="BP41" s="1126">
        <v>15.691335823349998</v>
      </c>
      <c r="BQ41" s="1126">
        <v>12.838365673649999</v>
      </c>
      <c r="BR41" s="1127">
        <v>12.838365673649999</v>
      </c>
      <c r="BS41" s="1107"/>
      <c r="BT41" s="1107"/>
      <c r="BU41" s="1045"/>
    </row>
    <row r="42" spans="1:73" ht="17.45" customHeight="1">
      <c r="A42" s="1133"/>
      <c r="B42" s="1371"/>
      <c r="C42" s="1371" t="s">
        <v>1214</v>
      </c>
      <c r="D42" s="1371"/>
      <c r="E42" s="1371"/>
      <c r="F42" s="1371"/>
      <c r="G42" s="1371"/>
      <c r="H42" s="1133"/>
      <c r="I42" s="1133"/>
      <c r="J42" s="1133"/>
      <c r="K42" s="1133"/>
      <c r="L42" s="1133"/>
      <c r="M42" s="1133"/>
      <c r="N42" s="1133"/>
      <c r="O42" s="1133"/>
      <c r="P42" s="1133"/>
      <c r="Q42" s="1133"/>
      <c r="R42" s="1133"/>
      <c r="S42" s="1133"/>
      <c r="T42" s="1133"/>
      <c r="U42" s="1133"/>
      <c r="V42" s="1133"/>
      <c r="W42" s="1224"/>
      <c r="X42" s="1224"/>
      <c r="Y42" s="1224"/>
      <c r="Z42" s="1224"/>
      <c r="AA42" s="1224"/>
      <c r="AB42" s="1224"/>
      <c r="AC42" s="1224"/>
      <c r="AD42" s="1224"/>
      <c r="AE42" s="1224"/>
      <c r="AF42" s="1224"/>
      <c r="AG42" s="1224"/>
      <c r="AH42" s="1224"/>
      <c r="AI42" s="1224"/>
      <c r="AJ42" s="1081"/>
      <c r="AK42" s="1081"/>
      <c r="AL42" s="1081"/>
      <c r="AM42" s="1081"/>
      <c r="AN42" s="1081"/>
      <c r="AO42" s="1081"/>
      <c r="AP42" s="1081"/>
      <c r="AQ42" s="1081"/>
      <c r="AR42" s="1081"/>
      <c r="AS42" s="1133"/>
      <c r="AT42" s="1048"/>
      <c r="AU42" s="1081" t="s">
        <v>939</v>
      </c>
      <c r="AV42" s="1081" t="s">
        <v>940</v>
      </c>
      <c r="AW42" s="1081"/>
      <c r="AX42" s="1081"/>
      <c r="AY42" s="1081"/>
      <c r="AZ42" s="1081"/>
      <c r="BA42" s="1081"/>
      <c r="BB42" s="1081"/>
      <c r="BC42" s="1048"/>
      <c r="BD42" s="1048"/>
      <c r="BE42" s="1048"/>
      <c r="BF42" s="1048"/>
      <c r="BG42" s="1048"/>
      <c r="BH42" s="1048"/>
      <c r="BI42" s="1048"/>
      <c r="BJ42" s="1048"/>
      <c r="BK42" s="1048"/>
      <c r="BL42" s="1048"/>
      <c r="BM42" s="1117" t="s">
        <v>829</v>
      </c>
      <c r="BN42" s="1119"/>
      <c r="BO42" s="1119"/>
      <c r="BP42" s="1120">
        <v>0.01</v>
      </c>
      <c r="BQ42" s="1119"/>
      <c r="BR42" s="1121"/>
      <c r="BS42" s="1107"/>
      <c r="BT42" s="1107"/>
      <c r="BU42" s="1045"/>
    </row>
    <row r="43" spans="1:73" ht="17.45" customHeight="1">
      <c r="A43" s="1133"/>
      <c r="B43" s="1371"/>
      <c r="C43" s="1371" t="s">
        <v>1215</v>
      </c>
      <c r="D43" s="1371"/>
      <c r="E43" s="1371"/>
      <c r="F43" s="1371"/>
      <c r="G43" s="1371"/>
      <c r="H43" s="1133"/>
      <c r="I43" s="1133"/>
      <c r="J43" s="1133"/>
      <c r="K43" s="1133"/>
      <c r="L43" s="1133"/>
      <c r="M43" s="1133"/>
      <c r="N43" s="1133"/>
      <c r="O43" s="1133"/>
      <c r="P43" s="1133"/>
      <c r="Q43" s="1133"/>
      <c r="R43" s="1133"/>
      <c r="S43" s="1133"/>
      <c r="T43" s="1133"/>
      <c r="U43" s="1133"/>
      <c r="V43" s="1133"/>
      <c r="W43" s="1224"/>
      <c r="X43" s="1224"/>
      <c r="Y43" s="1224"/>
      <c r="Z43" s="1224"/>
      <c r="AA43" s="1224"/>
      <c r="AB43" s="1224"/>
      <c r="AC43" s="1224"/>
      <c r="AD43" s="1224"/>
      <c r="AE43" s="1224"/>
      <c r="AF43" s="1224"/>
      <c r="AG43" s="1224"/>
      <c r="AH43" s="1224"/>
      <c r="AI43" s="1224"/>
      <c r="AJ43" s="1081"/>
      <c r="AK43" s="1081"/>
      <c r="AL43" s="1081"/>
      <c r="AM43" s="1081"/>
      <c r="AN43" s="1081"/>
      <c r="AO43" s="1081"/>
      <c r="AP43" s="1081"/>
      <c r="AQ43" s="1081"/>
      <c r="AR43" s="1081"/>
      <c r="AS43" s="1133"/>
      <c r="AT43" s="1048"/>
      <c r="AU43" s="1081"/>
      <c r="AV43" s="1081" t="s">
        <v>941</v>
      </c>
      <c r="AW43" s="1081"/>
      <c r="AX43" s="1081"/>
      <c r="AY43" s="1090" t="s">
        <v>942</v>
      </c>
      <c r="AZ43" s="1081"/>
      <c r="BA43" s="1081"/>
      <c r="BB43" s="1081"/>
      <c r="BC43" s="1048"/>
      <c r="BD43" s="1048"/>
      <c r="BE43" s="1048"/>
      <c r="BF43" s="1048"/>
      <c r="BG43" s="1048"/>
      <c r="BH43" s="1048"/>
      <c r="BI43" s="1048"/>
      <c r="BJ43" s="1048"/>
      <c r="BK43" s="1048"/>
      <c r="BL43" s="1048"/>
      <c r="BM43" s="1122" t="s">
        <v>836</v>
      </c>
      <c r="BN43" s="1123">
        <v>18.358862913319502</v>
      </c>
      <c r="BO43" s="1123">
        <v>17.4173827639185</v>
      </c>
      <c r="BP43" s="1123">
        <v>15.534422465116497</v>
      </c>
      <c r="BQ43" s="1123">
        <v>12.7099820169135</v>
      </c>
      <c r="BR43" s="1124">
        <v>12.7099820169135</v>
      </c>
      <c r="BS43" s="1107"/>
      <c r="BT43" s="1107"/>
      <c r="BU43" s="1045"/>
    </row>
    <row r="44" spans="1:73" ht="17.45" customHeight="1" thickBot="1">
      <c r="A44" s="1133"/>
      <c r="B44" s="1371"/>
      <c r="C44" s="1371" t="s">
        <v>1322</v>
      </c>
      <c r="D44" s="1371"/>
      <c r="E44" s="1371"/>
      <c r="F44" s="1371"/>
      <c r="G44" s="1371"/>
      <c r="H44" s="1133"/>
      <c r="I44" s="1133"/>
      <c r="J44" s="1133"/>
      <c r="K44" s="1133"/>
      <c r="L44" s="1133"/>
      <c r="M44" s="1133"/>
      <c r="N44" s="1133"/>
      <c r="O44" s="1133"/>
      <c r="P44" s="1133"/>
      <c r="Q44" s="1133"/>
      <c r="R44" s="1133"/>
      <c r="S44" s="1133"/>
      <c r="T44" s="1133"/>
      <c r="U44" s="1133"/>
      <c r="V44" s="1133"/>
      <c r="W44" s="1224"/>
      <c r="X44" s="1224"/>
      <c r="Y44" s="1224"/>
      <c r="Z44" s="1224"/>
      <c r="AA44" s="1224"/>
      <c r="AB44" s="1224"/>
      <c r="AC44" s="1224"/>
      <c r="AD44" s="1224"/>
      <c r="AE44" s="1224"/>
      <c r="AF44" s="1224"/>
      <c r="AG44" s="1224"/>
      <c r="AH44" s="1224"/>
      <c r="AI44" s="1224"/>
      <c r="AJ44" s="1081"/>
      <c r="AK44" s="1081"/>
      <c r="AL44" s="1081"/>
      <c r="AM44" s="1081"/>
      <c r="AN44" s="1081"/>
      <c r="AO44" s="1081"/>
      <c r="AP44" s="1081"/>
      <c r="AQ44" s="1081"/>
      <c r="AR44" s="1081"/>
      <c r="AS44" s="1133"/>
      <c r="AT44" s="1048"/>
      <c r="AU44" s="1081"/>
      <c r="AV44" s="1081"/>
      <c r="AW44" s="1081"/>
      <c r="AX44" s="1081"/>
      <c r="AY44" s="1081"/>
      <c r="AZ44" s="1081"/>
      <c r="BA44" s="1081"/>
      <c r="BB44" s="1081"/>
      <c r="BC44" s="1048"/>
      <c r="BD44" s="1048"/>
      <c r="BE44" s="1048"/>
      <c r="BF44" s="1048"/>
      <c r="BG44" s="1048"/>
      <c r="BH44" s="1048"/>
      <c r="BI44" s="1048"/>
      <c r="BJ44" s="1048"/>
      <c r="BK44" s="1048"/>
      <c r="BL44" s="1048"/>
      <c r="BM44" s="1125" t="s">
        <v>831</v>
      </c>
      <c r="BN44" s="1126">
        <v>18.358862913319502</v>
      </c>
      <c r="BO44" s="1126">
        <v>17.4173827639185</v>
      </c>
      <c r="BP44" s="1126">
        <v>15.534422465116497</v>
      </c>
      <c r="BQ44" s="1126">
        <v>12.7099820169135</v>
      </c>
      <c r="BR44" s="1127">
        <v>12.7099820169135</v>
      </c>
      <c r="BS44" s="1107"/>
      <c r="BT44" s="1107"/>
      <c r="BU44" s="1045"/>
    </row>
    <row r="45" spans="1:73" ht="17.45" customHeight="1" thickBot="1">
      <c r="A45" s="1133"/>
      <c r="B45" s="1371" t="s">
        <v>1323</v>
      </c>
      <c r="C45" s="1371" t="s">
        <v>1324</v>
      </c>
      <c r="D45" s="1371"/>
      <c r="E45" s="1371"/>
      <c r="F45" s="1371"/>
      <c r="G45" s="1371"/>
      <c r="H45" s="1231"/>
      <c r="I45" s="1133"/>
      <c r="J45" s="1133"/>
      <c r="K45" s="1133"/>
      <c r="L45" s="1133"/>
      <c r="M45" s="1133"/>
      <c r="N45" s="1133"/>
      <c r="O45" s="1133"/>
      <c r="P45" s="1133"/>
      <c r="Q45" s="1133"/>
      <c r="R45" s="1133"/>
      <c r="S45" s="1133"/>
      <c r="T45" s="1133"/>
      <c r="U45" s="1133"/>
      <c r="V45" s="1133"/>
      <c r="W45" s="1224"/>
      <c r="X45" s="1224"/>
      <c r="Y45" s="1224"/>
      <c r="Z45" s="1224"/>
      <c r="AA45" s="1224"/>
      <c r="AB45" s="1224"/>
      <c r="AC45" s="1224"/>
      <c r="AD45" s="1224"/>
      <c r="AE45" s="1224"/>
      <c r="AF45" s="1224"/>
      <c r="AG45" s="1224"/>
      <c r="AH45" s="1224"/>
      <c r="AI45" s="1224"/>
      <c r="AJ45" s="1081"/>
      <c r="AK45" s="1081"/>
      <c r="AL45" s="1081"/>
      <c r="AM45" s="1081"/>
      <c r="AN45" s="1081"/>
      <c r="AO45" s="1081"/>
      <c r="AP45" s="1081"/>
      <c r="AQ45" s="1081"/>
      <c r="AR45" s="1081"/>
      <c r="AS45" s="1133"/>
      <c r="AT45" s="1048"/>
      <c r="AU45" s="1081" t="s">
        <v>972</v>
      </c>
      <c r="AV45" s="1081"/>
      <c r="AW45" s="1081"/>
      <c r="AX45" s="1081"/>
      <c r="AY45" s="1081"/>
      <c r="AZ45" s="1081"/>
      <c r="BA45" s="1081"/>
      <c r="BB45" s="1081"/>
      <c r="BC45" s="1048"/>
      <c r="BD45" s="1048"/>
      <c r="BE45" s="1048"/>
      <c r="BF45" s="1048"/>
      <c r="BG45" s="1048"/>
      <c r="BH45" s="1048"/>
      <c r="BI45" s="1048"/>
      <c r="BJ45" s="1048"/>
      <c r="BK45" s="1048"/>
      <c r="BL45" s="1048"/>
      <c r="BM45" s="1119"/>
      <c r="BN45" s="1119"/>
      <c r="BO45" s="1119"/>
      <c r="BP45" s="1128"/>
      <c r="BQ45" s="1119"/>
      <c r="BR45" s="1119"/>
      <c r="BS45" s="1107"/>
      <c r="BT45" s="1107"/>
      <c r="BU45" s="1045"/>
    </row>
    <row r="46" spans="1:73" ht="17.45" customHeight="1">
      <c r="A46" s="1133"/>
      <c r="B46" s="1371"/>
      <c r="C46" s="1371" t="s">
        <v>1325</v>
      </c>
      <c r="D46" s="1371"/>
      <c r="E46" s="1371"/>
      <c r="F46" s="1371"/>
      <c r="G46" s="1371"/>
      <c r="H46" s="1133"/>
      <c r="I46" s="1133"/>
      <c r="J46" s="1133"/>
      <c r="K46" s="1133"/>
      <c r="L46" s="1133"/>
      <c r="M46" s="1133"/>
      <c r="N46" s="1133"/>
      <c r="O46" s="1133"/>
      <c r="P46" s="1133"/>
      <c r="Q46" s="1133"/>
      <c r="R46" s="1133"/>
      <c r="S46" s="1133"/>
      <c r="T46" s="1133"/>
      <c r="U46" s="1133"/>
      <c r="V46" s="1133"/>
      <c r="W46" s="1224"/>
      <c r="X46" s="1224"/>
      <c r="Y46" s="1227"/>
      <c r="Z46" s="1228"/>
      <c r="AA46" s="1227"/>
      <c r="AB46" s="1228"/>
      <c r="AC46" s="1228"/>
      <c r="AD46" s="1224"/>
      <c r="AE46" s="1224"/>
      <c r="AF46" s="1224"/>
      <c r="AG46" s="1224"/>
      <c r="AH46" s="1224"/>
      <c r="AI46" s="1224"/>
      <c r="AJ46" s="1081"/>
      <c r="AK46" s="1081"/>
      <c r="AL46" s="1081"/>
      <c r="AM46" s="1081"/>
      <c r="AN46" s="1081"/>
      <c r="AO46" s="1081"/>
      <c r="AP46" s="1081"/>
      <c r="AQ46" s="1081"/>
      <c r="AR46" s="1081"/>
      <c r="AS46" s="1133"/>
      <c r="AT46" s="1048"/>
      <c r="AU46" s="1081" t="s">
        <v>973</v>
      </c>
      <c r="AV46" s="1081"/>
      <c r="AW46" s="1081"/>
      <c r="AX46" s="1081"/>
      <c r="AY46" s="1081"/>
      <c r="AZ46" s="1081"/>
      <c r="BA46" s="1081"/>
      <c r="BB46" s="1081"/>
      <c r="BC46" s="1048"/>
      <c r="BD46" s="1048"/>
      <c r="BE46" s="1048"/>
      <c r="BF46" s="1048"/>
      <c r="BG46" s="1048"/>
      <c r="BH46" s="1048"/>
      <c r="BI46" s="1048"/>
      <c r="BJ46" s="1048"/>
      <c r="BK46" s="1048"/>
      <c r="BL46" s="1048"/>
      <c r="BM46" s="1117" t="s">
        <v>829</v>
      </c>
      <c r="BN46" s="1119"/>
      <c r="BO46" s="1119"/>
      <c r="BP46" s="1120">
        <v>2.5000000000000001E-2</v>
      </c>
      <c r="BQ46" s="1119"/>
      <c r="BR46" s="1121"/>
      <c r="BS46" s="1107"/>
      <c r="BT46" s="1107"/>
      <c r="BU46" s="1045"/>
    </row>
    <row r="47" spans="1:73" ht="17.45" customHeight="1">
      <c r="A47" s="1133"/>
      <c r="B47" s="1371" t="s">
        <v>1326</v>
      </c>
      <c r="C47" s="1371" t="s">
        <v>1328</v>
      </c>
      <c r="D47" s="1371"/>
      <c r="E47" s="1371"/>
      <c r="F47" s="1371"/>
      <c r="G47" s="1371"/>
      <c r="H47" s="1133"/>
      <c r="I47" s="1133"/>
      <c r="J47" s="1133"/>
      <c r="K47" s="1133"/>
      <c r="L47" s="1133"/>
      <c r="M47" s="1133"/>
      <c r="N47" s="1133"/>
      <c r="O47" s="1133"/>
      <c r="P47" s="1133"/>
      <c r="Q47" s="1133"/>
      <c r="R47" s="1133"/>
      <c r="S47" s="1133"/>
      <c r="T47" s="1133"/>
      <c r="U47" s="1133"/>
      <c r="V47" s="1133"/>
      <c r="W47" s="1224"/>
      <c r="X47" s="1224"/>
      <c r="Y47" s="1227"/>
      <c r="Z47" s="1228"/>
      <c r="AA47" s="1227"/>
      <c r="AB47" s="1228"/>
      <c r="AC47" s="1228"/>
      <c r="AD47" s="1224"/>
      <c r="AE47" s="1224"/>
      <c r="AF47" s="1224"/>
      <c r="AG47" s="1224"/>
      <c r="AH47" s="1224"/>
      <c r="AI47" s="1224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133"/>
      <c r="AT47" s="1048"/>
      <c r="AU47" s="1081"/>
      <c r="AV47" s="1081"/>
      <c r="AW47" s="1081"/>
      <c r="AX47" s="1081"/>
      <c r="AY47" s="1081"/>
      <c r="AZ47" s="1081"/>
      <c r="BA47" s="1081"/>
      <c r="BB47" s="1081"/>
      <c r="BC47" s="1048"/>
      <c r="BD47" s="1048"/>
      <c r="BE47" s="1048"/>
      <c r="BF47" s="1048"/>
      <c r="BG47" s="1048"/>
      <c r="BH47" s="1048"/>
      <c r="BI47" s="1048"/>
      <c r="BJ47" s="1048"/>
      <c r="BK47" s="1048"/>
      <c r="BL47" s="1048"/>
      <c r="BM47" s="1122" t="s">
        <v>837</v>
      </c>
      <c r="BN47" s="1123">
        <v>17.899891340486516</v>
      </c>
      <c r="BO47" s="1123">
        <v>16.981948194820536</v>
      </c>
      <c r="BP47" s="1123">
        <v>15.146061903488585</v>
      </c>
      <c r="BQ47" s="1123">
        <v>12.392232466490663</v>
      </c>
      <c r="BR47" s="1124">
        <v>12.392232466490663</v>
      </c>
      <c r="BS47" s="1107"/>
      <c r="BT47" s="1107"/>
      <c r="BU47" s="1045"/>
    </row>
    <row r="48" spans="1:73" ht="17.45" customHeight="1" thickBot="1">
      <c r="A48" s="1133"/>
      <c r="B48" s="1371" t="s">
        <v>1327</v>
      </c>
      <c r="C48" s="1371" t="s">
        <v>1329</v>
      </c>
      <c r="D48" s="1371"/>
      <c r="E48" s="1371"/>
      <c r="F48" s="1371"/>
      <c r="G48" s="1371"/>
      <c r="H48" s="1133"/>
      <c r="I48" s="1133"/>
      <c r="J48" s="1133"/>
      <c r="K48" s="1133"/>
      <c r="L48" s="1133"/>
      <c r="M48" s="1133"/>
      <c r="N48" s="1133"/>
      <c r="O48" s="1133"/>
      <c r="P48" s="1133"/>
      <c r="Q48" s="1133"/>
      <c r="R48" s="1133"/>
      <c r="S48" s="1133"/>
      <c r="T48" s="1133"/>
      <c r="U48" s="1133"/>
      <c r="V48" s="1133"/>
      <c r="W48" s="1224"/>
      <c r="X48" s="1224"/>
      <c r="Y48" s="1227"/>
      <c r="Z48" s="1228"/>
      <c r="AA48" s="1227"/>
      <c r="AB48" s="1228"/>
      <c r="AC48" s="1228"/>
      <c r="AD48" s="1224"/>
      <c r="AE48" s="1224"/>
      <c r="AF48" s="1224"/>
      <c r="AG48" s="1224"/>
      <c r="AH48" s="1224"/>
      <c r="AI48" s="1224"/>
      <c r="AJ48" s="1081"/>
      <c r="AK48" s="1081"/>
      <c r="AL48" s="1081"/>
      <c r="AM48" s="1081"/>
      <c r="AN48" s="1081"/>
      <c r="AO48" s="1081"/>
      <c r="AP48" s="1081"/>
      <c r="AQ48" s="1081"/>
      <c r="AR48" s="1081"/>
      <c r="AS48" s="1133"/>
      <c r="AT48" s="1048"/>
      <c r="AU48" s="1081"/>
      <c r="AV48" s="1081"/>
      <c r="AW48" s="1081"/>
      <c r="AX48" s="1081"/>
      <c r="AY48" s="1081"/>
      <c r="AZ48" s="1081"/>
      <c r="BA48" s="1081"/>
      <c r="BB48" s="1081"/>
      <c r="BC48" s="1048"/>
      <c r="BD48" s="1048"/>
      <c r="BE48" s="1048"/>
      <c r="BF48" s="1048"/>
      <c r="BG48" s="1048"/>
      <c r="BH48" s="1048"/>
      <c r="BI48" s="1048"/>
      <c r="BJ48" s="1048"/>
      <c r="BK48" s="1048"/>
      <c r="BL48" s="1048"/>
      <c r="BM48" s="1125" t="s">
        <v>831</v>
      </c>
      <c r="BN48" s="1126">
        <v>17.899891340486516</v>
      </c>
      <c r="BO48" s="1126">
        <v>16.981948194820536</v>
      </c>
      <c r="BP48" s="1126">
        <v>15.146061903488585</v>
      </c>
      <c r="BQ48" s="1126">
        <v>12.392232466490663</v>
      </c>
      <c r="BR48" s="1127">
        <v>12.392232466490663</v>
      </c>
      <c r="BS48" s="1107"/>
      <c r="BT48" s="1107"/>
      <c r="BU48" s="1045"/>
    </row>
    <row r="49" spans="1:73" ht="17.45" customHeight="1">
      <c r="A49" s="1133"/>
      <c r="B49" s="1371"/>
      <c r="C49" s="1371" t="s">
        <v>1330</v>
      </c>
      <c r="D49" s="1371"/>
      <c r="E49" s="1371"/>
      <c r="F49" s="1371"/>
      <c r="G49" s="1371"/>
      <c r="H49" s="1133"/>
      <c r="I49" s="1133"/>
      <c r="J49" s="1133"/>
      <c r="K49" s="1133"/>
      <c r="L49" s="1133"/>
      <c r="M49" s="1133"/>
      <c r="N49" s="1133"/>
      <c r="O49" s="1133"/>
      <c r="P49" s="1133"/>
      <c r="Q49" s="1133"/>
      <c r="R49" s="1133"/>
      <c r="S49" s="1133"/>
      <c r="T49" s="1133"/>
      <c r="U49" s="1133"/>
      <c r="V49" s="1133"/>
      <c r="W49" s="1224"/>
      <c r="X49" s="1224"/>
      <c r="Y49" s="1228"/>
      <c r="Z49" s="1228"/>
      <c r="AA49" s="1228"/>
      <c r="AB49" s="1228"/>
      <c r="AC49" s="1228"/>
      <c r="AD49" s="1224"/>
      <c r="AE49" s="1224"/>
      <c r="AF49" s="1224"/>
      <c r="AG49" s="1224"/>
      <c r="AH49" s="1224"/>
      <c r="AI49" s="1224"/>
      <c r="AJ49" s="1081"/>
      <c r="AK49" s="1081"/>
      <c r="AL49" s="1081"/>
      <c r="AM49" s="1081"/>
      <c r="AN49" s="1081"/>
      <c r="AO49" s="1081"/>
      <c r="AP49" s="1081"/>
      <c r="AQ49" s="1081"/>
      <c r="AR49" s="1081"/>
      <c r="AS49" s="1133"/>
      <c r="AT49" s="1048"/>
      <c r="AU49" s="1081"/>
      <c r="AV49" s="1081"/>
      <c r="AW49" s="1081"/>
      <c r="AX49" s="1081"/>
      <c r="AY49" s="1081"/>
      <c r="AZ49" s="1081"/>
      <c r="BA49" s="1081"/>
      <c r="BB49" s="1081"/>
      <c r="BC49" s="1048"/>
      <c r="BD49" s="1048"/>
      <c r="BE49" s="1048"/>
      <c r="BF49" s="1048"/>
      <c r="BG49" s="1048"/>
      <c r="BH49" s="1048"/>
      <c r="BI49" s="1048"/>
      <c r="BJ49" s="1048"/>
      <c r="BK49" s="1048"/>
      <c r="BL49" s="1048"/>
      <c r="BM49" s="1117" t="s">
        <v>829</v>
      </c>
      <c r="BN49" s="1119"/>
      <c r="BO49" s="1119"/>
      <c r="BP49" s="1120">
        <v>2.5000000000000001E-2</v>
      </c>
      <c r="BQ49" s="1119"/>
      <c r="BR49" s="1121"/>
      <c r="BS49" s="1107"/>
      <c r="BT49" s="1107"/>
      <c r="BU49" s="1045"/>
    </row>
    <row r="50" spans="1:73" ht="17.45" customHeight="1">
      <c r="A50" s="1133"/>
      <c r="B50" s="1133"/>
      <c r="C50" s="1133"/>
      <c r="D50" s="1133"/>
      <c r="E50" s="1133"/>
      <c r="F50" s="1133"/>
      <c r="G50" s="1133"/>
      <c r="H50" s="1133"/>
      <c r="I50" s="1133"/>
      <c r="J50" s="1133"/>
      <c r="K50" s="1133"/>
      <c r="L50" s="1133"/>
      <c r="M50" s="1133"/>
      <c r="N50" s="1133"/>
      <c r="O50" s="1133"/>
      <c r="P50" s="1133"/>
      <c r="Q50" s="1133"/>
      <c r="R50" s="1133"/>
      <c r="S50" s="1133"/>
      <c r="T50" s="1133"/>
      <c r="U50" s="1133"/>
      <c r="V50" s="1133"/>
      <c r="W50" s="1224"/>
      <c r="X50" s="1224"/>
      <c r="Y50" s="1224"/>
      <c r="Z50" s="1224"/>
      <c r="AA50" s="1224"/>
      <c r="AB50" s="1224"/>
      <c r="AC50" s="1224"/>
      <c r="AD50" s="1224"/>
      <c r="AE50" s="1224"/>
      <c r="AF50" s="1224"/>
      <c r="AG50" s="1224"/>
      <c r="AH50" s="1224"/>
      <c r="AI50" s="1224"/>
      <c r="AJ50" s="1081"/>
      <c r="AK50" s="1081"/>
      <c r="AL50" s="1081"/>
      <c r="AM50" s="1081"/>
      <c r="AN50" s="1081"/>
      <c r="AO50" s="1081"/>
      <c r="AP50" s="1081"/>
      <c r="AQ50" s="1081"/>
      <c r="AR50" s="1081"/>
      <c r="AS50" s="1133"/>
      <c r="AT50" s="1048"/>
      <c r="AU50" s="1088" t="s">
        <v>974</v>
      </c>
      <c r="AV50" s="1081"/>
      <c r="AW50" s="1081"/>
      <c r="AX50" s="1081"/>
      <c r="AY50" s="1081"/>
      <c r="AZ50" s="1081"/>
      <c r="BA50" s="1081"/>
      <c r="BB50" s="1081"/>
      <c r="BC50" s="1048"/>
      <c r="BD50" s="1048"/>
      <c r="BE50" s="1048"/>
      <c r="BF50" s="1048"/>
      <c r="BG50" s="1048"/>
      <c r="BH50" s="1048"/>
      <c r="BI50" s="1048"/>
      <c r="BJ50" s="1048"/>
      <c r="BK50" s="1048"/>
      <c r="BL50" s="1048"/>
      <c r="BM50" s="1122" t="s">
        <v>838</v>
      </c>
      <c r="BN50" s="1123">
        <v>17.452394056974352</v>
      </c>
      <c r="BO50" s="1123">
        <v>16.557399489950022</v>
      </c>
      <c r="BP50" s="1123">
        <v>14.767410355901371</v>
      </c>
      <c r="BQ50" s="1123">
        <v>12.082426654828396</v>
      </c>
      <c r="BR50" s="1124">
        <v>12.082426654828396</v>
      </c>
      <c r="BS50" s="1107"/>
      <c r="BT50" s="1107"/>
      <c r="BU50" s="1045"/>
    </row>
    <row r="51" spans="1:73" ht="17.45" customHeight="1" thickBot="1">
      <c r="A51" s="1134" t="s">
        <v>1260</v>
      </c>
      <c r="B51" s="1133"/>
      <c r="C51" s="1133"/>
      <c r="D51" s="1133"/>
      <c r="E51" s="1133"/>
      <c r="F51" s="1133"/>
      <c r="G51" s="1133"/>
      <c r="H51" s="1133"/>
      <c r="I51" s="1133"/>
      <c r="J51" s="1133"/>
      <c r="K51" s="1133"/>
      <c r="L51" s="1133"/>
      <c r="M51" s="1133"/>
      <c r="N51" s="1133"/>
      <c r="O51" s="1133"/>
      <c r="P51" s="1133"/>
      <c r="Q51" s="1133"/>
      <c r="R51" s="1133"/>
      <c r="S51" s="1133"/>
      <c r="T51" s="1133"/>
      <c r="U51" s="1133"/>
      <c r="V51" s="1133"/>
      <c r="W51" s="1224"/>
      <c r="X51" s="1224"/>
      <c r="Y51" s="1224"/>
      <c r="Z51" s="1224"/>
      <c r="AA51" s="1224"/>
      <c r="AB51" s="1224"/>
      <c r="AC51" s="1224"/>
      <c r="AD51" s="1224"/>
      <c r="AE51" s="1224"/>
      <c r="AF51" s="1224"/>
      <c r="AG51" s="1224"/>
      <c r="AH51" s="1224"/>
      <c r="AI51" s="1224"/>
      <c r="AJ51" s="1081"/>
      <c r="AK51" s="1081"/>
      <c r="AL51" s="1081"/>
      <c r="AM51" s="1081"/>
      <c r="AN51" s="1081"/>
      <c r="AO51" s="1081"/>
      <c r="AP51" s="1081"/>
      <c r="AQ51" s="1081"/>
      <c r="AR51" s="1081"/>
      <c r="AS51" s="1133"/>
      <c r="AT51" s="1048"/>
      <c r="AU51" s="1081" t="s">
        <v>1060</v>
      </c>
      <c r="AV51" s="1081"/>
      <c r="AW51" s="1081"/>
      <c r="AX51" s="1081"/>
      <c r="AY51" s="1081"/>
      <c r="AZ51" s="1081"/>
      <c r="BA51" s="1081"/>
      <c r="BB51" s="1081"/>
      <c r="BC51" s="1048"/>
      <c r="BD51" s="1048"/>
      <c r="BE51" s="1048"/>
      <c r="BF51" s="1048"/>
      <c r="BG51" s="1048"/>
      <c r="BH51" s="1048"/>
      <c r="BI51" s="1048"/>
      <c r="BJ51" s="1048"/>
      <c r="BK51" s="1048"/>
      <c r="BL51" s="1048"/>
      <c r="BM51" s="1125" t="s">
        <v>831</v>
      </c>
      <c r="BN51" s="1126">
        <v>17.452394056974352</v>
      </c>
      <c r="BO51" s="1126">
        <v>16.557399489950022</v>
      </c>
      <c r="BP51" s="1126">
        <v>14.767410355901371</v>
      </c>
      <c r="BQ51" s="1126">
        <v>12.082426654828396</v>
      </c>
      <c r="BR51" s="1127">
        <v>12.082426654828396</v>
      </c>
      <c r="BS51" s="1107"/>
      <c r="BT51" s="1107"/>
      <c r="BU51" s="1045"/>
    </row>
    <row r="52" spans="1:73" ht="17.45" customHeight="1">
      <c r="A52" s="1133"/>
      <c r="B52" s="1133"/>
      <c r="C52" s="1133"/>
      <c r="D52" s="1133"/>
      <c r="E52" s="1133"/>
      <c r="F52" s="1133"/>
      <c r="G52" s="1133"/>
      <c r="H52" s="1133"/>
      <c r="I52" s="1133"/>
      <c r="J52" s="1133"/>
      <c r="K52" s="1133"/>
      <c r="L52" s="1133"/>
      <c r="M52" s="1133"/>
      <c r="N52" s="1133"/>
      <c r="O52" s="1133"/>
      <c r="P52" s="1133"/>
      <c r="Q52" s="1133"/>
      <c r="R52" s="1133"/>
      <c r="S52" s="1133"/>
      <c r="T52" s="1133"/>
      <c r="U52" s="1133"/>
      <c r="V52" s="1133"/>
      <c r="W52" s="1224"/>
      <c r="X52" s="1224"/>
      <c r="Y52" s="1224"/>
      <c r="Z52" s="1224"/>
      <c r="AA52" s="1224"/>
      <c r="AB52" s="1224"/>
      <c r="AC52" s="1224"/>
      <c r="AD52" s="1224"/>
      <c r="AE52" s="1224"/>
      <c r="AF52" s="1224"/>
      <c r="AG52" s="1224"/>
      <c r="AH52" s="1224"/>
      <c r="AI52" s="1224"/>
      <c r="AJ52" s="1081"/>
      <c r="AK52" s="1081"/>
      <c r="AL52" s="1081"/>
      <c r="AM52" s="1081"/>
      <c r="AN52" s="1081"/>
      <c r="AO52" s="1081"/>
      <c r="AP52" s="1081"/>
      <c r="AQ52" s="1081"/>
      <c r="AR52" s="1081"/>
      <c r="AS52" s="1133"/>
      <c r="AT52" s="1048"/>
      <c r="AU52" s="1081" t="s">
        <v>1059</v>
      </c>
      <c r="AV52" s="1081"/>
      <c r="AW52" s="1081"/>
      <c r="AX52" s="1081"/>
      <c r="AY52" s="1081"/>
      <c r="AZ52" s="1081"/>
      <c r="BA52" s="1081"/>
      <c r="BB52" s="1081"/>
      <c r="BC52" s="1048"/>
      <c r="BD52" s="1048"/>
      <c r="BE52" s="1048"/>
      <c r="BF52" s="1048"/>
      <c r="BG52" s="1048"/>
      <c r="BH52" s="1048"/>
      <c r="BI52" s="1048"/>
      <c r="BJ52" s="1048"/>
      <c r="BK52" s="1048"/>
      <c r="BL52" s="1048"/>
      <c r="BM52" s="1117" t="s">
        <v>829</v>
      </c>
      <c r="BN52" s="1119"/>
      <c r="BO52" s="1119"/>
      <c r="BP52" s="1120">
        <v>2.5000000000000001E-2</v>
      </c>
      <c r="BQ52" s="1119"/>
      <c r="BR52" s="1121"/>
      <c r="BS52" s="1107"/>
      <c r="BT52" s="1107"/>
      <c r="BU52" s="1045"/>
    </row>
    <row r="53" spans="1:73" ht="17.45" customHeight="1">
      <c r="A53" s="1133"/>
      <c r="B53" s="1372" t="s">
        <v>1566</v>
      </c>
      <c r="C53" s="1230" t="s">
        <v>1569</v>
      </c>
      <c r="D53" s="1230"/>
      <c r="E53" s="1230"/>
      <c r="F53" s="1230"/>
      <c r="G53" s="1133"/>
      <c r="H53" s="1133"/>
      <c r="I53" s="1133"/>
      <c r="J53" s="1133"/>
      <c r="K53" s="1133"/>
      <c r="L53" s="1133"/>
      <c r="M53" s="1133"/>
      <c r="N53" s="1133"/>
      <c r="O53" s="1133"/>
      <c r="P53" s="1133"/>
      <c r="Q53" s="1133"/>
      <c r="R53" s="1133"/>
      <c r="S53" s="1133"/>
      <c r="T53" s="1133"/>
      <c r="U53" s="1133"/>
      <c r="V53" s="1133"/>
      <c r="W53" s="1224"/>
      <c r="X53" s="1224"/>
      <c r="Y53" s="1224"/>
      <c r="Z53" s="1224"/>
      <c r="AA53" s="1224"/>
      <c r="AB53" s="1224"/>
      <c r="AC53" s="1224"/>
      <c r="AD53" s="1224"/>
      <c r="AE53" s="1224"/>
      <c r="AF53" s="1224"/>
      <c r="AG53" s="1224"/>
      <c r="AH53" s="1224"/>
      <c r="AI53" s="1224"/>
      <c r="AJ53" s="1081"/>
      <c r="AK53" s="1081"/>
      <c r="AL53" s="1081"/>
      <c r="AM53" s="1081"/>
      <c r="AN53" s="1081"/>
      <c r="AO53" s="1081"/>
      <c r="AP53" s="1081"/>
      <c r="AQ53" s="1081"/>
      <c r="AR53" s="1081"/>
      <c r="AS53" s="1133"/>
      <c r="AT53" s="1048"/>
      <c r="AU53" s="1081" t="s">
        <v>1020</v>
      </c>
      <c r="AV53" s="1081"/>
      <c r="AW53" s="1081"/>
      <c r="AX53" s="1081"/>
      <c r="AY53" s="1081"/>
      <c r="AZ53" s="1081"/>
      <c r="BA53" s="1091"/>
      <c r="BB53" s="1081"/>
      <c r="BC53" s="1048"/>
      <c r="BD53" s="1048"/>
      <c r="BE53" s="1048"/>
      <c r="BF53" s="1048"/>
      <c r="BG53" s="1048"/>
      <c r="BH53" s="1048"/>
      <c r="BI53" s="1048"/>
      <c r="BJ53" s="1048"/>
      <c r="BK53" s="1048"/>
      <c r="BL53" s="1048"/>
      <c r="BM53" s="1122" t="s">
        <v>839</v>
      </c>
      <c r="BN53" s="1123">
        <v>17.016084205549994</v>
      </c>
      <c r="BO53" s="1123">
        <v>16.143464502701271</v>
      </c>
      <c r="BP53" s="1123">
        <v>14.398225097003836</v>
      </c>
      <c r="BQ53" s="1123">
        <v>11.780365988457685</v>
      </c>
      <c r="BR53" s="1124">
        <v>11.780365988457685</v>
      </c>
      <c r="BS53" s="1107"/>
      <c r="BT53" s="1107"/>
      <c r="BU53" s="1045"/>
    </row>
    <row r="54" spans="1:73" ht="17.45" customHeight="1" thickBot="1">
      <c r="A54" s="1133"/>
      <c r="B54" s="1372" t="s">
        <v>1567</v>
      </c>
      <c r="C54" s="1230" t="s">
        <v>1568</v>
      </c>
      <c r="D54" s="1230"/>
      <c r="E54" s="1230"/>
      <c r="F54" s="1230"/>
      <c r="G54" s="1133"/>
      <c r="H54" s="1133"/>
      <c r="I54" s="1133"/>
      <c r="J54" s="1133"/>
      <c r="K54" s="1133"/>
      <c r="L54" s="1133"/>
      <c r="M54" s="1133"/>
      <c r="N54" s="1133"/>
      <c r="O54" s="1133"/>
      <c r="P54" s="1133"/>
      <c r="Q54" s="1133"/>
      <c r="R54" s="1133"/>
      <c r="S54" s="1133"/>
      <c r="T54" s="1133"/>
      <c r="U54" s="1133"/>
      <c r="V54" s="1133"/>
      <c r="W54" s="1224"/>
      <c r="X54" s="1224"/>
      <c r="Y54" s="1224"/>
      <c r="Z54" s="1224"/>
      <c r="AA54" s="1224"/>
      <c r="AB54" s="1224"/>
      <c r="AC54" s="1224"/>
      <c r="AD54" s="1224"/>
      <c r="AE54" s="1224"/>
      <c r="AF54" s="1224"/>
      <c r="AG54" s="1224"/>
      <c r="AH54" s="1224"/>
      <c r="AI54" s="1224"/>
      <c r="AJ54" s="1081"/>
      <c r="AK54" s="1081"/>
      <c r="AL54" s="1081"/>
      <c r="AM54" s="1081"/>
      <c r="AN54" s="1081"/>
      <c r="AO54" s="1081"/>
      <c r="AP54" s="1081"/>
      <c r="AQ54" s="1081"/>
      <c r="AR54" s="1081"/>
      <c r="AS54" s="1133"/>
      <c r="AT54" s="1048"/>
      <c r="AU54" s="1081" t="s">
        <v>1021</v>
      </c>
      <c r="AV54" s="1081"/>
      <c r="AW54" s="1081"/>
      <c r="AX54" s="1081"/>
      <c r="AY54" s="1081"/>
      <c r="AZ54" s="1081"/>
      <c r="BA54" s="1091"/>
      <c r="BB54" s="1081"/>
      <c r="BC54" s="1048"/>
      <c r="BD54" s="1048"/>
      <c r="BE54" s="1048"/>
      <c r="BF54" s="1048"/>
      <c r="BG54" s="1048"/>
      <c r="BH54" s="1048"/>
      <c r="BI54" s="1048"/>
      <c r="BJ54" s="1048"/>
      <c r="BK54" s="1048"/>
      <c r="BL54" s="1048"/>
      <c r="BM54" s="1125" t="s">
        <v>831</v>
      </c>
      <c r="BN54" s="1126">
        <v>17.016084205549994</v>
      </c>
      <c r="BO54" s="1126">
        <v>16.143464502701271</v>
      </c>
      <c r="BP54" s="1126">
        <v>14.398225097003836</v>
      </c>
      <c r="BQ54" s="1126">
        <v>11.780365988457685</v>
      </c>
      <c r="BR54" s="1127">
        <v>11.780365988457685</v>
      </c>
      <c r="BS54" s="1107"/>
      <c r="BT54" s="1107"/>
      <c r="BU54" s="1045"/>
    </row>
    <row r="55" spans="1:73" ht="17.45" customHeight="1" thickBot="1">
      <c r="A55" s="1133"/>
      <c r="B55" s="1133"/>
      <c r="C55" s="1133"/>
      <c r="D55" s="1133"/>
      <c r="E55" s="1133"/>
      <c r="F55" s="1133"/>
      <c r="G55" s="1133"/>
      <c r="H55" s="1133"/>
      <c r="I55" s="1133"/>
      <c r="J55" s="1133"/>
      <c r="K55" s="1133"/>
      <c r="L55" s="1133"/>
      <c r="M55" s="1133"/>
      <c r="N55" s="1133"/>
      <c r="O55" s="1133"/>
      <c r="P55" s="1133"/>
      <c r="Q55" s="1133"/>
      <c r="R55" s="1133"/>
      <c r="S55" s="1133"/>
      <c r="T55" s="1133"/>
      <c r="U55" s="1133"/>
      <c r="V55" s="1133"/>
      <c r="W55" s="1224"/>
      <c r="X55" s="1224"/>
      <c r="Y55" s="1224"/>
      <c r="Z55" s="1224"/>
      <c r="AA55" s="1224"/>
      <c r="AB55" s="1224"/>
      <c r="AC55" s="1224"/>
      <c r="AD55" s="1224"/>
      <c r="AE55" s="1224"/>
      <c r="AF55" s="1224"/>
      <c r="AG55" s="1224"/>
      <c r="AH55" s="1224"/>
      <c r="AI55" s="1224"/>
      <c r="AJ55" s="1081"/>
      <c r="AK55" s="1081"/>
      <c r="AL55" s="1081"/>
      <c r="AM55" s="1081"/>
      <c r="AN55" s="1081"/>
      <c r="AO55" s="1081"/>
      <c r="AP55" s="1081"/>
      <c r="AQ55" s="1081"/>
      <c r="AR55" s="1081"/>
      <c r="AS55" s="1133"/>
      <c r="AT55" s="1048"/>
      <c r="AU55" s="1081"/>
      <c r="AV55" s="1081"/>
      <c r="AW55" s="1081"/>
      <c r="AX55" s="1081"/>
      <c r="AY55" s="1081"/>
      <c r="AZ55" s="1081"/>
      <c r="BA55" s="1091"/>
      <c r="BB55" s="1081"/>
      <c r="BC55" s="1048"/>
      <c r="BD55" s="1048"/>
      <c r="BE55" s="1048"/>
      <c r="BF55" s="1048"/>
      <c r="BG55" s="1048"/>
      <c r="BH55" s="1048"/>
      <c r="BI55" s="1048"/>
      <c r="BJ55" s="1048"/>
      <c r="BK55" s="1048"/>
      <c r="BL55" s="1048"/>
      <c r="BM55" s="1107"/>
      <c r="BN55" s="1107"/>
      <c r="BO55" s="1107"/>
      <c r="BP55" s="1107"/>
      <c r="BQ55" s="1107"/>
      <c r="BR55" s="1107"/>
      <c r="BS55" s="1107"/>
      <c r="BT55" s="1107"/>
      <c r="BU55" s="1045"/>
    </row>
    <row r="56" spans="1:73" ht="17.45" customHeight="1">
      <c r="A56" s="1133"/>
      <c r="B56" s="1133" t="s">
        <v>1544</v>
      </c>
      <c r="C56" s="1133"/>
      <c r="D56" s="1133"/>
      <c r="E56" s="1133"/>
      <c r="F56" s="1133"/>
      <c r="G56" s="1133"/>
      <c r="H56" s="1133"/>
      <c r="I56" s="1133"/>
      <c r="J56" s="1133"/>
      <c r="K56" s="1133"/>
      <c r="L56" s="1133"/>
      <c r="M56" s="1133"/>
      <c r="N56" s="1133"/>
      <c r="O56" s="1133"/>
      <c r="P56" s="1133"/>
      <c r="Q56" s="1133"/>
      <c r="R56" s="1133"/>
      <c r="S56" s="1133"/>
      <c r="T56" s="1133"/>
      <c r="U56" s="1133"/>
      <c r="V56" s="1133"/>
      <c r="W56" s="1224"/>
      <c r="X56" s="1224"/>
      <c r="Y56" s="1224"/>
      <c r="Z56" s="1224"/>
      <c r="AA56" s="1224"/>
      <c r="AB56" s="1224"/>
      <c r="AC56" s="1224"/>
      <c r="AD56" s="1224"/>
      <c r="AE56" s="1224"/>
      <c r="AF56" s="1224"/>
      <c r="AG56" s="1224"/>
      <c r="AH56" s="1224"/>
      <c r="AI56" s="1224"/>
      <c r="AJ56" s="1091"/>
      <c r="AK56" s="1091"/>
      <c r="AL56" s="1091"/>
      <c r="AM56" s="1091"/>
      <c r="AN56" s="1091"/>
      <c r="AO56" s="1091"/>
      <c r="AP56" s="1091"/>
      <c r="AQ56" s="1091"/>
      <c r="AR56" s="1091"/>
      <c r="AS56" s="1133"/>
      <c r="AT56" s="1048"/>
      <c r="AU56" s="1091" t="s">
        <v>967</v>
      </c>
      <c r="AV56" s="1091"/>
      <c r="AW56" s="1091"/>
      <c r="AX56" s="1091"/>
      <c r="AY56" s="1091"/>
      <c r="AZ56" s="1091"/>
      <c r="BA56" s="1091"/>
      <c r="BB56" s="1081"/>
      <c r="BC56" s="1048"/>
      <c r="BD56" s="1048"/>
      <c r="BE56" s="1048"/>
      <c r="BF56" s="1048"/>
      <c r="BG56" s="1048"/>
      <c r="BH56" s="1048"/>
      <c r="BI56" s="1048"/>
      <c r="BJ56" s="1048"/>
      <c r="BK56" s="1048"/>
      <c r="BL56" s="1048"/>
      <c r="BM56" s="1117" t="s">
        <v>829</v>
      </c>
      <c r="BN56" s="1119"/>
      <c r="BO56" s="1119"/>
      <c r="BP56" s="1120">
        <v>2.1999999999999999E-2</v>
      </c>
      <c r="BQ56" s="1119"/>
      <c r="BR56" s="1121"/>
      <c r="BS56" s="1107"/>
      <c r="BT56" s="1107"/>
      <c r="BU56" s="1045"/>
    </row>
    <row r="57" spans="1:73" ht="17.45" customHeight="1">
      <c r="A57" s="1133"/>
      <c r="B57" s="1133" t="s">
        <v>1545</v>
      </c>
      <c r="C57" s="1133"/>
      <c r="D57" s="1133"/>
      <c r="E57" s="1133"/>
      <c r="F57" s="1133"/>
      <c r="G57" s="1133"/>
      <c r="H57" s="1133"/>
      <c r="I57" s="1133"/>
      <c r="J57" s="1133"/>
      <c r="K57" s="1133"/>
      <c r="L57" s="1133"/>
      <c r="M57" s="1133"/>
      <c r="N57" s="1133"/>
      <c r="O57" s="1133"/>
      <c r="P57" s="1133"/>
      <c r="Q57" s="1133"/>
      <c r="R57" s="1133"/>
      <c r="S57" s="1133"/>
      <c r="T57" s="1133"/>
      <c r="U57" s="1133"/>
      <c r="V57" s="1133"/>
      <c r="W57" s="1224"/>
      <c r="X57" s="1224"/>
      <c r="Y57" s="1224"/>
      <c r="Z57" s="1224"/>
      <c r="AA57" s="1224"/>
      <c r="AB57" s="1224"/>
      <c r="AC57" s="1224"/>
      <c r="AD57" s="1224"/>
      <c r="AE57" s="1224"/>
      <c r="AF57" s="1224"/>
      <c r="AG57" s="1224"/>
      <c r="AH57" s="1224"/>
      <c r="AI57" s="1224"/>
      <c r="AJ57" s="1091"/>
      <c r="AK57" s="1091"/>
      <c r="AL57" s="1091"/>
      <c r="AM57" s="1091"/>
      <c r="AN57" s="1091"/>
      <c r="AO57" s="1091"/>
      <c r="AP57" s="1091"/>
      <c r="AQ57" s="1091"/>
      <c r="AR57" s="1091"/>
      <c r="AS57" s="1133"/>
      <c r="AT57" s="1048"/>
      <c r="AU57" s="1091" t="s">
        <v>968</v>
      </c>
      <c r="AV57" s="1091"/>
      <c r="AW57" s="1091"/>
      <c r="AX57" s="1091"/>
      <c r="AY57" s="1091"/>
      <c r="AZ57" s="1091"/>
      <c r="BA57" s="1081"/>
      <c r="BB57" s="1081"/>
      <c r="BC57" s="1048"/>
      <c r="BD57" s="1048"/>
      <c r="BE57" s="1048"/>
      <c r="BF57" s="1048"/>
      <c r="BG57" s="1048"/>
      <c r="BH57" s="1048"/>
      <c r="BI57" s="1048"/>
      <c r="BJ57" s="1048"/>
      <c r="BK57" s="1048"/>
      <c r="BL57" s="1048"/>
      <c r="BM57" s="1122" t="s">
        <v>840</v>
      </c>
      <c r="BN57" s="1123">
        <v>16.641730353027892</v>
      </c>
      <c r="BO57" s="1123">
        <v>15.788308283641843</v>
      </c>
      <c r="BP57" s="1123">
        <v>14.081464144869752</v>
      </c>
      <c r="BQ57" s="1123">
        <v>11.521197936711616</v>
      </c>
      <c r="BR57" s="1124">
        <v>11.521197936711616</v>
      </c>
      <c r="BS57" s="1107"/>
      <c r="BT57" s="1107"/>
      <c r="BU57" s="1045"/>
    </row>
    <row r="58" spans="1:73" ht="17.45" customHeight="1" thickBot="1">
      <c r="A58" s="1133"/>
      <c r="B58" s="1133" t="s">
        <v>1546</v>
      </c>
      <c r="C58" s="1133"/>
      <c r="D58" s="1133"/>
      <c r="E58" s="1133"/>
      <c r="F58" s="1133"/>
      <c r="G58" s="1133"/>
      <c r="H58" s="1133"/>
      <c r="I58" s="1133"/>
      <c r="J58" s="1133"/>
      <c r="K58" s="1133"/>
      <c r="L58" s="1133"/>
      <c r="M58" s="1133"/>
      <c r="N58" s="1133"/>
      <c r="O58" s="1133"/>
      <c r="P58" s="1133"/>
      <c r="Q58" s="1133"/>
      <c r="R58" s="1133"/>
      <c r="S58" s="1133"/>
      <c r="T58" s="1133"/>
      <c r="U58" s="1133"/>
      <c r="V58" s="1133"/>
      <c r="W58" s="1224"/>
      <c r="X58" s="1224"/>
      <c r="Y58" s="1224"/>
      <c r="Z58" s="1224"/>
      <c r="AA58" s="1224"/>
      <c r="AB58" s="1224"/>
      <c r="AC58" s="1224"/>
      <c r="AD58" s="1224"/>
      <c r="AE58" s="1224"/>
      <c r="AF58" s="1224"/>
      <c r="AG58" s="1224"/>
      <c r="AH58" s="1224"/>
      <c r="AI58" s="1224"/>
      <c r="AJ58" s="1091"/>
      <c r="AK58" s="1091"/>
      <c r="AL58" s="1091"/>
      <c r="AM58" s="1091"/>
      <c r="AN58" s="1091"/>
      <c r="AO58" s="1091"/>
      <c r="AP58" s="1091"/>
      <c r="AQ58" s="1091"/>
      <c r="AR58" s="1091"/>
      <c r="AS58" s="1133"/>
      <c r="AT58" s="1048"/>
      <c r="AU58" s="1091" t="s">
        <v>969</v>
      </c>
      <c r="AV58" s="1091"/>
      <c r="AW58" s="1091"/>
      <c r="AX58" s="1091"/>
      <c r="AY58" s="1091"/>
      <c r="AZ58" s="1091"/>
      <c r="BA58" s="1081"/>
      <c r="BB58" s="1081"/>
      <c r="BC58" s="1048"/>
      <c r="BD58" s="1048"/>
      <c r="BE58" s="1048"/>
      <c r="BF58" s="1048"/>
      <c r="BG58" s="1048"/>
      <c r="BH58" s="1048"/>
      <c r="BI58" s="1048"/>
      <c r="BJ58" s="1048"/>
      <c r="BK58" s="1048"/>
      <c r="BL58" s="1048"/>
      <c r="BM58" s="1125" t="s">
        <v>831</v>
      </c>
      <c r="BN58" s="1126">
        <v>16.641730353027892</v>
      </c>
      <c r="BO58" s="1126">
        <v>15.788308283641843</v>
      </c>
      <c r="BP58" s="1126">
        <v>14.081464144869752</v>
      </c>
      <c r="BQ58" s="1126">
        <v>11.521197936711616</v>
      </c>
      <c r="BR58" s="1127">
        <v>11.521197936711616</v>
      </c>
      <c r="BS58" s="1107"/>
      <c r="BT58" s="1107"/>
      <c r="BU58" s="1045"/>
    </row>
    <row r="59" spans="1:73" ht="17.45" customHeight="1">
      <c r="A59" s="1133"/>
      <c r="B59" s="1133" t="s">
        <v>1548</v>
      </c>
      <c r="C59" s="1133"/>
      <c r="D59" s="1133"/>
      <c r="E59" s="1133"/>
      <c r="F59" s="1133"/>
      <c r="G59" s="1133"/>
      <c r="H59" s="1133"/>
      <c r="I59" s="1133"/>
      <c r="J59" s="1133"/>
      <c r="K59" s="1133"/>
      <c r="L59" s="1133"/>
      <c r="M59" s="1133"/>
      <c r="N59" s="1133"/>
      <c r="O59" s="1133"/>
      <c r="P59" s="1133"/>
      <c r="Q59" s="1133"/>
      <c r="R59" s="1133"/>
      <c r="S59" s="1133"/>
      <c r="T59" s="1133"/>
      <c r="U59" s="1133"/>
      <c r="V59" s="1133"/>
      <c r="W59" s="1224"/>
      <c r="X59" s="1224"/>
      <c r="Y59" s="1224"/>
      <c r="Z59" s="1224"/>
      <c r="AA59" s="1224"/>
      <c r="AB59" s="1224"/>
      <c r="AC59" s="1224"/>
      <c r="AD59" s="1224"/>
      <c r="AE59" s="1224"/>
      <c r="AF59" s="1224"/>
      <c r="AG59" s="1224"/>
      <c r="AH59" s="1224"/>
      <c r="AI59" s="1224"/>
      <c r="AJ59" s="1091"/>
      <c r="AK59" s="1091"/>
      <c r="AL59" s="1091"/>
      <c r="AM59" s="1091"/>
      <c r="AN59" s="1091"/>
      <c r="AO59" s="1091"/>
      <c r="AP59" s="1091"/>
      <c r="AQ59" s="1091"/>
      <c r="AR59" s="1091"/>
      <c r="AS59" s="1133"/>
      <c r="AT59" s="1048"/>
      <c r="AU59" s="1091"/>
      <c r="AV59" s="1091"/>
      <c r="AW59" s="1091"/>
      <c r="AX59" s="1091"/>
      <c r="AY59" s="1091"/>
      <c r="AZ59" s="1091"/>
      <c r="BA59" s="1081"/>
      <c r="BB59" s="1081"/>
      <c r="BC59" s="1048"/>
      <c r="BD59" s="1048"/>
      <c r="BE59" s="1048"/>
      <c r="BF59" s="1048"/>
      <c r="BG59" s="1048"/>
      <c r="BH59" s="1048"/>
      <c r="BI59" s="1048"/>
      <c r="BJ59" s="1048"/>
      <c r="BK59" s="1048"/>
      <c r="BL59" s="1048"/>
      <c r="BM59" s="1117" t="s">
        <v>829</v>
      </c>
      <c r="BN59" s="1119"/>
      <c r="BO59" s="1119"/>
      <c r="BP59" s="1120">
        <v>2.1999999999999999E-2</v>
      </c>
      <c r="BQ59" s="1119"/>
      <c r="BR59" s="1121"/>
      <c r="BS59" s="1107"/>
      <c r="BT59" s="1107"/>
      <c r="BU59" s="1045"/>
    </row>
    <row r="60" spans="1:73" ht="17.45" customHeight="1">
      <c r="A60" s="1133"/>
      <c r="B60" s="1133"/>
      <c r="C60" s="1133"/>
      <c r="D60" s="1133"/>
      <c r="E60" s="1133"/>
      <c r="F60" s="1133"/>
      <c r="G60" s="1133"/>
      <c r="H60" s="1133"/>
      <c r="I60" s="1133"/>
      <c r="J60" s="1133"/>
      <c r="K60" s="1133"/>
      <c r="L60" s="1133"/>
      <c r="M60" s="1133"/>
      <c r="N60" s="1133"/>
      <c r="O60" s="1133"/>
      <c r="P60" s="1133"/>
      <c r="Q60" s="1133"/>
      <c r="R60" s="1133"/>
      <c r="S60" s="1133"/>
      <c r="T60" s="1133"/>
      <c r="U60" s="1133"/>
      <c r="V60" s="1133"/>
      <c r="W60" s="1224"/>
      <c r="X60" s="1224"/>
      <c r="Y60" s="1224"/>
      <c r="Z60" s="1224"/>
      <c r="AA60" s="1224"/>
      <c r="AB60" s="1224"/>
      <c r="AC60" s="1224"/>
      <c r="AD60" s="1224"/>
      <c r="AE60" s="1224"/>
      <c r="AF60" s="1224"/>
      <c r="AG60" s="1224"/>
      <c r="AH60" s="1224"/>
      <c r="AI60" s="1224"/>
      <c r="AJ60" s="1091"/>
      <c r="AK60" s="1091"/>
      <c r="AL60" s="1091"/>
      <c r="AM60" s="1091"/>
      <c r="AN60" s="1091"/>
      <c r="AO60" s="1091"/>
      <c r="AP60" s="1091"/>
      <c r="AQ60" s="1091"/>
      <c r="AR60" s="1091"/>
      <c r="AS60" s="1133"/>
      <c r="AT60" s="1048"/>
      <c r="AU60" s="1091"/>
      <c r="AV60" s="1091"/>
      <c r="AW60" s="1091"/>
      <c r="AX60" s="1091"/>
      <c r="AY60" s="1091"/>
      <c r="AZ60" s="1091"/>
      <c r="BA60" s="1081"/>
      <c r="BB60" s="1081"/>
      <c r="BC60" s="1048"/>
      <c r="BD60" s="1048"/>
      <c r="BE60" s="1048"/>
      <c r="BF60" s="1048"/>
      <c r="BG60" s="1048"/>
      <c r="BH60" s="1048"/>
      <c r="BI60" s="1048"/>
      <c r="BJ60" s="1048"/>
      <c r="BK60" s="1048"/>
      <c r="BL60" s="1048"/>
      <c r="BM60" s="1122" t="s">
        <v>841</v>
      </c>
      <c r="BN60" s="1123">
        <v>16.275612285261278</v>
      </c>
      <c r="BO60" s="1123">
        <v>15.440965501401722</v>
      </c>
      <c r="BP60" s="1123">
        <v>13.771671933682617</v>
      </c>
      <c r="BQ60" s="1123">
        <v>11.267731582103959</v>
      </c>
      <c r="BR60" s="1124">
        <v>11.267731582103959</v>
      </c>
      <c r="BS60" s="1107"/>
      <c r="BT60" s="1107"/>
      <c r="BU60" s="1045"/>
    </row>
    <row r="61" spans="1:73" ht="17.45" customHeight="1" thickBot="1">
      <c r="A61" s="1133"/>
      <c r="B61" s="1133" t="s">
        <v>1547</v>
      </c>
      <c r="C61" s="1045"/>
      <c r="D61" s="1133"/>
      <c r="E61" s="1373" t="s">
        <v>1549</v>
      </c>
      <c r="F61" s="1373" t="s">
        <v>1551</v>
      </c>
      <c r="G61" s="1045"/>
      <c r="H61" s="1133"/>
      <c r="I61" s="1133"/>
      <c r="J61" s="1133"/>
      <c r="K61" s="1133"/>
      <c r="L61" s="1133"/>
      <c r="M61" s="1133"/>
      <c r="N61" s="1133"/>
      <c r="O61" s="1133"/>
      <c r="P61" s="1133"/>
      <c r="Q61" s="1133"/>
      <c r="R61" s="1133"/>
      <c r="S61" s="1133"/>
      <c r="T61" s="1133"/>
      <c r="U61" s="1133"/>
      <c r="V61" s="1133"/>
      <c r="W61" s="1224"/>
      <c r="X61" s="1224"/>
      <c r="Y61" s="1224"/>
      <c r="Z61" s="1224"/>
      <c r="AA61" s="1224"/>
      <c r="AB61" s="1224"/>
      <c r="AC61" s="1224"/>
      <c r="AD61" s="1224"/>
      <c r="AE61" s="1224"/>
      <c r="AF61" s="1224"/>
      <c r="AG61" s="1224"/>
      <c r="AH61" s="1224"/>
      <c r="AI61" s="1224"/>
      <c r="AJ61" s="1081"/>
      <c r="AK61" s="1081"/>
      <c r="AL61" s="1081"/>
      <c r="AM61" s="1081"/>
      <c r="AN61" s="1081"/>
      <c r="AO61" s="1081"/>
      <c r="AP61" s="1081"/>
      <c r="AQ61" s="1081"/>
      <c r="AR61" s="1081"/>
      <c r="AS61" s="1133"/>
      <c r="AT61" s="1048"/>
      <c r="AU61" s="1081"/>
      <c r="AV61" s="1081"/>
      <c r="AW61" s="1081"/>
      <c r="AX61" s="1081"/>
      <c r="AY61" s="1081"/>
      <c r="AZ61" s="1081"/>
      <c r="BA61" s="1081"/>
      <c r="BB61" s="1081"/>
      <c r="BC61" s="1048"/>
      <c r="BD61" s="1048"/>
      <c r="BE61" s="1048"/>
      <c r="BF61" s="1048"/>
      <c r="BG61" s="1048"/>
      <c r="BH61" s="1048"/>
      <c r="BI61" s="1048"/>
      <c r="BJ61" s="1048"/>
      <c r="BK61" s="1048"/>
      <c r="BL61" s="1048"/>
      <c r="BM61" s="1125" t="s">
        <v>831</v>
      </c>
      <c r="BN61" s="1126">
        <v>16.275612285261278</v>
      </c>
      <c r="BO61" s="1126">
        <v>15.440965501401722</v>
      </c>
      <c r="BP61" s="1126">
        <v>13.771671933682617</v>
      </c>
      <c r="BQ61" s="1126">
        <v>11.267731582103959</v>
      </c>
      <c r="BR61" s="1127">
        <v>11.267731582103959</v>
      </c>
      <c r="BS61" s="1107"/>
      <c r="BT61" s="1107"/>
      <c r="BU61" s="1045"/>
    </row>
    <row r="62" spans="1:73" ht="17.45" customHeight="1">
      <c r="A62" s="1133"/>
      <c r="B62" s="1045"/>
      <c r="C62" s="1045"/>
      <c r="D62" s="1045"/>
      <c r="E62" s="1373" t="s">
        <v>1550</v>
      </c>
      <c r="F62" s="1373" t="s">
        <v>1552</v>
      </c>
      <c r="G62" s="1133"/>
      <c r="H62" s="1133"/>
      <c r="I62" s="1133"/>
      <c r="J62" s="1133"/>
      <c r="K62" s="1133"/>
      <c r="L62" s="1133"/>
      <c r="M62" s="1133"/>
      <c r="N62" s="1133"/>
      <c r="O62" s="1133"/>
      <c r="P62" s="1133"/>
      <c r="Q62" s="1133"/>
      <c r="R62" s="1133"/>
      <c r="S62" s="1133"/>
      <c r="T62" s="1133"/>
      <c r="U62" s="1133"/>
      <c r="V62" s="1133"/>
      <c r="W62" s="1224"/>
      <c r="X62" s="1224"/>
      <c r="Y62" s="1224"/>
      <c r="Z62" s="1224"/>
      <c r="AA62" s="1224"/>
      <c r="AB62" s="1224"/>
      <c r="AC62" s="1224"/>
      <c r="AD62" s="1224"/>
      <c r="AE62" s="1224"/>
      <c r="AF62" s="1224"/>
      <c r="AG62" s="1224"/>
      <c r="AH62" s="1224"/>
      <c r="AI62" s="1224"/>
      <c r="AJ62" s="1081"/>
      <c r="AK62" s="1081"/>
      <c r="AL62" s="1081"/>
      <c r="AM62" s="1081"/>
      <c r="AN62" s="1081"/>
      <c r="AO62" s="1081"/>
      <c r="AP62" s="1081"/>
      <c r="AQ62" s="1081"/>
      <c r="AR62" s="1081"/>
      <c r="AS62" s="1133"/>
      <c r="AT62" s="1048"/>
      <c r="AU62" s="1088" t="s">
        <v>975</v>
      </c>
      <c r="AV62" s="1081"/>
      <c r="AW62" s="1081"/>
      <c r="AX62" s="1081"/>
      <c r="AY62" s="1081"/>
      <c r="AZ62" s="1081"/>
      <c r="BA62" s="1081"/>
      <c r="BB62" s="1081"/>
      <c r="BC62" s="1048"/>
      <c r="BD62" s="1048"/>
      <c r="BE62" s="1048"/>
      <c r="BF62" s="1048"/>
      <c r="BG62" s="1048"/>
      <c r="BH62" s="1048"/>
      <c r="BI62" s="1048"/>
      <c r="BJ62" s="1048"/>
      <c r="BK62" s="1048"/>
      <c r="BL62" s="1048"/>
      <c r="BM62" s="1117" t="s">
        <v>829</v>
      </c>
      <c r="BN62" s="1119"/>
      <c r="BO62" s="1119"/>
      <c r="BP62" s="1120">
        <v>2.1999999999999999E-2</v>
      </c>
      <c r="BQ62" s="1119"/>
      <c r="BR62" s="1121"/>
      <c r="BS62" s="1107"/>
      <c r="BT62" s="1107"/>
      <c r="BU62" s="1045"/>
    </row>
    <row r="63" spans="1:73" ht="17.45" customHeight="1">
      <c r="A63" s="1133"/>
      <c r="B63" s="1133" t="s">
        <v>1407</v>
      </c>
      <c r="C63" s="1133"/>
      <c r="D63" s="1133" t="s">
        <v>1033</v>
      </c>
      <c r="E63" s="1373" t="s">
        <v>1554</v>
      </c>
      <c r="F63" s="1373" t="s">
        <v>1553</v>
      </c>
      <c r="G63" s="1133"/>
      <c r="H63" s="1231" t="s">
        <v>1316</v>
      </c>
      <c r="I63" s="1133"/>
      <c r="J63" s="1133"/>
      <c r="K63" s="1133"/>
      <c r="L63" s="1133"/>
      <c r="M63" s="1133"/>
      <c r="N63" s="1133"/>
      <c r="O63" s="1133"/>
      <c r="P63" s="1133"/>
      <c r="Q63" s="1133"/>
      <c r="R63" s="1133"/>
      <c r="S63" s="1133"/>
      <c r="T63" s="1133"/>
      <c r="U63" s="1133"/>
      <c r="V63" s="1133"/>
      <c r="W63" s="1224"/>
      <c r="X63" s="1224"/>
      <c r="Y63" s="1224"/>
      <c r="Z63" s="1224"/>
      <c r="AA63" s="1224"/>
      <c r="AB63" s="1224"/>
      <c r="AC63" s="1224"/>
      <c r="AD63" s="1224"/>
      <c r="AE63" s="1224"/>
      <c r="AF63" s="1224"/>
      <c r="AG63" s="1224"/>
      <c r="AH63" s="1224"/>
      <c r="AI63" s="1224"/>
      <c r="AJ63" s="1081"/>
      <c r="AK63" s="1081"/>
      <c r="AL63" s="1081"/>
      <c r="AM63" s="1081"/>
      <c r="AN63" s="1081"/>
      <c r="AO63" s="1081"/>
      <c r="AP63" s="1081"/>
      <c r="AQ63" s="1081"/>
      <c r="AR63" s="1081"/>
      <c r="AS63" s="1133"/>
      <c r="AT63" s="1048"/>
      <c r="AU63" s="1081" t="s">
        <v>1119</v>
      </c>
      <c r="AV63" s="1081"/>
      <c r="AW63" s="1081"/>
      <c r="AX63" s="1081"/>
      <c r="AY63" s="1081"/>
      <c r="AZ63" s="1081"/>
      <c r="BA63" s="1081"/>
      <c r="BB63" s="1081"/>
      <c r="BC63" s="1048"/>
      <c r="BD63" s="1048"/>
      <c r="BE63" s="1048"/>
      <c r="BF63" s="1048"/>
      <c r="BG63" s="1048"/>
      <c r="BH63" s="1048"/>
      <c r="BI63" s="1048"/>
      <c r="BJ63" s="1048"/>
      <c r="BK63" s="1048"/>
      <c r="BL63" s="1048"/>
      <c r="BM63" s="1122" t="s">
        <v>842</v>
      </c>
      <c r="BN63" s="1123">
        <v>15.91754881498553</v>
      </c>
      <c r="BO63" s="1123">
        <v>15.101264260370884</v>
      </c>
      <c r="BP63" s="1123">
        <v>13.468695151141599</v>
      </c>
      <c r="BQ63" s="1123">
        <v>11.019841487297672</v>
      </c>
      <c r="BR63" s="1124">
        <v>11.019841487297672</v>
      </c>
      <c r="BS63" s="1107"/>
      <c r="BT63" s="1107"/>
      <c r="BU63" s="1045"/>
    </row>
    <row r="64" spans="1:73" ht="17.45" customHeight="1" thickBot="1">
      <c r="A64" s="1133"/>
      <c r="B64" s="1133"/>
      <c r="C64" s="1133"/>
      <c r="D64" s="1133" t="s">
        <v>825</v>
      </c>
      <c r="E64" s="1373" t="s">
        <v>1555</v>
      </c>
      <c r="F64" s="1373" t="s">
        <v>1556</v>
      </c>
      <c r="G64" s="1133"/>
      <c r="H64" s="1133"/>
      <c r="I64" s="1133"/>
      <c r="J64" s="1133"/>
      <c r="K64" s="1133"/>
      <c r="L64" s="1133"/>
      <c r="M64" s="1133"/>
      <c r="N64" s="1133"/>
      <c r="O64" s="1133"/>
      <c r="P64" s="1133"/>
      <c r="Q64" s="1133"/>
      <c r="R64" s="1133"/>
      <c r="S64" s="1133"/>
      <c r="T64" s="1133"/>
      <c r="U64" s="1133"/>
      <c r="V64" s="1133"/>
      <c r="W64" s="1224"/>
      <c r="X64" s="1224"/>
      <c r="Y64" s="1224"/>
      <c r="Z64" s="1224"/>
      <c r="AA64" s="1224"/>
      <c r="AB64" s="1224"/>
      <c r="AC64" s="1224"/>
      <c r="AD64" s="1224"/>
      <c r="AE64" s="1224"/>
      <c r="AF64" s="1224"/>
      <c r="AG64" s="1224"/>
      <c r="AH64" s="1224"/>
      <c r="AI64" s="1224"/>
      <c r="AJ64" s="1081"/>
      <c r="AK64" s="1081"/>
      <c r="AL64" s="1081"/>
      <c r="AM64" s="1081"/>
      <c r="AN64" s="1081"/>
      <c r="AO64" s="1081"/>
      <c r="AP64" s="1081"/>
      <c r="AQ64" s="1081"/>
      <c r="AR64" s="1081"/>
      <c r="AS64" s="1133"/>
      <c r="AT64" s="1048"/>
      <c r="AU64" s="1081" t="s">
        <v>1120</v>
      </c>
      <c r="AV64" s="1081"/>
      <c r="AW64" s="1081"/>
      <c r="AX64" s="1081"/>
      <c r="AY64" s="1081"/>
      <c r="AZ64" s="1081"/>
      <c r="BA64" s="1081"/>
      <c r="BB64" s="1081"/>
      <c r="BC64" s="1048"/>
      <c r="BD64" s="1048"/>
      <c r="BE64" s="1048"/>
      <c r="BF64" s="1048"/>
      <c r="BG64" s="1048"/>
      <c r="BH64" s="1048"/>
      <c r="BI64" s="1048"/>
      <c r="BJ64" s="1048"/>
      <c r="BK64" s="1048"/>
      <c r="BL64" s="1048"/>
      <c r="BM64" s="1125" t="s">
        <v>831</v>
      </c>
      <c r="BN64" s="1126">
        <v>15.91754881498553</v>
      </c>
      <c r="BO64" s="1126">
        <v>15.101264260370884</v>
      </c>
      <c r="BP64" s="1126">
        <v>13.468695151141599</v>
      </c>
      <c r="BQ64" s="1126">
        <v>11.019841487297672</v>
      </c>
      <c r="BR64" s="1127">
        <v>11.019841487297672</v>
      </c>
      <c r="BS64" s="1107"/>
      <c r="BT64" s="1107"/>
      <c r="BU64" s="1045"/>
    </row>
    <row r="65" spans="1:73" ht="17.45" customHeight="1" thickBot="1">
      <c r="A65" s="1133"/>
      <c r="B65" s="1133"/>
      <c r="C65" s="1133"/>
      <c r="D65" s="1133" t="s">
        <v>1401</v>
      </c>
      <c r="E65" s="1373" t="s">
        <v>1557</v>
      </c>
      <c r="F65" s="1373" t="s">
        <v>1558</v>
      </c>
      <c r="G65" s="1133"/>
      <c r="H65" s="1133"/>
      <c r="I65" s="1133"/>
      <c r="J65" s="1133"/>
      <c r="K65" s="1133"/>
      <c r="L65" s="1133"/>
      <c r="M65" s="1133"/>
      <c r="N65" s="1133"/>
      <c r="O65" s="1133"/>
      <c r="P65" s="1133"/>
      <c r="Q65" s="1133"/>
      <c r="R65" s="1133"/>
      <c r="S65" s="1133"/>
      <c r="T65" s="1133"/>
      <c r="U65" s="1133"/>
      <c r="V65" s="1133"/>
      <c r="W65" s="1224"/>
      <c r="X65" s="1224"/>
      <c r="Y65" s="1224"/>
      <c r="Z65" s="1224"/>
      <c r="AA65" s="1224"/>
      <c r="AB65" s="1224"/>
      <c r="AC65" s="1224"/>
      <c r="AD65" s="1224"/>
      <c r="AE65" s="1224"/>
      <c r="AF65" s="1224"/>
      <c r="AG65" s="1224"/>
      <c r="AH65" s="1224"/>
      <c r="AI65" s="1224"/>
      <c r="AJ65" s="1081"/>
      <c r="AK65" s="1081"/>
      <c r="AL65" s="1081"/>
      <c r="AM65" s="1081"/>
      <c r="AN65" s="1081"/>
      <c r="AO65" s="1081"/>
      <c r="AP65" s="1081"/>
      <c r="AQ65" s="1081"/>
      <c r="AR65" s="1081"/>
      <c r="AS65" s="1133"/>
      <c r="AT65" s="1048"/>
      <c r="AU65" s="1081"/>
      <c r="AV65" s="1081"/>
      <c r="AW65" s="1081"/>
      <c r="AX65" s="1081"/>
      <c r="AY65" s="1081"/>
      <c r="AZ65" s="1081"/>
      <c r="BA65" s="1081"/>
      <c r="BB65" s="1081"/>
      <c r="BC65" s="1048"/>
      <c r="BD65" s="1048"/>
      <c r="BE65" s="1048"/>
      <c r="BF65" s="1048"/>
      <c r="BG65" s="1048"/>
      <c r="BH65" s="1048"/>
      <c r="BI65" s="1048"/>
      <c r="BJ65" s="1048"/>
      <c r="BK65" s="1048"/>
      <c r="BL65" s="1048"/>
      <c r="BM65" s="1107"/>
      <c r="BN65" s="1107"/>
      <c r="BO65" s="1107"/>
      <c r="BP65" s="1107"/>
      <c r="BQ65" s="1107"/>
      <c r="BR65" s="1107"/>
      <c r="BS65" s="1107"/>
      <c r="BT65" s="1107"/>
      <c r="BU65" s="1045"/>
    </row>
    <row r="66" spans="1:73" ht="17.45" customHeight="1">
      <c r="A66" s="1133"/>
      <c r="B66" s="1133"/>
      <c r="C66" s="1133"/>
      <c r="D66" s="1133"/>
      <c r="E66" s="1133"/>
      <c r="F66" s="1133"/>
      <c r="G66" s="1133"/>
      <c r="H66" s="1133"/>
      <c r="I66" s="1133"/>
      <c r="J66" s="1133"/>
      <c r="K66" s="1133"/>
      <c r="L66" s="1133"/>
      <c r="M66" s="1133"/>
      <c r="N66" s="1133"/>
      <c r="O66" s="1133"/>
      <c r="P66" s="1133"/>
      <c r="Q66" s="1133"/>
      <c r="R66" s="1133"/>
      <c r="S66" s="1133"/>
      <c r="T66" s="1133"/>
      <c r="U66" s="1133"/>
      <c r="V66" s="1133"/>
      <c r="W66" s="1224"/>
      <c r="X66" s="1224"/>
      <c r="Y66" s="1224"/>
      <c r="Z66" s="1224"/>
      <c r="AA66" s="1224"/>
      <c r="AB66" s="1224"/>
      <c r="AC66" s="1224"/>
      <c r="AD66" s="1224"/>
      <c r="AE66" s="1224"/>
      <c r="AF66" s="1224"/>
      <c r="AG66" s="1224"/>
      <c r="AH66" s="1224"/>
      <c r="AI66" s="1224"/>
      <c r="AJ66" s="1081"/>
      <c r="AK66" s="1081"/>
      <c r="AL66" s="1081"/>
      <c r="AM66" s="1081"/>
      <c r="AN66" s="1081"/>
      <c r="AO66" s="1081"/>
      <c r="AP66" s="1081"/>
      <c r="AQ66" s="1081"/>
      <c r="AR66" s="1081"/>
      <c r="AS66" s="1133"/>
      <c r="AT66" s="1048"/>
      <c r="AU66" s="1088" t="s">
        <v>1121</v>
      </c>
      <c r="AV66" s="1081"/>
      <c r="AW66" s="1081"/>
      <c r="AX66" s="1081"/>
      <c r="AY66" s="1081"/>
      <c r="AZ66" s="1081"/>
      <c r="BA66" s="1081"/>
      <c r="BB66" s="1081"/>
      <c r="BC66" s="1048"/>
      <c r="BD66" s="1048"/>
      <c r="BE66" s="1048"/>
      <c r="BF66" s="1048"/>
      <c r="BG66" s="1048"/>
      <c r="BH66" s="1048"/>
      <c r="BI66" s="1048"/>
      <c r="BJ66" s="1048"/>
      <c r="BK66" s="1048"/>
      <c r="BL66" s="1048"/>
      <c r="BM66" s="1117" t="s">
        <v>829</v>
      </c>
      <c r="BN66" s="1119"/>
      <c r="BO66" s="1119"/>
      <c r="BP66" s="1120">
        <v>1.7999999999999999E-2</v>
      </c>
      <c r="BQ66" s="1119"/>
      <c r="BR66" s="1121"/>
      <c r="BS66" s="1107"/>
      <c r="BT66" s="1107"/>
      <c r="BU66" s="1045"/>
    </row>
    <row r="67" spans="1:73" ht="17.45" customHeight="1">
      <c r="A67" s="1133"/>
      <c r="B67" s="1133" t="s">
        <v>1559</v>
      </c>
      <c r="C67" s="1133"/>
      <c r="D67" s="1133"/>
      <c r="E67" s="1133"/>
      <c r="F67" s="1133"/>
      <c r="G67" s="1133"/>
      <c r="H67" s="1133"/>
      <c r="I67" s="1133"/>
      <c r="J67" s="1133"/>
      <c r="K67" s="1133"/>
      <c r="L67" s="1133"/>
      <c r="M67" s="1133"/>
      <c r="N67" s="1133"/>
      <c r="O67" s="1133"/>
      <c r="P67" s="1133"/>
      <c r="Q67" s="1133"/>
      <c r="R67" s="1133"/>
      <c r="S67" s="1133"/>
      <c r="T67" s="1133"/>
      <c r="U67" s="1133"/>
      <c r="V67" s="1133"/>
      <c r="W67" s="1224"/>
      <c r="X67" s="1224"/>
      <c r="Y67" s="1224"/>
      <c r="Z67" s="1224"/>
      <c r="AA67" s="1224"/>
      <c r="AB67" s="1224"/>
      <c r="AC67" s="1224"/>
      <c r="AD67" s="1224"/>
      <c r="AE67" s="1224"/>
      <c r="AF67" s="1224"/>
      <c r="AG67" s="1224"/>
      <c r="AH67" s="1224"/>
      <c r="AI67" s="1224"/>
      <c r="AJ67" s="1081"/>
      <c r="AK67" s="1081"/>
      <c r="AL67" s="1081"/>
      <c r="AM67" s="1081"/>
      <c r="AN67" s="1081"/>
      <c r="AO67" s="1081"/>
      <c r="AP67" s="1081"/>
      <c r="AQ67" s="1081"/>
      <c r="AR67" s="1081"/>
      <c r="AS67" s="1133"/>
      <c r="AT67" s="1048"/>
      <c r="AU67" s="1081" t="s">
        <v>1019</v>
      </c>
      <c r="AV67" s="1081"/>
      <c r="AW67" s="1081"/>
      <c r="AX67" s="1081"/>
      <c r="AY67" s="1081"/>
      <c r="AZ67" s="1081"/>
      <c r="BA67" s="1081"/>
      <c r="BB67" s="1081"/>
      <c r="BC67" s="1048"/>
      <c r="BD67" s="1048"/>
      <c r="BE67" s="1048"/>
      <c r="BF67" s="1048"/>
      <c r="BG67" s="1048"/>
      <c r="BH67" s="1048"/>
      <c r="BI67" s="1048"/>
      <c r="BJ67" s="1048"/>
      <c r="BK67" s="1048"/>
      <c r="BL67" s="1048"/>
      <c r="BM67" s="1122" t="s">
        <v>843</v>
      </c>
      <c r="BN67" s="1123">
        <v>15.63103293631579</v>
      </c>
      <c r="BO67" s="1123">
        <v>14.829441503684208</v>
      </c>
      <c r="BP67" s="1123">
        <v>13.226258638421051</v>
      </c>
      <c r="BQ67" s="1123">
        <v>10.821484340526315</v>
      </c>
      <c r="BR67" s="1124">
        <v>10.821484340526315</v>
      </c>
      <c r="BS67" s="1107"/>
      <c r="BT67" s="1107"/>
      <c r="BU67" s="1045"/>
    </row>
    <row r="68" spans="1:73" ht="17.45" customHeight="1" thickBot="1">
      <c r="A68" s="1133"/>
      <c r="B68" s="1133"/>
      <c r="C68" s="1133"/>
      <c r="D68" s="1133" t="s">
        <v>1033</v>
      </c>
      <c r="E68" s="1373" t="s">
        <v>1560</v>
      </c>
      <c r="F68" s="1133"/>
      <c r="G68" s="1133"/>
      <c r="H68" s="1231" t="s">
        <v>1316</v>
      </c>
      <c r="I68" s="1133"/>
      <c r="J68" s="1133"/>
      <c r="K68" s="1133"/>
      <c r="L68" s="1133"/>
      <c r="M68" s="1133"/>
      <c r="N68" s="1133"/>
      <c r="O68" s="1133"/>
      <c r="P68" s="1133"/>
      <c r="Q68" s="1133"/>
      <c r="R68" s="1133"/>
      <c r="S68" s="1133"/>
      <c r="T68" s="1133"/>
      <c r="U68" s="1133"/>
      <c r="V68" s="1133"/>
      <c r="W68" s="1224"/>
      <c r="X68" s="1224"/>
      <c r="Y68" s="1224"/>
      <c r="Z68" s="1224"/>
      <c r="AA68" s="1224"/>
      <c r="AB68" s="1224"/>
      <c r="AC68" s="1224"/>
      <c r="AD68" s="1224"/>
      <c r="AE68" s="1224"/>
      <c r="AF68" s="1224"/>
      <c r="AG68" s="1224"/>
      <c r="AH68" s="1224"/>
      <c r="AI68" s="1224"/>
      <c r="AJ68" s="1081"/>
      <c r="AK68" s="1081"/>
      <c r="AL68" s="1081"/>
      <c r="AM68" s="1081"/>
      <c r="AN68" s="1081"/>
      <c r="AO68" s="1081"/>
      <c r="AP68" s="1081"/>
      <c r="AQ68" s="1081"/>
      <c r="AR68" s="1081"/>
      <c r="AS68" s="1133"/>
      <c r="AT68" s="1048"/>
      <c r="AU68" s="1081" t="s">
        <v>1122</v>
      </c>
      <c r="AV68" s="1081"/>
      <c r="AW68" s="1081"/>
      <c r="AX68" s="1081"/>
      <c r="AY68" s="1081"/>
      <c r="AZ68" s="1081"/>
      <c r="BA68" s="1081"/>
      <c r="BB68" s="1081"/>
      <c r="BC68" s="1048"/>
      <c r="BD68" s="1048"/>
      <c r="BE68" s="1048"/>
      <c r="BF68" s="1048"/>
      <c r="BG68" s="1048"/>
      <c r="BH68" s="1048"/>
      <c r="BI68" s="1048"/>
      <c r="BJ68" s="1048"/>
      <c r="BK68" s="1048"/>
      <c r="BL68" s="1048"/>
      <c r="BM68" s="1125" t="s">
        <v>831</v>
      </c>
      <c r="BN68" s="1126">
        <v>15.63103293631579</v>
      </c>
      <c r="BO68" s="1126">
        <v>14.829441503684208</v>
      </c>
      <c r="BP68" s="1126">
        <v>13.226258638421051</v>
      </c>
      <c r="BQ68" s="1126">
        <v>10.821484340526315</v>
      </c>
      <c r="BR68" s="1127">
        <v>10.821484340526315</v>
      </c>
      <c r="BS68" s="1107"/>
      <c r="BT68" s="1107"/>
      <c r="BU68" s="1045"/>
    </row>
    <row r="69" spans="1:73" ht="17.45" customHeight="1">
      <c r="A69" s="1133"/>
      <c r="B69" s="1133"/>
      <c r="C69" s="1133"/>
      <c r="D69" s="1133" t="s">
        <v>825</v>
      </c>
      <c r="E69" s="1373" t="s">
        <v>1561</v>
      </c>
      <c r="F69" s="1133"/>
      <c r="G69" s="1133"/>
      <c r="H69" s="1133"/>
      <c r="I69" s="1133"/>
      <c r="J69" s="1133"/>
      <c r="K69" s="1133"/>
      <c r="L69" s="1133"/>
      <c r="M69" s="1133"/>
      <c r="N69" s="1133"/>
      <c r="O69" s="1133"/>
      <c r="P69" s="1133"/>
      <c r="Q69" s="1133"/>
      <c r="R69" s="1133"/>
      <c r="S69" s="1133"/>
      <c r="T69" s="1133"/>
      <c r="U69" s="1133"/>
      <c r="V69" s="1133"/>
      <c r="W69" s="1224"/>
      <c r="X69" s="1224"/>
      <c r="Y69" s="1224"/>
      <c r="Z69" s="1224"/>
      <c r="AA69" s="1224"/>
      <c r="AB69" s="1224"/>
      <c r="AC69" s="1224"/>
      <c r="AD69" s="1224"/>
      <c r="AE69" s="1224"/>
      <c r="AF69" s="1224"/>
      <c r="AG69" s="1224"/>
      <c r="AH69" s="1224"/>
      <c r="AI69" s="1224"/>
      <c r="AJ69" s="1081"/>
      <c r="AK69" s="1081"/>
      <c r="AL69" s="1081"/>
      <c r="AM69" s="1081"/>
      <c r="AN69" s="1081"/>
      <c r="AO69" s="1081"/>
      <c r="AP69" s="1081"/>
      <c r="AQ69" s="1081"/>
      <c r="AR69" s="1081"/>
      <c r="AS69" s="1133"/>
      <c r="AT69" s="1048"/>
      <c r="AU69" s="1081"/>
      <c r="AV69" s="1081"/>
      <c r="AW69" s="1081"/>
      <c r="AX69" s="1081"/>
      <c r="AY69" s="1081"/>
      <c r="AZ69" s="1081"/>
      <c r="BA69" s="1081"/>
      <c r="BB69" s="1081"/>
      <c r="BC69" s="1048"/>
      <c r="BD69" s="1048"/>
      <c r="BE69" s="1048"/>
      <c r="BF69" s="1048"/>
      <c r="BG69" s="1048"/>
      <c r="BH69" s="1048"/>
      <c r="BI69" s="1048"/>
      <c r="BJ69" s="1048"/>
      <c r="BK69" s="1048"/>
      <c r="BL69" s="1048"/>
      <c r="BM69" s="1117" t="s">
        <v>829</v>
      </c>
      <c r="BN69" s="1119"/>
      <c r="BO69" s="1119"/>
      <c r="BP69" s="1120">
        <v>1.7999999999999999E-2</v>
      </c>
      <c r="BQ69" s="1119"/>
      <c r="BR69" s="1121"/>
      <c r="BS69" s="1107"/>
      <c r="BT69" s="1107"/>
      <c r="BU69" s="1045"/>
    </row>
    <row r="70" spans="1:73" ht="17.45" customHeight="1">
      <c r="A70" s="1133"/>
      <c r="B70" s="1133"/>
      <c r="C70" s="1133"/>
      <c r="D70" s="1133" t="s">
        <v>1562</v>
      </c>
      <c r="E70" s="1373" t="s">
        <v>1563</v>
      </c>
      <c r="F70" s="1133"/>
      <c r="G70" s="1133"/>
      <c r="H70" s="1133"/>
      <c r="I70" s="1133"/>
      <c r="J70" s="1133"/>
      <c r="K70" s="1133"/>
      <c r="L70" s="1133"/>
      <c r="M70" s="1133"/>
      <c r="N70" s="1133"/>
      <c r="O70" s="1133"/>
      <c r="P70" s="1133"/>
      <c r="Q70" s="1133"/>
      <c r="R70" s="1133"/>
      <c r="S70" s="1133"/>
      <c r="T70" s="1133"/>
      <c r="U70" s="1133"/>
      <c r="V70" s="1133"/>
      <c r="W70" s="1224"/>
      <c r="X70" s="1224"/>
      <c r="Y70" s="1224"/>
      <c r="Z70" s="1224"/>
      <c r="AA70" s="1224"/>
      <c r="AB70" s="1224"/>
      <c r="AC70" s="1224"/>
      <c r="AD70" s="1224"/>
      <c r="AE70" s="1224"/>
      <c r="AF70" s="1224"/>
      <c r="AG70" s="1224"/>
      <c r="AH70" s="1224"/>
      <c r="AI70" s="1224"/>
      <c r="AJ70" s="1081"/>
      <c r="AK70" s="1081"/>
      <c r="AL70" s="1081"/>
      <c r="AM70" s="1081"/>
      <c r="AN70" s="1081"/>
      <c r="AO70" s="1081"/>
      <c r="AP70" s="1081"/>
      <c r="AQ70" s="1081"/>
      <c r="AR70" s="1081"/>
      <c r="AS70" s="1133"/>
      <c r="AT70" s="1048"/>
      <c r="AU70" s="1090" t="s">
        <v>1123</v>
      </c>
      <c r="AV70" s="1081"/>
      <c r="AW70" s="1081"/>
      <c r="AX70" s="1081"/>
      <c r="AY70" s="1081"/>
      <c r="AZ70" s="1081"/>
      <c r="BA70" s="1081"/>
      <c r="BB70" s="1081"/>
      <c r="BC70" s="1048"/>
      <c r="BD70" s="1048"/>
      <c r="BE70" s="1048"/>
      <c r="BF70" s="1048"/>
      <c r="BG70" s="1048"/>
      <c r="BH70" s="1048"/>
      <c r="BI70" s="1048"/>
      <c r="BJ70" s="1048"/>
      <c r="BK70" s="1048"/>
      <c r="BL70" s="1048"/>
      <c r="BM70" s="1122" t="s">
        <v>844</v>
      </c>
      <c r="BN70" s="1123">
        <v>15.349674343462105</v>
      </c>
      <c r="BO70" s="1123">
        <v>14.562511556617892</v>
      </c>
      <c r="BP70" s="1123">
        <v>12.988185982929471</v>
      </c>
      <c r="BQ70" s="1123">
        <v>10.62669762239684</v>
      </c>
      <c r="BR70" s="1124">
        <v>10.62669762239684</v>
      </c>
      <c r="BS70" s="1107"/>
      <c r="BT70" s="1107"/>
      <c r="BU70" s="1045"/>
    </row>
    <row r="71" spans="1:73" ht="17.45" customHeight="1" thickBot="1">
      <c r="A71" s="1133"/>
      <c r="B71" s="1133"/>
      <c r="C71" s="1133"/>
      <c r="D71" s="1133" t="s">
        <v>1564</v>
      </c>
      <c r="E71" s="1373" t="s">
        <v>1565</v>
      </c>
      <c r="F71" s="1133"/>
      <c r="G71" s="1133"/>
      <c r="H71" s="1133"/>
      <c r="I71" s="1133"/>
      <c r="J71" s="1133"/>
      <c r="K71" s="1133"/>
      <c r="L71" s="1133"/>
      <c r="M71" s="1133"/>
      <c r="N71" s="1133"/>
      <c r="O71" s="1133"/>
      <c r="P71" s="1133"/>
      <c r="Q71" s="1133"/>
      <c r="R71" s="1133"/>
      <c r="S71" s="1133"/>
      <c r="T71" s="1133"/>
      <c r="U71" s="1133"/>
      <c r="V71" s="1133"/>
      <c r="W71" s="1224"/>
      <c r="X71" s="1224"/>
      <c r="Y71" s="1224"/>
      <c r="Z71" s="1224"/>
      <c r="AA71" s="1224"/>
      <c r="AB71" s="1224"/>
      <c r="AC71" s="1224"/>
      <c r="AD71" s="1224"/>
      <c r="AE71" s="1224"/>
      <c r="AF71" s="1224"/>
      <c r="AG71" s="1224"/>
      <c r="AH71" s="1224"/>
      <c r="AI71" s="1224"/>
      <c r="AJ71" s="1081"/>
      <c r="AK71" s="1081"/>
      <c r="AL71" s="1081"/>
      <c r="AM71" s="1081"/>
      <c r="AN71" s="1081"/>
      <c r="AO71" s="1081"/>
      <c r="AP71" s="1081"/>
      <c r="AQ71" s="1081"/>
      <c r="AR71" s="1081"/>
      <c r="AS71" s="1133"/>
      <c r="AT71" s="1048"/>
      <c r="AU71" s="1081" t="s">
        <v>1124</v>
      </c>
      <c r="AV71" s="1081"/>
      <c r="AW71" s="1081"/>
      <c r="AX71" s="1081"/>
      <c r="AY71" s="1081"/>
      <c r="AZ71" s="1081"/>
      <c r="BA71" s="1081"/>
      <c r="BB71" s="1081"/>
      <c r="BC71" s="1048"/>
      <c r="BD71" s="1048"/>
      <c r="BE71" s="1048"/>
      <c r="BF71" s="1048"/>
      <c r="BG71" s="1048"/>
      <c r="BH71" s="1048"/>
      <c r="BI71" s="1048"/>
      <c r="BJ71" s="1048"/>
      <c r="BK71" s="1048"/>
      <c r="BL71" s="1048"/>
      <c r="BM71" s="1125" t="s">
        <v>831</v>
      </c>
      <c r="BN71" s="1126">
        <v>15.349674343462105</v>
      </c>
      <c r="BO71" s="1126">
        <v>14.562511556617892</v>
      </c>
      <c r="BP71" s="1126">
        <v>12.988185982929471</v>
      </c>
      <c r="BQ71" s="1126">
        <v>10.62669762239684</v>
      </c>
      <c r="BR71" s="1127">
        <v>10.62669762239684</v>
      </c>
      <c r="BS71" s="1107"/>
      <c r="BT71" s="1107"/>
      <c r="BU71" s="1045"/>
    </row>
    <row r="72" spans="1:73" ht="17.45" customHeight="1">
      <c r="A72" s="1133"/>
      <c r="B72" s="1133"/>
      <c r="C72" s="1133"/>
      <c r="D72" s="1133"/>
      <c r="E72" s="1133"/>
      <c r="F72" s="1133"/>
      <c r="G72" s="1133"/>
      <c r="H72" s="1133"/>
      <c r="I72" s="1133"/>
      <c r="J72" s="1133"/>
      <c r="K72" s="1133"/>
      <c r="L72" s="1133"/>
      <c r="M72" s="1133"/>
      <c r="N72" s="1133"/>
      <c r="O72" s="1133"/>
      <c r="P72" s="1133"/>
      <c r="Q72" s="1133"/>
      <c r="R72" s="1133"/>
      <c r="S72" s="1133"/>
      <c r="T72" s="1133"/>
      <c r="U72" s="1133"/>
      <c r="V72" s="1133"/>
      <c r="W72" s="1224"/>
      <c r="X72" s="1224"/>
      <c r="Y72" s="1224"/>
      <c r="Z72" s="1224"/>
      <c r="AA72" s="1224"/>
      <c r="AB72" s="1224"/>
      <c r="AC72" s="1224"/>
      <c r="AD72" s="1224"/>
      <c r="AE72" s="1224"/>
      <c r="AF72" s="1224"/>
      <c r="AG72" s="1224"/>
      <c r="AH72" s="1224"/>
      <c r="AI72" s="1224"/>
      <c r="AJ72" s="1081"/>
      <c r="AK72" s="1081"/>
      <c r="AL72" s="1081"/>
      <c r="AM72" s="1081"/>
      <c r="AN72" s="1081"/>
      <c r="AO72" s="1081"/>
      <c r="AP72" s="1081"/>
      <c r="AQ72" s="1081"/>
      <c r="AR72" s="1081"/>
      <c r="AS72" s="1133"/>
      <c r="AT72" s="1048"/>
      <c r="AU72" s="1081" t="s">
        <v>1125</v>
      </c>
      <c r="AV72" s="1081"/>
      <c r="AW72" s="1081"/>
      <c r="AX72" s="1081"/>
      <c r="AY72" s="1081"/>
      <c r="AZ72" s="1081"/>
      <c r="BA72" s="1081"/>
      <c r="BB72" s="1081"/>
      <c r="BC72" s="1048"/>
      <c r="BD72" s="1048"/>
      <c r="BE72" s="1048"/>
      <c r="BF72" s="1048"/>
      <c r="BG72" s="1048"/>
      <c r="BH72" s="1048"/>
      <c r="BI72" s="1048"/>
      <c r="BJ72" s="1048"/>
      <c r="BK72" s="1048"/>
      <c r="BL72" s="1048"/>
      <c r="BM72" s="1117" t="s">
        <v>829</v>
      </c>
      <c r="BN72" s="1119"/>
      <c r="BO72" s="1119"/>
      <c r="BP72" s="1120">
        <v>1.7999999999999999E-2</v>
      </c>
      <c r="BQ72" s="1119"/>
      <c r="BR72" s="1121"/>
      <c r="BS72" s="1107"/>
      <c r="BT72" s="1107"/>
      <c r="BU72" s="1045"/>
    </row>
    <row r="73" spans="1:73" ht="17.45" customHeight="1">
      <c r="A73" s="1133"/>
      <c r="B73" s="1133" t="s">
        <v>1570</v>
      </c>
      <c r="C73" s="1133"/>
      <c r="D73" s="1133"/>
      <c r="E73" s="1133"/>
      <c r="F73" s="1133"/>
      <c r="G73" s="1133"/>
      <c r="H73" s="1231" t="s">
        <v>1316</v>
      </c>
      <c r="I73" s="1133"/>
      <c r="J73" s="1133"/>
      <c r="K73" s="1133"/>
      <c r="L73" s="1133"/>
      <c r="M73" s="1133"/>
      <c r="N73" s="1133"/>
      <c r="O73" s="1133"/>
      <c r="P73" s="1133"/>
      <c r="Q73" s="1133"/>
      <c r="R73" s="1133"/>
      <c r="S73" s="1133"/>
      <c r="T73" s="1133"/>
      <c r="U73" s="1133"/>
      <c r="V73" s="1133"/>
      <c r="W73" s="1224"/>
      <c r="X73" s="1224"/>
      <c r="Y73" s="1224"/>
      <c r="Z73" s="1224"/>
      <c r="AA73" s="1224"/>
      <c r="AB73" s="1224"/>
      <c r="AC73" s="1224"/>
      <c r="AD73" s="1224"/>
      <c r="AE73" s="1224"/>
      <c r="AF73" s="1224"/>
      <c r="AG73" s="1224"/>
      <c r="AH73" s="1224"/>
      <c r="AI73" s="1224"/>
      <c r="AJ73" s="1081"/>
      <c r="AK73" s="1081"/>
      <c r="AL73" s="1081"/>
      <c r="AM73" s="1081"/>
      <c r="AN73" s="1081"/>
      <c r="AO73" s="1081"/>
      <c r="AP73" s="1081"/>
      <c r="AQ73" s="1081"/>
      <c r="AR73" s="1081"/>
      <c r="AS73" s="1133"/>
      <c r="AT73" s="1048"/>
      <c r="AU73" s="1081" t="s">
        <v>1126</v>
      </c>
      <c r="AV73" s="1081"/>
      <c r="AW73" s="1081"/>
      <c r="AX73" s="1081"/>
      <c r="AY73" s="1081"/>
      <c r="AZ73" s="1081"/>
      <c r="BA73" s="1081"/>
      <c r="BB73" s="1081"/>
      <c r="BC73" s="1048"/>
      <c r="BD73" s="1048"/>
      <c r="BE73" s="1048"/>
      <c r="BF73" s="1048"/>
      <c r="BG73" s="1048"/>
      <c r="BH73" s="1048"/>
      <c r="BI73" s="1048"/>
      <c r="BJ73" s="1048"/>
      <c r="BK73" s="1048"/>
      <c r="BL73" s="1048"/>
      <c r="BM73" s="1122"/>
      <c r="BN73" s="1129"/>
      <c r="BO73" s="1129"/>
      <c r="BP73" s="1130"/>
      <c r="BQ73" s="1129"/>
      <c r="BR73" s="1131"/>
      <c r="BS73" s="1107"/>
      <c r="BT73" s="1107"/>
      <c r="BU73" s="1045"/>
    </row>
    <row r="74" spans="1:73" ht="17.45" customHeight="1">
      <c r="A74" s="1133"/>
      <c r="B74" s="1133"/>
      <c r="C74" s="1133"/>
      <c r="D74" s="1133"/>
      <c r="E74" s="1133"/>
      <c r="F74" s="1133"/>
      <c r="G74" s="1133"/>
      <c r="H74" s="1133"/>
      <c r="I74" s="1133"/>
      <c r="J74" s="1133"/>
      <c r="K74" s="1133"/>
      <c r="L74" s="1133"/>
      <c r="M74" s="1133"/>
      <c r="N74" s="1133"/>
      <c r="O74" s="1133"/>
      <c r="P74" s="1133"/>
      <c r="Q74" s="1133"/>
      <c r="R74" s="1133"/>
      <c r="S74" s="1133"/>
      <c r="T74" s="1133"/>
      <c r="U74" s="1133"/>
      <c r="V74" s="1133"/>
      <c r="W74" s="1224"/>
      <c r="X74" s="1224"/>
      <c r="Y74" s="1224"/>
      <c r="Z74" s="1224"/>
      <c r="AA74" s="1224"/>
      <c r="AB74" s="1224"/>
      <c r="AC74" s="1224"/>
      <c r="AD74" s="1224"/>
      <c r="AE74" s="1224"/>
      <c r="AF74" s="1224"/>
      <c r="AG74" s="1224"/>
      <c r="AH74" s="1224"/>
      <c r="AI74" s="1224"/>
      <c r="AJ74" s="1081"/>
      <c r="AK74" s="1081"/>
      <c r="AL74" s="1081"/>
      <c r="AM74" s="1081"/>
      <c r="AN74" s="1081"/>
      <c r="AO74" s="1081"/>
      <c r="AP74" s="1081"/>
      <c r="AQ74" s="1081"/>
      <c r="AR74" s="1081"/>
      <c r="AS74" s="1133"/>
      <c r="AT74" s="1048"/>
      <c r="AU74" s="1081"/>
      <c r="AV74" s="1081"/>
      <c r="AW74" s="1081"/>
      <c r="AX74" s="1081"/>
      <c r="AY74" s="1081"/>
      <c r="AZ74" s="1081"/>
      <c r="BA74" s="1081"/>
      <c r="BB74" s="1081"/>
      <c r="BC74" s="1048"/>
      <c r="BD74" s="1048"/>
      <c r="BE74" s="1048"/>
      <c r="BF74" s="1048"/>
      <c r="BG74" s="1048"/>
      <c r="BH74" s="1048"/>
      <c r="BI74" s="1048"/>
      <c r="BJ74" s="1048"/>
      <c r="BK74" s="1048"/>
      <c r="BL74" s="1048"/>
      <c r="BM74" s="1122" t="s">
        <v>845</v>
      </c>
      <c r="BN74" s="1123">
        <v>15.073380205279786</v>
      </c>
      <c r="BO74" s="1123">
        <v>14.300386348598769</v>
      </c>
      <c r="BP74" s="1123">
        <v>12.75439863523674</v>
      </c>
      <c r="BQ74" s="1123">
        <v>10.435417065193697</v>
      </c>
      <c r="BR74" s="1124">
        <v>10.435417065193697</v>
      </c>
      <c r="BS74" s="1107"/>
      <c r="BT74" s="1107"/>
      <c r="BU74" s="1045"/>
    </row>
    <row r="75" spans="1:73" ht="17.45" customHeight="1" thickBot="1">
      <c r="A75" s="1133"/>
      <c r="B75" s="1133" t="s">
        <v>1571</v>
      </c>
      <c r="C75" s="1133"/>
      <c r="D75" s="1133"/>
      <c r="E75" s="1133"/>
      <c r="F75" s="1133"/>
      <c r="G75" s="1133"/>
      <c r="H75" s="1133"/>
      <c r="I75" s="1133"/>
      <c r="J75" s="1133"/>
      <c r="K75" s="1133"/>
      <c r="L75" s="1133"/>
      <c r="M75" s="1133"/>
      <c r="N75" s="1133"/>
      <c r="O75" s="1133"/>
      <c r="P75" s="1133"/>
      <c r="Q75" s="1133"/>
      <c r="R75" s="1133"/>
      <c r="S75" s="1133"/>
      <c r="T75" s="1133"/>
      <c r="U75" s="1133"/>
      <c r="V75" s="1133"/>
      <c r="W75" s="1224"/>
      <c r="X75" s="1224"/>
      <c r="Y75" s="1224"/>
      <c r="Z75" s="1224"/>
      <c r="AA75" s="1224"/>
      <c r="AB75" s="1224"/>
      <c r="AC75" s="1224"/>
      <c r="AD75" s="1224"/>
      <c r="AE75" s="1224"/>
      <c r="AF75" s="1224"/>
      <c r="AG75" s="1224"/>
      <c r="AH75" s="1224"/>
      <c r="AI75" s="1224"/>
      <c r="AJ75" s="1081"/>
      <c r="AK75" s="1081"/>
      <c r="AL75" s="1081"/>
      <c r="AM75" s="1081"/>
      <c r="AN75" s="1081"/>
      <c r="AO75" s="1081"/>
      <c r="AP75" s="1081"/>
      <c r="AQ75" s="1081"/>
      <c r="AR75" s="1081"/>
      <c r="AS75" s="1133"/>
      <c r="AT75" s="1048"/>
      <c r="AU75" s="1081" t="s">
        <v>1127</v>
      </c>
      <c r="AV75" s="1081"/>
      <c r="AW75" s="1081"/>
      <c r="AX75" s="1081"/>
      <c r="AY75" s="1081"/>
      <c r="AZ75" s="1081"/>
      <c r="BA75" s="1081"/>
      <c r="BB75" s="1081"/>
      <c r="BC75" s="1048"/>
      <c r="BD75" s="1048"/>
      <c r="BE75" s="1048"/>
      <c r="BF75" s="1048"/>
      <c r="BG75" s="1048"/>
      <c r="BH75" s="1048"/>
      <c r="BI75" s="1048"/>
      <c r="BJ75" s="1048"/>
      <c r="BK75" s="1048"/>
      <c r="BL75" s="1048"/>
      <c r="BM75" s="1125" t="s">
        <v>831</v>
      </c>
      <c r="BN75" s="1126">
        <v>15.073380205279786</v>
      </c>
      <c r="BO75" s="1126">
        <v>14.300386348598769</v>
      </c>
      <c r="BP75" s="1126">
        <v>12.75439863523674</v>
      </c>
      <c r="BQ75" s="1126">
        <v>10.435417065193697</v>
      </c>
      <c r="BR75" s="1127">
        <v>10.435417065193697</v>
      </c>
      <c r="BS75" s="1107"/>
      <c r="BT75" s="1107"/>
      <c r="BU75" s="1045"/>
    </row>
    <row r="76" spans="1:73" ht="17.45" customHeight="1" thickBot="1">
      <c r="A76" s="1133"/>
      <c r="B76" s="1133" t="s">
        <v>1572</v>
      </c>
      <c r="C76" s="1133"/>
      <c r="D76" s="1133"/>
      <c r="E76" s="1133"/>
      <c r="F76" s="1133"/>
      <c r="G76" s="1133"/>
      <c r="H76" s="1133"/>
      <c r="I76" s="1133"/>
      <c r="J76" s="1133"/>
      <c r="K76" s="1133"/>
      <c r="L76" s="1133"/>
      <c r="M76" s="1133"/>
      <c r="N76" s="1133"/>
      <c r="O76" s="1133"/>
      <c r="P76" s="1133"/>
      <c r="Q76" s="1133"/>
      <c r="R76" s="1133"/>
      <c r="S76" s="1133"/>
      <c r="T76" s="1133"/>
      <c r="U76" s="1133"/>
      <c r="V76" s="1133"/>
      <c r="W76" s="1224"/>
      <c r="X76" s="1224"/>
      <c r="Y76" s="1224"/>
      <c r="Z76" s="1224"/>
      <c r="AA76" s="1224"/>
      <c r="AB76" s="1224"/>
      <c r="AC76" s="1224"/>
      <c r="AD76" s="1224"/>
      <c r="AE76" s="1224"/>
      <c r="AF76" s="1224"/>
      <c r="AG76" s="1224"/>
      <c r="AH76" s="1224"/>
      <c r="AI76" s="1224"/>
      <c r="AJ76" s="1081"/>
      <c r="AK76" s="1081"/>
      <c r="AL76" s="1081"/>
      <c r="AM76" s="1081"/>
      <c r="AN76" s="1081"/>
      <c r="AO76" s="1081"/>
      <c r="AP76" s="1081"/>
      <c r="AQ76" s="1081"/>
      <c r="AR76" s="1081"/>
      <c r="AS76" s="1133"/>
      <c r="AT76" s="1048"/>
      <c r="AU76" s="1081" t="s">
        <v>1128</v>
      </c>
      <c r="AV76" s="1081"/>
      <c r="AW76" s="1081" t="s">
        <v>1129</v>
      </c>
      <c r="AX76" s="1081"/>
      <c r="AY76" s="1081"/>
      <c r="AZ76" s="1081"/>
      <c r="BA76" s="1081"/>
      <c r="BB76" s="1081"/>
      <c r="BC76" s="1048"/>
      <c r="BD76" s="1048"/>
      <c r="BE76" s="1048"/>
      <c r="BF76" s="1048"/>
      <c r="BG76" s="1048"/>
      <c r="BH76" s="1048"/>
      <c r="BI76" s="1048"/>
      <c r="BJ76" s="1048"/>
      <c r="BK76" s="1048"/>
      <c r="BL76" s="1048"/>
      <c r="BM76" s="1107"/>
      <c r="BN76" s="1107"/>
      <c r="BO76" s="1107"/>
      <c r="BP76" s="1107"/>
      <c r="BQ76" s="1107"/>
      <c r="BR76" s="1107"/>
      <c r="BS76" s="1107"/>
      <c r="BT76" s="1107"/>
      <c r="BU76" s="1045"/>
    </row>
    <row r="77" spans="1:73" ht="17.45" customHeight="1">
      <c r="A77" s="1133"/>
      <c r="B77" s="1133" t="s">
        <v>1573</v>
      </c>
      <c r="C77" s="1133"/>
      <c r="D77" s="1133"/>
      <c r="E77" s="1133"/>
      <c r="F77" s="1133"/>
      <c r="G77" s="1133"/>
      <c r="H77" s="1133"/>
      <c r="I77" s="1133"/>
      <c r="J77" s="1133"/>
      <c r="K77" s="1133"/>
      <c r="L77" s="1133"/>
      <c r="M77" s="1133"/>
      <c r="N77" s="1133"/>
      <c r="O77" s="1133"/>
      <c r="P77" s="1133"/>
      <c r="Q77" s="1133"/>
      <c r="R77" s="1133"/>
      <c r="S77" s="1133"/>
      <c r="T77" s="1133"/>
      <c r="U77" s="1133"/>
      <c r="V77" s="1133"/>
      <c r="W77" s="1224"/>
      <c r="X77" s="1224"/>
      <c r="Y77" s="1224"/>
      <c r="Z77" s="1224"/>
      <c r="AA77" s="1224"/>
      <c r="AB77" s="1224"/>
      <c r="AC77" s="1224"/>
      <c r="AD77" s="1224"/>
      <c r="AE77" s="1224"/>
      <c r="AF77" s="1224"/>
      <c r="AG77" s="1224"/>
      <c r="AH77" s="1224"/>
      <c r="AI77" s="1224"/>
      <c r="AJ77" s="1081"/>
      <c r="AK77" s="1081"/>
      <c r="AL77" s="1081"/>
      <c r="AM77" s="1081"/>
      <c r="AN77" s="1081"/>
      <c r="AO77" s="1081"/>
      <c r="AP77" s="1081"/>
      <c r="AQ77" s="1081"/>
      <c r="AR77" s="1081"/>
      <c r="AS77" s="1133"/>
      <c r="AT77" s="1048"/>
      <c r="AU77" s="1081" t="s">
        <v>953</v>
      </c>
      <c r="AV77" s="1081"/>
      <c r="AW77" s="1081" t="s">
        <v>976</v>
      </c>
      <c r="AX77" s="1081"/>
      <c r="AY77" s="1081"/>
      <c r="AZ77" s="1081"/>
      <c r="BA77" s="1081"/>
      <c r="BB77" s="1081"/>
      <c r="BC77" s="1048"/>
      <c r="BD77" s="1048"/>
      <c r="BE77" s="1048"/>
      <c r="BF77" s="1048"/>
      <c r="BG77" s="1048"/>
      <c r="BH77" s="1048"/>
      <c r="BI77" s="1048"/>
      <c r="BJ77" s="1048"/>
      <c r="BK77" s="1048"/>
      <c r="BL77" s="1048"/>
      <c r="BM77" s="1117" t="s">
        <v>829</v>
      </c>
      <c r="BN77" s="1119"/>
      <c r="BO77" s="1119"/>
      <c r="BP77" s="1120">
        <v>1.7999999999999999E-2</v>
      </c>
      <c r="BQ77" s="1119"/>
      <c r="BR77" s="1121"/>
      <c r="BS77" s="1107"/>
      <c r="BT77" s="1107"/>
      <c r="BU77" s="1045"/>
    </row>
    <row r="78" spans="1:73" ht="17.45" customHeight="1">
      <c r="A78" s="1133"/>
      <c r="B78" s="1133"/>
      <c r="C78" s="1133"/>
      <c r="D78" s="1133"/>
      <c r="E78" s="1133"/>
      <c r="F78" s="1133"/>
      <c r="G78" s="1133"/>
      <c r="H78" s="1133"/>
      <c r="I78" s="1133"/>
      <c r="J78" s="1133"/>
      <c r="K78" s="1133"/>
      <c r="L78" s="1133"/>
      <c r="M78" s="1133"/>
      <c r="N78" s="1133"/>
      <c r="O78" s="1133"/>
      <c r="P78" s="1133"/>
      <c r="Q78" s="1133"/>
      <c r="R78" s="1133"/>
      <c r="S78" s="1133"/>
      <c r="T78" s="1133"/>
      <c r="U78" s="1133"/>
      <c r="V78" s="1133"/>
      <c r="W78" s="1224"/>
      <c r="X78" s="1224"/>
      <c r="Y78" s="1224"/>
      <c r="Z78" s="1224"/>
      <c r="AA78" s="1224"/>
      <c r="AB78" s="1224"/>
      <c r="AC78" s="1224"/>
      <c r="AD78" s="1224"/>
      <c r="AE78" s="1224"/>
      <c r="AF78" s="1224"/>
      <c r="AG78" s="1224"/>
      <c r="AH78" s="1224"/>
      <c r="AI78" s="1224"/>
      <c r="AJ78" s="1081"/>
      <c r="AK78" s="1081"/>
      <c r="AL78" s="1081"/>
      <c r="AM78" s="1081"/>
      <c r="AN78" s="1081"/>
      <c r="AO78" s="1081"/>
      <c r="AP78" s="1081"/>
      <c r="AQ78" s="1081"/>
      <c r="AR78" s="1081"/>
      <c r="AS78" s="1133"/>
      <c r="AT78" s="1048"/>
      <c r="AU78" s="1081" t="s">
        <v>954</v>
      </c>
      <c r="AV78" s="1081"/>
      <c r="AW78" s="1081" t="s">
        <v>955</v>
      </c>
      <c r="AX78" s="1081"/>
      <c r="AY78" s="1081"/>
      <c r="AZ78" s="1081"/>
      <c r="BA78" s="1081"/>
      <c r="BB78" s="1081"/>
      <c r="BC78" s="1048"/>
      <c r="BD78" s="1048"/>
      <c r="BE78" s="1048"/>
      <c r="BF78" s="1048"/>
      <c r="BG78" s="1048"/>
      <c r="BH78" s="1048"/>
      <c r="BI78" s="1048"/>
      <c r="BJ78" s="1048"/>
      <c r="BK78" s="1048"/>
      <c r="BL78" s="1048"/>
      <c r="BM78" s="1132" t="s">
        <v>846</v>
      </c>
      <c r="BN78" s="1123">
        <v>14.80205936158475</v>
      </c>
      <c r="BO78" s="1123">
        <v>14.042979394323991</v>
      </c>
      <c r="BP78" s="1123">
        <v>12.524819459802478</v>
      </c>
      <c r="BQ78" s="1123">
        <v>10.24757955802021</v>
      </c>
      <c r="BR78" s="1124">
        <v>10.24757955802021</v>
      </c>
      <c r="BS78" s="1107"/>
      <c r="BT78" s="1107"/>
      <c r="BU78" s="1045"/>
    </row>
    <row r="79" spans="1:73" ht="17.45" customHeight="1" thickBot="1">
      <c r="A79" s="1133"/>
      <c r="B79" s="1133"/>
      <c r="C79" s="1133"/>
      <c r="D79" s="1133"/>
      <c r="E79" s="1133"/>
      <c r="F79" s="1133"/>
      <c r="G79" s="1133"/>
      <c r="H79" s="1133"/>
      <c r="I79" s="1133"/>
      <c r="J79" s="1133"/>
      <c r="K79" s="1133"/>
      <c r="L79" s="1133"/>
      <c r="M79" s="1133"/>
      <c r="N79" s="1133"/>
      <c r="O79" s="1133"/>
      <c r="P79" s="1133"/>
      <c r="Q79" s="1133"/>
      <c r="R79" s="1133"/>
      <c r="S79" s="1133"/>
      <c r="T79" s="1133"/>
      <c r="U79" s="1133"/>
      <c r="V79" s="1133"/>
      <c r="W79" s="1224"/>
      <c r="X79" s="1224"/>
      <c r="Y79" s="1224"/>
      <c r="Z79" s="1224"/>
      <c r="AA79" s="1224"/>
      <c r="AB79" s="1224"/>
      <c r="AC79" s="1224"/>
      <c r="AD79" s="1224"/>
      <c r="AE79" s="1224"/>
      <c r="AF79" s="1224"/>
      <c r="AG79" s="1224"/>
      <c r="AH79" s="1224"/>
      <c r="AI79" s="1224"/>
      <c r="AJ79" s="1081"/>
      <c r="AK79" s="1081"/>
      <c r="AL79" s="1081"/>
      <c r="AM79" s="1081"/>
      <c r="AN79" s="1081"/>
      <c r="AO79" s="1081"/>
      <c r="AP79" s="1081"/>
      <c r="AQ79" s="1081"/>
      <c r="AR79" s="1081"/>
      <c r="AS79" s="1133"/>
      <c r="AT79" s="1048"/>
      <c r="AU79" s="1081" t="s">
        <v>956</v>
      </c>
      <c r="AV79" s="1081"/>
      <c r="AW79" s="1081" t="s">
        <v>957</v>
      </c>
      <c r="AX79" s="1081"/>
      <c r="AY79" s="1081"/>
      <c r="AZ79" s="1081"/>
      <c r="BA79" s="1081"/>
      <c r="BB79" s="1081"/>
      <c r="BC79" s="1048"/>
      <c r="BD79" s="1048"/>
      <c r="BE79" s="1048"/>
      <c r="BF79" s="1048"/>
      <c r="BG79" s="1048"/>
      <c r="BH79" s="1048"/>
      <c r="BI79" s="1048"/>
      <c r="BJ79" s="1048"/>
      <c r="BK79" s="1048"/>
      <c r="BL79" s="1048"/>
      <c r="BM79" s="1125" t="s">
        <v>831</v>
      </c>
      <c r="BN79" s="1126">
        <v>14.80205936158475</v>
      </c>
      <c r="BO79" s="1126">
        <v>14.042979394323991</v>
      </c>
      <c r="BP79" s="1126">
        <v>12.524819459802478</v>
      </c>
      <c r="BQ79" s="1126">
        <v>10.24757955802021</v>
      </c>
      <c r="BR79" s="1127">
        <v>10.24757955802021</v>
      </c>
      <c r="BS79" s="1107"/>
      <c r="BT79" s="1107"/>
      <c r="BU79" s="1045"/>
    </row>
    <row r="80" spans="1:73" ht="17.45" customHeight="1">
      <c r="A80" s="1133"/>
      <c r="B80" s="1133"/>
      <c r="C80" s="1133"/>
      <c r="D80" s="1133"/>
      <c r="E80" s="1133"/>
      <c r="F80" s="1133"/>
      <c r="G80" s="1133"/>
      <c r="H80" s="1133"/>
      <c r="I80" s="1133"/>
      <c r="J80" s="1133"/>
      <c r="K80" s="1133"/>
      <c r="L80" s="1133"/>
      <c r="M80" s="1133"/>
      <c r="N80" s="1133"/>
      <c r="O80" s="1133"/>
      <c r="P80" s="1133"/>
      <c r="Q80" s="1133"/>
      <c r="R80" s="1133"/>
      <c r="S80" s="1133"/>
      <c r="T80" s="1133"/>
      <c r="U80" s="1133"/>
      <c r="V80" s="1133"/>
      <c r="W80" s="1224"/>
      <c r="X80" s="1224"/>
      <c r="Y80" s="1224"/>
      <c r="Z80" s="1224"/>
      <c r="AA80" s="1224"/>
      <c r="AB80" s="1224"/>
      <c r="AC80" s="1224"/>
      <c r="AD80" s="1224"/>
      <c r="AE80" s="1224"/>
      <c r="AF80" s="1224"/>
      <c r="AG80" s="1224"/>
      <c r="AH80" s="1224"/>
      <c r="AI80" s="1224"/>
      <c r="AJ80" s="1081"/>
      <c r="AK80" s="1081"/>
      <c r="AL80" s="1081"/>
      <c r="AM80" s="1081"/>
      <c r="AN80" s="1081"/>
      <c r="AO80" s="1081"/>
      <c r="AP80" s="1081"/>
      <c r="AQ80" s="1081"/>
      <c r="AR80" s="1081"/>
      <c r="AS80" s="1133"/>
      <c r="AT80" s="1048"/>
      <c r="AU80" s="1081" t="s">
        <v>958</v>
      </c>
      <c r="AV80" s="1081"/>
      <c r="AW80" s="1081" t="s">
        <v>959</v>
      </c>
      <c r="AX80" s="1081"/>
      <c r="AY80" s="1081"/>
      <c r="AZ80" s="1081"/>
      <c r="BA80" s="1081"/>
      <c r="BB80" s="1081"/>
      <c r="BC80" s="1048"/>
      <c r="BD80" s="1048"/>
      <c r="BE80" s="1048"/>
      <c r="BF80" s="1048"/>
      <c r="BG80" s="1048"/>
      <c r="BH80" s="1048"/>
      <c r="BI80" s="1048"/>
      <c r="BJ80" s="1048"/>
      <c r="BK80" s="1048"/>
      <c r="BL80" s="1048"/>
      <c r="BM80" s="1117" t="s">
        <v>829</v>
      </c>
      <c r="BN80" s="1119"/>
      <c r="BO80" s="1119"/>
      <c r="BP80" s="1120">
        <v>1.7999999999999999E-2</v>
      </c>
      <c r="BQ80" s="1119"/>
      <c r="BR80" s="1121"/>
      <c r="BS80" s="1107"/>
      <c r="BT80" s="1107"/>
      <c r="BU80" s="1045"/>
    </row>
    <row r="81" spans="1:73" ht="17.45" customHeight="1">
      <c r="A81" s="1133"/>
      <c r="B81" s="1133"/>
      <c r="C81" s="1133"/>
      <c r="D81" s="1133"/>
      <c r="E81" s="1133"/>
      <c r="F81" s="1133"/>
      <c r="G81" s="1133"/>
      <c r="H81" s="1133"/>
      <c r="I81" s="1133"/>
      <c r="J81" s="1133"/>
      <c r="K81" s="1133"/>
      <c r="L81" s="1133"/>
      <c r="M81" s="1133"/>
      <c r="N81" s="1133"/>
      <c r="O81" s="1133"/>
      <c r="P81" s="1133"/>
      <c r="Q81" s="1133"/>
      <c r="R81" s="1133"/>
      <c r="S81" s="1133"/>
      <c r="T81" s="1133"/>
      <c r="U81" s="1133"/>
      <c r="V81" s="1133"/>
      <c r="W81" s="1224"/>
      <c r="X81" s="1224"/>
      <c r="Y81" s="1224"/>
      <c r="Z81" s="1224"/>
      <c r="AA81" s="1224"/>
      <c r="AB81" s="1224"/>
      <c r="AC81" s="1224"/>
      <c r="AD81" s="1224"/>
      <c r="AE81" s="1224"/>
      <c r="AF81" s="1224"/>
      <c r="AG81" s="1224"/>
      <c r="AH81" s="1224"/>
      <c r="AI81" s="1224"/>
      <c r="AJ81" s="1081"/>
      <c r="AK81" s="1081"/>
      <c r="AL81" s="1081"/>
      <c r="AM81" s="1081"/>
      <c r="AN81" s="1081"/>
      <c r="AO81" s="1081"/>
      <c r="AP81" s="1081"/>
      <c r="AQ81" s="1081"/>
      <c r="AR81" s="1081"/>
      <c r="AS81" s="1133"/>
      <c r="AT81" s="1048"/>
      <c r="AU81" s="1081" t="s">
        <v>960</v>
      </c>
      <c r="AV81" s="1081"/>
      <c r="AW81" s="1081" t="s">
        <v>1023</v>
      </c>
      <c r="AX81" s="1081"/>
      <c r="AY81" s="1081"/>
      <c r="AZ81" s="1081"/>
      <c r="BA81" s="1081"/>
      <c r="BB81" s="1081"/>
      <c r="BC81" s="1048"/>
      <c r="BD81" s="1048"/>
      <c r="BE81" s="1048"/>
      <c r="BF81" s="1048"/>
      <c r="BG81" s="1048"/>
      <c r="BH81" s="1048"/>
      <c r="BI81" s="1048"/>
      <c r="BJ81" s="1048"/>
      <c r="BK81" s="1048"/>
      <c r="BL81" s="1048"/>
      <c r="BM81" s="1132" t="s">
        <v>847</v>
      </c>
      <c r="BN81" s="1123">
        <v>14.535622293076225</v>
      </c>
      <c r="BO81" s="1123">
        <v>13.790205765226158</v>
      </c>
      <c r="BP81" s="1123">
        <v>12.299372709526033</v>
      </c>
      <c r="BQ81" s="1123">
        <v>10.063123125975846</v>
      </c>
      <c r="BR81" s="1124">
        <v>10.063123125975846</v>
      </c>
      <c r="BS81" s="1107"/>
      <c r="BT81" s="1107"/>
      <c r="BU81" s="1045"/>
    </row>
    <row r="82" spans="1:73" ht="17.45" customHeight="1" thickBot="1">
      <c r="A82" s="1133"/>
      <c r="B82" s="1133"/>
      <c r="C82" s="1133"/>
      <c r="D82" s="1133"/>
      <c r="E82" s="1133"/>
      <c r="F82" s="1133"/>
      <c r="G82" s="1133"/>
      <c r="H82" s="1133"/>
      <c r="I82" s="1133"/>
      <c r="J82" s="1133"/>
      <c r="K82" s="1133"/>
      <c r="L82" s="1133"/>
      <c r="M82" s="1133"/>
      <c r="N82" s="1133"/>
      <c r="O82" s="1133"/>
      <c r="P82" s="1133"/>
      <c r="Q82" s="1133"/>
      <c r="R82" s="1133"/>
      <c r="S82" s="1133"/>
      <c r="T82" s="1133"/>
      <c r="U82" s="1133"/>
      <c r="V82" s="1133"/>
      <c r="W82" s="1224"/>
      <c r="X82" s="1224"/>
      <c r="Y82" s="1224"/>
      <c r="Z82" s="1224"/>
      <c r="AA82" s="1224"/>
      <c r="AB82" s="1224"/>
      <c r="AC82" s="1224"/>
      <c r="AD82" s="1224"/>
      <c r="AE82" s="1224"/>
      <c r="AF82" s="1224"/>
      <c r="AG82" s="1224"/>
      <c r="AH82" s="1224"/>
      <c r="AI82" s="1224"/>
      <c r="AJ82" s="1081"/>
      <c r="AK82" s="1081"/>
      <c r="AL82" s="1081"/>
      <c r="AM82" s="1081"/>
      <c r="AN82" s="1081"/>
      <c r="AO82" s="1081"/>
      <c r="AP82" s="1081"/>
      <c r="AQ82" s="1081"/>
      <c r="AR82" s="1081"/>
      <c r="AS82" s="1133"/>
      <c r="AT82" s="1048"/>
      <c r="AU82" s="1081"/>
      <c r="AV82" s="1081"/>
      <c r="AW82" s="1081" t="s">
        <v>1022</v>
      </c>
      <c r="AX82" s="1081"/>
      <c r="AY82" s="1081"/>
      <c r="AZ82" s="1081"/>
      <c r="BA82" s="1081"/>
      <c r="BB82" s="1081"/>
      <c r="BC82" s="1048"/>
      <c r="BD82" s="1048"/>
      <c r="BE82" s="1048"/>
      <c r="BF82" s="1048"/>
      <c r="BG82" s="1048"/>
      <c r="BH82" s="1048"/>
      <c r="BI82" s="1048"/>
      <c r="BJ82" s="1048"/>
      <c r="BK82" s="1048"/>
      <c r="BL82" s="1048"/>
      <c r="BM82" s="1125" t="s">
        <v>831</v>
      </c>
      <c r="BN82" s="1126">
        <v>14.535622293076225</v>
      </c>
      <c r="BO82" s="1126">
        <v>13.790205765226158</v>
      </c>
      <c r="BP82" s="1126">
        <v>12.299372709526033</v>
      </c>
      <c r="BQ82" s="1126">
        <v>10.063123125975846</v>
      </c>
      <c r="BR82" s="1127">
        <v>10.063123125975846</v>
      </c>
      <c r="BS82" s="1107"/>
      <c r="BT82" s="1107"/>
      <c r="BU82" s="1045"/>
    </row>
    <row r="83" spans="1:73" ht="17.45" customHeight="1">
      <c r="A83" s="1133"/>
      <c r="B83" s="1133"/>
      <c r="C83" s="1133"/>
      <c r="D83" s="1133"/>
      <c r="E83" s="1133"/>
      <c r="F83" s="1133"/>
      <c r="G83" s="1133"/>
      <c r="H83" s="1133"/>
      <c r="I83" s="1133"/>
      <c r="J83" s="1133"/>
      <c r="K83" s="1133"/>
      <c r="L83" s="1133"/>
      <c r="M83" s="1133"/>
      <c r="N83" s="1133"/>
      <c r="O83" s="1133"/>
      <c r="P83" s="1133"/>
      <c r="Q83" s="1133"/>
      <c r="R83" s="1133"/>
      <c r="S83" s="1133"/>
      <c r="T83" s="1133"/>
      <c r="U83" s="1133"/>
      <c r="V83" s="1133"/>
      <c r="W83" s="1224"/>
      <c r="X83" s="1224"/>
      <c r="Y83" s="1224"/>
      <c r="Z83" s="1224"/>
      <c r="AA83" s="1224"/>
      <c r="AB83" s="1224"/>
      <c r="AC83" s="1224"/>
      <c r="AD83" s="1224"/>
      <c r="AE83" s="1224"/>
      <c r="AF83" s="1224"/>
      <c r="AG83" s="1224"/>
      <c r="AH83" s="1224"/>
      <c r="AI83" s="1224"/>
      <c r="AJ83" s="1081"/>
      <c r="AK83" s="1081"/>
      <c r="AL83" s="1081"/>
      <c r="AM83" s="1081"/>
      <c r="AN83" s="1081"/>
      <c r="AO83" s="1081"/>
      <c r="AP83" s="1081"/>
      <c r="AQ83" s="1081"/>
      <c r="AR83" s="1081"/>
      <c r="AS83" s="1133"/>
      <c r="AT83" s="1048"/>
      <c r="AU83" s="1081" t="s">
        <v>962</v>
      </c>
      <c r="AV83" s="1081"/>
      <c r="AW83" s="1081" t="s">
        <v>1024</v>
      </c>
      <c r="AX83" s="1081"/>
      <c r="AY83" s="1081"/>
      <c r="AZ83" s="1081"/>
      <c r="BA83" s="1081"/>
      <c r="BB83" s="1081"/>
      <c r="BC83" s="1048"/>
      <c r="BD83" s="1048"/>
      <c r="BE83" s="1048"/>
      <c r="BF83" s="1048"/>
      <c r="BG83" s="1048"/>
      <c r="BH83" s="1048"/>
      <c r="BI83" s="1048"/>
      <c r="BJ83" s="1048"/>
      <c r="BK83" s="1048"/>
      <c r="BL83" s="1048"/>
      <c r="BM83" s="1117" t="s">
        <v>829</v>
      </c>
      <c r="BN83" s="1119"/>
      <c r="BO83" s="1119"/>
      <c r="BP83" s="1120">
        <v>1.7999999999999999E-2</v>
      </c>
      <c r="BQ83" s="1119"/>
      <c r="BR83" s="1121"/>
      <c r="BS83" s="1107"/>
      <c r="BT83" s="1107"/>
      <c r="BU83" s="1045"/>
    </row>
    <row r="84" spans="1:73" ht="17.45" customHeight="1">
      <c r="A84" s="1133"/>
      <c r="B84" s="1133"/>
      <c r="C84" s="1133"/>
      <c r="D84" s="1133"/>
      <c r="E84" s="1133"/>
      <c r="F84" s="1133"/>
      <c r="G84" s="1133"/>
      <c r="H84" s="1133"/>
      <c r="I84" s="1133"/>
      <c r="J84" s="1133"/>
      <c r="K84" s="1133"/>
      <c r="L84" s="1133"/>
      <c r="M84" s="1133"/>
      <c r="N84" s="1133"/>
      <c r="O84" s="1133"/>
      <c r="P84" s="1133"/>
      <c r="Q84" s="1133"/>
      <c r="R84" s="1133"/>
      <c r="S84" s="1133"/>
      <c r="T84" s="1133"/>
      <c r="U84" s="1133"/>
      <c r="V84" s="1133"/>
      <c r="W84" s="1224"/>
      <c r="X84" s="1224"/>
      <c r="Y84" s="1224"/>
      <c r="Z84" s="1224"/>
      <c r="AA84" s="1224"/>
      <c r="AB84" s="1224"/>
      <c r="AC84" s="1224"/>
      <c r="AD84" s="1224"/>
      <c r="AE84" s="1224"/>
      <c r="AF84" s="1224"/>
      <c r="AG84" s="1224"/>
      <c r="AH84" s="1224"/>
      <c r="AI84" s="1224"/>
      <c r="AJ84" s="1081"/>
      <c r="AK84" s="1081"/>
      <c r="AL84" s="1081"/>
      <c r="AM84" s="1081"/>
      <c r="AN84" s="1081"/>
      <c r="AO84" s="1081"/>
      <c r="AP84" s="1081"/>
      <c r="AQ84" s="1081"/>
      <c r="AR84" s="1081"/>
      <c r="AS84" s="1133"/>
      <c r="AT84" s="1048"/>
      <c r="AU84" s="1081"/>
      <c r="AV84" s="1081"/>
      <c r="AW84" s="1081" t="s">
        <v>1025</v>
      </c>
      <c r="AX84" s="1081"/>
      <c r="AY84" s="1081"/>
      <c r="AZ84" s="1081"/>
      <c r="BA84" s="1081"/>
      <c r="BB84" s="1081"/>
      <c r="BC84" s="1048"/>
      <c r="BD84" s="1048"/>
      <c r="BE84" s="1048"/>
      <c r="BF84" s="1048"/>
      <c r="BG84" s="1048"/>
      <c r="BH84" s="1048"/>
      <c r="BI84" s="1048"/>
      <c r="BJ84" s="1048"/>
      <c r="BK84" s="1048"/>
      <c r="BL84" s="1048"/>
      <c r="BM84" s="1132" t="s">
        <v>848</v>
      </c>
      <c r="BN84" s="1123">
        <v>14.273981091800852</v>
      </c>
      <c r="BO84" s="1123">
        <v>13.541982061452087</v>
      </c>
      <c r="BP84" s="1123">
        <v>12.077984000754563</v>
      </c>
      <c r="BQ84" s="1123">
        <v>9.8819869097082798</v>
      </c>
      <c r="BR84" s="1124">
        <v>9.8819869097082798</v>
      </c>
      <c r="BS84" s="1107"/>
      <c r="BT84" s="1107"/>
      <c r="BU84" s="1045"/>
    </row>
    <row r="85" spans="1:73" ht="17.45" customHeight="1" thickBot="1">
      <c r="A85" s="1133"/>
      <c r="B85" s="1133"/>
      <c r="C85" s="1133"/>
      <c r="D85" s="1133"/>
      <c r="E85" s="1133"/>
      <c r="F85" s="1133"/>
      <c r="G85" s="1133"/>
      <c r="H85" s="1133"/>
      <c r="I85" s="1133"/>
      <c r="J85" s="1133"/>
      <c r="K85" s="1133"/>
      <c r="L85" s="1133"/>
      <c r="M85" s="1133"/>
      <c r="N85" s="1133"/>
      <c r="O85" s="1133"/>
      <c r="P85" s="1133"/>
      <c r="Q85" s="1133"/>
      <c r="R85" s="1133"/>
      <c r="S85" s="1133"/>
      <c r="T85" s="1133"/>
      <c r="U85" s="1133"/>
      <c r="V85" s="1133"/>
      <c r="W85" s="1224"/>
      <c r="X85" s="1224"/>
      <c r="Y85" s="1224"/>
      <c r="Z85" s="1224"/>
      <c r="AA85" s="1224"/>
      <c r="AB85" s="1224"/>
      <c r="AC85" s="1224"/>
      <c r="AD85" s="1224"/>
      <c r="AE85" s="1224"/>
      <c r="AF85" s="1224"/>
      <c r="AG85" s="1224"/>
      <c r="AH85" s="1224"/>
      <c r="AI85" s="1224"/>
      <c r="AJ85" s="1081"/>
      <c r="AK85" s="1081"/>
      <c r="AL85" s="1081"/>
      <c r="AM85" s="1081"/>
      <c r="AN85" s="1081"/>
      <c r="AO85" s="1081"/>
      <c r="AP85" s="1081"/>
      <c r="AQ85" s="1081"/>
      <c r="AR85" s="1081"/>
      <c r="AS85" s="1133"/>
      <c r="AT85" s="1048"/>
      <c r="AU85" s="1081"/>
      <c r="AV85" s="1081"/>
      <c r="AW85" s="1081"/>
      <c r="AX85" s="1081"/>
      <c r="AY85" s="1081"/>
      <c r="AZ85" s="1081"/>
      <c r="BA85" s="1081"/>
      <c r="BB85" s="1081"/>
      <c r="BC85" s="1048"/>
      <c r="BD85" s="1048"/>
      <c r="BE85" s="1048"/>
      <c r="BF85" s="1048"/>
      <c r="BG85" s="1048"/>
      <c r="BH85" s="1048"/>
      <c r="BI85" s="1048"/>
      <c r="BJ85" s="1048"/>
      <c r="BK85" s="1048"/>
      <c r="BL85" s="1048"/>
      <c r="BM85" s="1125" t="s">
        <v>831</v>
      </c>
      <c r="BN85" s="1126">
        <v>14.273981091800852</v>
      </c>
      <c r="BO85" s="1126">
        <v>13.541982061452087</v>
      </c>
      <c r="BP85" s="1126">
        <v>12.077984000754563</v>
      </c>
      <c r="BQ85" s="1126">
        <v>9.8819869097082798</v>
      </c>
      <c r="BR85" s="1127">
        <v>9.8819869097082798</v>
      </c>
      <c r="BS85" s="1107"/>
      <c r="BT85" s="1107"/>
      <c r="BU85" s="1045"/>
    </row>
    <row r="86" spans="1:73" ht="17.45" customHeight="1" thickTop="1" thickBot="1">
      <c r="A86" s="1133"/>
      <c r="B86" s="1133"/>
      <c r="C86" s="1133"/>
      <c r="D86" s="1133"/>
      <c r="E86" s="1133"/>
      <c r="F86" s="1133"/>
      <c r="G86" s="1133"/>
      <c r="H86" s="1133"/>
      <c r="I86" s="1133"/>
      <c r="J86" s="1133"/>
      <c r="K86" s="1133"/>
      <c r="L86" s="1133"/>
      <c r="M86" s="1133"/>
      <c r="N86" s="1133"/>
      <c r="O86" s="1133"/>
      <c r="P86" s="1133"/>
      <c r="Q86" s="1133"/>
      <c r="R86" s="1133"/>
      <c r="S86" s="1133"/>
      <c r="T86" s="1133"/>
      <c r="U86" s="1133"/>
      <c r="V86" s="1133"/>
      <c r="W86" s="1224"/>
      <c r="X86" s="1224"/>
      <c r="Y86" s="1224"/>
      <c r="Z86" s="1224"/>
      <c r="AA86" s="1224"/>
      <c r="AB86" s="1224"/>
      <c r="AC86" s="1224"/>
      <c r="AD86" s="1224"/>
      <c r="AE86" s="1224"/>
      <c r="AF86" s="1224"/>
      <c r="AG86" s="1224"/>
      <c r="AH86" s="1224"/>
      <c r="AI86" s="1224"/>
      <c r="AJ86" s="1093"/>
      <c r="AK86" s="1093"/>
      <c r="AL86" s="1093"/>
      <c r="AM86" s="1093"/>
      <c r="AN86" s="1093"/>
      <c r="AO86" s="1093"/>
      <c r="AP86" s="1093"/>
      <c r="AQ86" s="1093"/>
      <c r="AR86" s="1093"/>
      <c r="AS86" s="1133"/>
      <c r="AT86" s="1048"/>
      <c r="AU86" s="1092" t="s">
        <v>981</v>
      </c>
      <c r="AV86" s="1093"/>
      <c r="AW86" s="1093"/>
      <c r="AX86" s="1093"/>
      <c r="AY86" s="1093"/>
      <c r="AZ86" s="1093"/>
      <c r="BA86" s="1093"/>
      <c r="BB86" s="1094"/>
      <c r="BC86" s="1048"/>
      <c r="BD86" s="1048"/>
      <c r="BE86" s="1048"/>
      <c r="BF86" s="1048"/>
      <c r="BG86" s="1048"/>
      <c r="BH86" s="1048"/>
      <c r="BI86" s="1048"/>
      <c r="BJ86" s="1048"/>
      <c r="BK86" s="1048"/>
      <c r="BL86" s="1048"/>
      <c r="BM86" s="1107"/>
      <c r="BN86" s="1107"/>
      <c r="BO86" s="1107"/>
      <c r="BP86" s="1107"/>
      <c r="BQ86" s="1107"/>
      <c r="BR86" s="1107"/>
      <c r="BS86" s="1107"/>
      <c r="BT86" s="1107"/>
      <c r="BU86" s="1045"/>
    </row>
    <row r="87" spans="1:73" ht="17.45" customHeight="1">
      <c r="A87" s="1133"/>
      <c r="B87" s="1133"/>
      <c r="C87" s="1133"/>
      <c r="D87" s="1133"/>
      <c r="E87" s="1133"/>
      <c r="F87" s="1133"/>
      <c r="G87" s="1133"/>
      <c r="H87" s="1133"/>
      <c r="I87" s="1133"/>
      <c r="J87" s="1133"/>
      <c r="K87" s="1133"/>
      <c r="L87" s="1133"/>
      <c r="M87" s="1133"/>
      <c r="N87" s="1133"/>
      <c r="O87" s="1133"/>
      <c r="P87" s="1133"/>
      <c r="Q87" s="1133"/>
      <c r="R87" s="1133"/>
      <c r="S87" s="1133"/>
      <c r="T87" s="1133"/>
      <c r="U87" s="1133"/>
      <c r="V87" s="1133"/>
      <c r="W87" s="1224"/>
      <c r="X87" s="1224"/>
      <c r="Y87" s="1224"/>
      <c r="Z87" s="1224"/>
      <c r="AA87" s="1224"/>
      <c r="AB87" s="1224"/>
      <c r="AC87" s="1224"/>
      <c r="AD87" s="1224"/>
      <c r="AE87" s="1224"/>
      <c r="AF87" s="1224"/>
      <c r="AG87" s="1224"/>
      <c r="AH87" s="1224"/>
      <c r="AI87" s="1224"/>
      <c r="AJ87" s="1049"/>
      <c r="AK87" s="1049"/>
      <c r="AL87" s="1049"/>
      <c r="AM87" s="1049"/>
      <c r="AN87" s="1049"/>
      <c r="AO87" s="1049"/>
      <c r="AP87" s="1049"/>
      <c r="AQ87" s="1049"/>
      <c r="AR87" s="1049"/>
      <c r="AS87" s="1133"/>
      <c r="AT87" s="1048"/>
      <c r="AU87" s="1095" t="s">
        <v>982</v>
      </c>
      <c r="AV87" s="1049"/>
      <c r="AW87" s="1049"/>
      <c r="AX87" s="1049"/>
      <c r="AY87" s="1049"/>
      <c r="AZ87" s="1049"/>
      <c r="BA87" s="1049"/>
      <c r="BB87" s="1096"/>
      <c r="BC87" s="1048"/>
      <c r="BD87" s="1048"/>
      <c r="BE87" s="1048"/>
      <c r="BF87" s="1048"/>
      <c r="BG87" s="1048"/>
      <c r="BH87" s="1048"/>
      <c r="BI87" s="1048"/>
      <c r="BJ87" s="1048"/>
      <c r="BK87" s="1048"/>
      <c r="BL87" s="1048"/>
      <c r="BM87" s="1117" t="s">
        <v>829</v>
      </c>
      <c r="BN87" s="1119"/>
      <c r="BO87" s="1119"/>
      <c r="BP87" s="1120">
        <v>1.4E-2</v>
      </c>
      <c r="BQ87" s="1119"/>
      <c r="BR87" s="1121"/>
      <c r="BS87" s="1107"/>
      <c r="BT87" s="1107"/>
      <c r="BU87" s="1045"/>
    </row>
    <row r="88" spans="1:73" ht="17.45" customHeight="1">
      <c r="A88" s="1133"/>
      <c r="B88" s="1133"/>
      <c r="C88" s="1133"/>
      <c r="D88" s="1133"/>
      <c r="E88" s="1133"/>
      <c r="F88" s="1133"/>
      <c r="G88" s="1133"/>
      <c r="H88" s="1133"/>
      <c r="I88" s="1133"/>
      <c r="J88" s="1133"/>
      <c r="K88" s="1133"/>
      <c r="L88" s="1133"/>
      <c r="M88" s="1133"/>
      <c r="N88" s="1133"/>
      <c r="O88" s="1133"/>
      <c r="P88" s="1133"/>
      <c r="Q88" s="1133"/>
      <c r="R88" s="1133"/>
      <c r="S88" s="1133"/>
      <c r="T88" s="1133"/>
      <c r="U88" s="1133"/>
      <c r="V88" s="1133"/>
      <c r="W88" s="1224"/>
      <c r="X88" s="1224"/>
      <c r="Y88" s="1224"/>
      <c r="Z88" s="1224"/>
      <c r="AA88" s="1224"/>
      <c r="AB88" s="1224"/>
      <c r="AC88" s="1224"/>
      <c r="AD88" s="1224"/>
      <c r="AE88" s="1224"/>
      <c r="AF88" s="1224"/>
      <c r="AG88" s="1224"/>
      <c r="AH88" s="1224"/>
      <c r="AI88" s="1224"/>
      <c r="AJ88" s="1049"/>
      <c r="AK88" s="1049"/>
      <c r="AL88" s="1049"/>
      <c r="AM88" s="1049"/>
      <c r="AN88" s="1049"/>
      <c r="AO88" s="1049"/>
      <c r="AP88" s="1049"/>
      <c r="AQ88" s="1049"/>
      <c r="AR88" s="1049"/>
      <c r="AS88" s="1133"/>
      <c r="AT88" s="1048"/>
      <c r="AU88" s="1097"/>
      <c r="AV88" s="1049"/>
      <c r="AW88" s="1049"/>
      <c r="AX88" s="1049"/>
      <c r="AY88" s="1049"/>
      <c r="AZ88" s="1049"/>
      <c r="BA88" s="1049"/>
      <c r="BB88" s="1096"/>
      <c r="BC88" s="1048"/>
      <c r="BD88" s="1048"/>
      <c r="BE88" s="1048"/>
      <c r="BF88" s="1048"/>
      <c r="BG88" s="1048"/>
      <c r="BH88" s="1048"/>
      <c r="BI88" s="1048"/>
      <c r="BJ88" s="1048"/>
      <c r="BK88" s="1048"/>
      <c r="BL88" s="1048"/>
      <c r="BM88" s="1132" t="s">
        <v>849</v>
      </c>
      <c r="BN88" s="1123">
        <v>14.07414535651564</v>
      </c>
      <c r="BO88" s="1123">
        <v>13.352394312591757</v>
      </c>
      <c r="BP88" s="1123">
        <v>11.908892224743999</v>
      </c>
      <c r="BQ88" s="1123">
        <v>9.743639092972364</v>
      </c>
      <c r="BR88" s="1124">
        <v>9.743639092972364</v>
      </c>
      <c r="BS88" s="1107"/>
      <c r="BT88" s="1107"/>
      <c r="BU88" s="1045"/>
    </row>
    <row r="89" spans="1:73" ht="17.45" customHeight="1" thickBot="1">
      <c r="A89" s="1133"/>
      <c r="B89" s="1133"/>
      <c r="C89" s="1133"/>
      <c r="D89" s="1133"/>
      <c r="E89" s="1133"/>
      <c r="F89" s="1133"/>
      <c r="G89" s="1133"/>
      <c r="H89" s="1133"/>
      <c r="I89" s="1133"/>
      <c r="J89" s="1133"/>
      <c r="K89" s="1133"/>
      <c r="L89" s="1133"/>
      <c r="M89" s="1133"/>
      <c r="N89" s="1133"/>
      <c r="O89" s="1133"/>
      <c r="P89" s="1133"/>
      <c r="Q89" s="1133"/>
      <c r="R89" s="1133"/>
      <c r="S89" s="1133"/>
      <c r="T89" s="1133"/>
      <c r="U89" s="1133"/>
      <c r="V89" s="1133"/>
      <c r="W89" s="1224"/>
      <c r="X89" s="1224"/>
      <c r="Y89" s="1224"/>
      <c r="Z89" s="1224"/>
      <c r="AA89" s="1224"/>
      <c r="AB89" s="1224"/>
      <c r="AC89" s="1224"/>
      <c r="AD89" s="1224"/>
      <c r="AE89" s="1224"/>
      <c r="AF89" s="1224"/>
      <c r="AG89" s="1224"/>
      <c r="AH89" s="1224"/>
      <c r="AI89" s="1224"/>
      <c r="AJ89" s="1049"/>
      <c r="AK89" s="1049"/>
      <c r="AL89" s="1049"/>
      <c r="AM89" s="1049"/>
      <c r="AN89" s="1049"/>
      <c r="AO89" s="1049"/>
      <c r="AP89" s="1049"/>
      <c r="AQ89" s="1049"/>
      <c r="AR89" s="1049"/>
      <c r="AS89" s="1133"/>
      <c r="AT89" s="1048"/>
      <c r="AU89" s="1097" t="s">
        <v>901</v>
      </c>
      <c r="AV89" s="1049" t="s">
        <v>902</v>
      </c>
      <c r="AW89" s="1049"/>
      <c r="AX89" s="1049"/>
      <c r="AY89" s="1049"/>
      <c r="AZ89" s="1049"/>
      <c r="BA89" s="1049"/>
      <c r="BB89" s="1096"/>
      <c r="BC89" s="1048"/>
      <c r="BD89" s="1048"/>
      <c r="BE89" s="1048"/>
      <c r="BF89" s="1048"/>
      <c r="BG89" s="1048"/>
      <c r="BH89" s="1048"/>
      <c r="BI89" s="1048"/>
      <c r="BJ89" s="1048"/>
      <c r="BK89" s="1048"/>
      <c r="BL89" s="1048"/>
      <c r="BM89" s="1125" t="s">
        <v>831</v>
      </c>
      <c r="BN89" s="1126">
        <v>14.07414535651564</v>
      </c>
      <c r="BO89" s="1126">
        <v>13.352394312591757</v>
      </c>
      <c r="BP89" s="1126">
        <v>11.908892224743999</v>
      </c>
      <c r="BQ89" s="1126">
        <v>9.743639092972364</v>
      </c>
      <c r="BR89" s="1127">
        <v>9.743639092972364</v>
      </c>
      <c r="BS89" s="1107"/>
      <c r="BT89" s="1107"/>
      <c r="BU89" s="1045"/>
    </row>
    <row r="90" spans="1:73" ht="17.45" customHeight="1">
      <c r="A90" s="1133"/>
      <c r="B90" s="1133"/>
      <c r="C90" s="1133"/>
      <c r="D90" s="1133"/>
      <c r="E90" s="1133"/>
      <c r="F90" s="1133"/>
      <c r="G90" s="1133"/>
      <c r="H90" s="1133"/>
      <c r="I90" s="1133"/>
      <c r="J90" s="1133"/>
      <c r="K90" s="1133"/>
      <c r="L90" s="1133"/>
      <c r="M90" s="1133"/>
      <c r="N90" s="1133"/>
      <c r="O90" s="1133"/>
      <c r="P90" s="1133"/>
      <c r="Q90" s="1133"/>
      <c r="R90" s="1133"/>
      <c r="S90" s="1133"/>
      <c r="T90" s="1133"/>
      <c r="U90" s="1133"/>
      <c r="V90" s="1133"/>
      <c r="W90" s="1224"/>
      <c r="X90" s="1224"/>
      <c r="Y90" s="1224"/>
      <c r="Z90" s="1224"/>
      <c r="AA90" s="1224"/>
      <c r="AB90" s="1224"/>
      <c r="AC90" s="1224"/>
      <c r="AD90" s="1224"/>
      <c r="AE90" s="1224"/>
      <c r="AF90" s="1224"/>
      <c r="AG90" s="1224"/>
      <c r="AH90" s="1224"/>
      <c r="AI90" s="1224"/>
      <c r="AJ90" s="1049"/>
      <c r="AK90" s="1049"/>
      <c r="AL90" s="1049"/>
      <c r="AM90" s="1049"/>
      <c r="AN90" s="1049"/>
      <c r="AO90" s="1049"/>
      <c r="AP90" s="1049"/>
      <c r="AQ90" s="1049"/>
      <c r="AR90" s="1049"/>
      <c r="AS90" s="1133"/>
      <c r="AT90" s="1048"/>
      <c r="AU90" s="1097"/>
      <c r="AV90" s="1049"/>
      <c r="AW90" s="1049"/>
      <c r="AX90" s="1049"/>
      <c r="AY90" s="1049"/>
      <c r="AZ90" s="1049"/>
      <c r="BA90" s="1049"/>
      <c r="BB90" s="1096"/>
      <c r="BC90" s="1048"/>
      <c r="BD90" s="1048"/>
      <c r="BE90" s="1048"/>
      <c r="BF90" s="1048"/>
      <c r="BG90" s="1048"/>
      <c r="BH90" s="1048"/>
      <c r="BI90" s="1048"/>
      <c r="BJ90" s="1048"/>
      <c r="BK90" s="1048"/>
      <c r="BL90" s="1048"/>
      <c r="BM90" s="1117" t="s">
        <v>829</v>
      </c>
      <c r="BN90" s="1119"/>
      <c r="BO90" s="1119"/>
      <c r="BP90" s="1120">
        <v>1.4E-2</v>
      </c>
      <c r="BQ90" s="1119"/>
      <c r="BR90" s="1121"/>
      <c r="BS90" s="1107"/>
      <c r="BT90" s="1107"/>
      <c r="BU90" s="1045"/>
    </row>
    <row r="91" spans="1:73" ht="17.45" customHeight="1">
      <c r="A91" s="1133"/>
      <c r="B91" s="1133"/>
      <c r="C91" s="1133"/>
      <c r="D91" s="1133"/>
      <c r="E91" s="1133"/>
      <c r="F91" s="1133"/>
      <c r="G91" s="1133"/>
      <c r="H91" s="1133"/>
      <c r="I91" s="1133"/>
      <c r="J91" s="1133"/>
      <c r="K91" s="1133"/>
      <c r="L91" s="1133"/>
      <c r="M91" s="1133"/>
      <c r="N91" s="1133"/>
      <c r="O91" s="1133"/>
      <c r="P91" s="1133"/>
      <c r="Q91" s="1133"/>
      <c r="R91" s="1133"/>
      <c r="S91" s="1133"/>
      <c r="T91" s="1133"/>
      <c r="U91" s="1133"/>
      <c r="V91" s="1133"/>
      <c r="W91" s="1224"/>
      <c r="X91" s="1224"/>
      <c r="Y91" s="1224"/>
      <c r="Z91" s="1224"/>
      <c r="AA91" s="1224"/>
      <c r="AB91" s="1224"/>
      <c r="AC91" s="1224"/>
      <c r="AD91" s="1224"/>
      <c r="AE91" s="1224"/>
      <c r="AF91" s="1224"/>
      <c r="AG91" s="1224"/>
      <c r="AH91" s="1224"/>
      <c r="AI91" s="1224"/>
      <c r="AJ91" s="1049"/>
      <c r="AK91" s="1049"/>
      <c r="AL91" s="1049"/>
      <c r="AM91" s="1049"/>
      <c r="AN91" s="1049"/>
      <c r="AO91" s="1049"/>
      <c r="AP91" s="1049"/>
      <c r="AQ91" s="1049"/>
      <c r="AR91" s="1049"/>
      <c r="AS91" s="1133"/>
      <c r="AT91" s="1048"/>
      <c r="AU91" s="1097" t="s">
        <v>903</v>
      </c>
      <c r="AV91" s="1049" t="s">
        <v>904</v>
      </c>
      <c r="AW91" s="1049"/>
      <c r="AX91" s="1049"/>
      <c r="AY91" s="1049"/>
      <c r="AZ91" s="1049"/>
      <c r="BA91" s="1049"/>
      <c r="BB91" s="1096"/>
      <c r="BC91" s="1048"/>
      <c r="BD91" s="1048"/>
      <c r="BE91" s="1048"/>
      <c r="BF91" s="1048"/>
      <c r="BG91" s="1048"/>
      <c r="BH91" s="1048"/>
      <c r="BI91" s="1048"/>
      <c r="BJ91" s="1048"/>
      <c r="BK91" s="1048"/>
      <c r="BL91" s="1048"/>
      <c r="BM91" s="1132" t="s">
        <v>850</v>
      </c>
      <c r="BN91" s="1123">
        <v>13.87710732152442</v>
      </c>
      <c r="BO91" s="1123">
        <v>13.165460792215473</v>
      </c>
      <c r="BP91" s="1123">
        <v>11.742167733597583</v>
      </c>
      <c r="BQ91" s="1123">
        <v>9.6072281456707511</v>
      </c>
      <c r="BR91" s="1124">
        <v>9.6072281456707511</v>
      </c>
      <c r="BS91" s="1107"/>
      <c r="BT91" s="1107"/>
      <c r="BU91" s="1045"/>
    </row>
    <row r="92" spans="1:73" ht="17.45" customHeight="1" thickBot="1">
      <c r="A92" s="1133"/>
      <c r="B92" s="1133"/>
      <c r="C92" s="1133"/>
      <c r="D92" s="1133"/>
      <c r="E92" s="1133"/>
      <c r="F92" s="1133"/>
      <c r="G92" s="1133"/>
      <c r="H92" s="1133"/>
      <c r="I92" s="1133"/>
      <c r="J92" s="1133"/>
      <c r="K92" s="1133"/>
      <c r="L92" s="1133"/>
      <c r="M92" s="1133"/>
      <c r="N92" s="1133"/>
      <c r="O92" s="1133"/>
      <c r="P92" s="1133"/>
      <c r="Q92" s="1133"/>
      <c r="R92" s="1133"/>
      <c r="S92" s="1133"/>
      <c r="T92" s="1133"/>
      <c r="U92" s="1133"/>
      <c r="V92" s="1133"/>
      <c r="W92" s="1224"/>
      <c r="X92" s="1224"/>
      <c r="Y92" s="1224"/>
      <c r="Z92" s="1224"/>
      <c r="AA92" s="1224"/>
      <c r="AB92" s="1224"/>
      <c r="AC92" s="1224"/>
      <c r="AD92" s="1224"/>
      <c r="AE92" s="1224"/>
      <c r="AF92" s="1224"/>
      <c r="AG92" s="1224"/>
      <c r="AH92" s="1224"/>
      <c r="AI92" s="1224"/>
      <c r="AJ92" s="1049"/>
      <c r="AK92" s="1049"/>
      <c r="AL92" s="1049"/>
      <c r="AM92" s="1049"/>
      <c r="AN92" s="1049"/>
      <c r="AO92" s="1049"/>
      <c r="AP92" s="1049"/>
      <c r="AQ92" s="1049"/>
      <c r="AR92" s="1049"/>
      <c r="AS92" s="1133"/>
      <c r="AT92" s="1048"/>
      <c r="AU92" s="1097"/>
      <c r="AV92" s="1049"/>
      <c r="AW92" s="1049"/>
      <c r="AX92" s="1049"/>
      <c r="AY92" s="1049"/>
      <c r="AZ92" s="1049"/>
      <c r="BA92" s="1049"/>
      <c r="BB92" s="1096"/>
      <c r="BC92" s="1048"/>
      <c r="BD92" s="1048"/>
      <c r="BE92" s="1048"/>
      <c r="BF92" s="1048"/>
      <c r="BG92" s="1048"/>
      <c r="BH92" s="1048"/>
      <c r="BI92" s="1048"/>
      <c r="BJ92" s="1048"/>
      <c r="BK92" s="1048"/>
      <c r="BL92" s="1048"/>
      <c r="BM92" s="1125" t="s">
        <v>831</v>
      </c>
      <c r="BN92" s="1126">
        <v>13.87710732152442</v>
      </c>
      <c r="BO92" s="1126">
        <v>13.165460792215473</v>
      </c>
      <c r="BP92" s="1126">
        <v>11.742167733597583</v>
      </c>
      <c r="BQ92" s="1126">
        <v>9.6072281456707511</v>
      </c>
      <c r="BR92" s="1127">
        <v>9.6072281456707511</v>
      </c>
      <c r="BS92" s="1107"/>
      <c r="BT92" s="1107"/>
      <c r="BU92" s="1045"/>
    </row>
    <row r="93" spans="1:73" ht="17.45" customHeight="1">
      <c r="A93" s="1133"/>
      <c r="B93" s="1133"/>
      <c r="C93" s="1133"/>
      <c r="D93" s="1133"/>
      <c r="E93" s="1133"/>
      <c r="F93" s="1133"/>
      <c r="G93" s="1133"/>
      <c r="H93" s="1133"/>
      <c r="I93" s="1133"/>
      <c r="J93" s="1133"/>
      <c r="K93" s="1133"/>
      <c r="L93" s="1133"/>
      <c r="M93" s="1133"/>
      <c r="N93" s="1133"/>
      <c r="O93" s="1133"/>
      <c r="P93" s="1133"/>
      <c r="Q93" s="1133"/>
      <c r="R93" s="1133"/>
      <c r="S93" s="1133"/>
      <c r="T93" s="1133"/>
      <c r="U93" s="1133"/>
      <c r="V93" s="1133"/>
      <c r="W93" s="1224"/>
      <c r="X93" s="1224"/>
      <c r="Y93" s="1224"/>
      <c r="Z93" s="1224"/>
      <c r="AA93" s="1224"/>
      <c r="AB93" s="1224"/>
      <c r="AC93" s="1224"/>
      <c r="AD93" s="1224"/>
      <c r="AE93" s="1224"/>
      <c r="AF93" s="1224"/>
      <c r="AG93" s="1224"/>
      <c r="AH93" s="1224"/>
      <c r="AI93" s="1224"/>
      <c r="AJ93" s="1049"/>
      <c r="AK93" s="1049"/>
      <c r="AL93" s="1049"/>
      <c r="AM93" s="1049"/>
      <c r="AN93" s="1049"/>
      <c r="AO93" s="1049"/>
      <c r="AP93" s="1049"/>
      <c r="AQ93" s="1049"/>
      <c r="AR93" s="1049"/>
      <c r="AS93" s="1133"/>
      <c r="AT93" s="1048"/>
      <c r="AU93" s="1097" t="s">
        <v>905</v>
      </c>
      <c r="AV93" s="1049" t="s">
        <v>906</v>
      </c>
      <c r="AW93" s="1049"/>
      <c r="AX93" s="1049"/>
      <c r="AY93" s="1049"/>
      <c r="AZ93" s="1049"/>
      <c r="BA93" s="1049"/>
      <c r="BB93" s="1096"/>
      <c r="BC93" s="1048"/>
      <c r="BD93" s="1048"/>
      <c r="BE93" s="1048"/>
      <c r="BF93" s="1048"/>
      <c r="BG93" s="1048"/>
      <c r="BH93" s="1048"/>
      <c r="BI93" s="1048"/>
      <c r="BJ93" s="1048"/>
      <c r="BK93" s="1048"/>
      <c r="BL93" s="1048"/>
      <c r="BM93" s="1117" t="s">
        <v>829</v>
      </c>
      <c r="BN93" s="1119"/>
      <c r="BO93" s="1119"/>
      <c r="BP93" s="1120">
        <v>1.4E-2</v>
      </c>
      <c r="BQ93" s="1119"/>
      <c r="BR93" s="1121"/>
      <c r="BS93" s="1107"/>
      <c r="BT93" s="1107"/>
      <c r="BU93" s="1045"/>
    </row>
    <row r="94" spans="1:73" ht="17.45" customHeight="1">
      <c r="A94" s="1133"/>
      <c r="B94" s="1133"/>
      <c r="C94" s="1133"/>
      <c r="D94" s="1133"/>
      <c r="E94" s="1133"/>
      <c r="F94" s="1133"/>
      <c r="G94" s="1133"/>
      <c r="H94" s="1133"/>
      <c r="I94" s="1133"/>
      <c r="J94" s="1133"/>
      <c r="K94" s="1133"/>
      <c r="L94" s="1133"/>
      <c r="M94" s="1133"/>
      <c r="N94" s="1133"/>
      <c r="O94" s="1133"/>
      <c r="P94" s="1133"/>
      <c r="Q94" s="1133"/>
      <c r="R94" s="1133"/>
      <c r="S94" s="1133"/>
      <c r="T94" s="1133"/>
      <c r="U94" s="1133"/>
      <c r="V94" s="1133"/>
      <c r="W94" s="1224"/>
      <c r="X94" s="1224"/>
      <c r="Y94" s="1224"/>
      <c r="Z94" s="1224"/>
      <c r="AA94" s="1224"/>
      <c r="AB94" s="1224"/>
      <c r="AC94" s="1224"/>
      <c r="AD94" s="1224"/>
      <c r="AE94" s="1224"/>
      <c r="AF94" s="1224"/>
      <c r="AG94" s="1224"/>
      <c r="AH94" s="1224"/>
      <c r="AI94" s="1224"/>
      <c r="AJ94" s="1098"/>
      <c r="AK94" s="1098"/>
      <c r="AL94" s="1098"/>
      <c r="AM94" s="1098"/>
      <c r="AN94" s="1098"/>
      <c r="AO94" s="1098"/>
      <c r="AP94" s="1098"/>
      <c r="AQ94" s="1098"/>
      <c r="AR94" s="1098"/>
      <c r="AS94" s="1133"/>
      <c r="AT94" s="1048"/>
      <c r="AU94" s="1097"/>
      <c r="AV94" s="1098" t="s">
        <v>907</v>
      </c>
      <c r="AW94" s="1049"/>
      <c r="AX94" s="1049"/>
      <c r="AY94" s="1049"/>
      <c r="AZ94" s="1049"/>
      <c r="BA94" s="1049"/>
      <c r="BB94" s="1096"/>
      <c r="BC94" s="1048"/>
      <c r="BD94" s="1048"/>
      <c r="BE94" s="1048"/>
      <c r="BF94" s="1048"/>
      <c r="BG94" s="1048"/>
      <c r="BH94" s="1048"/>
      <c r="BI94" s="1048"/>
      <c r="BJ94" s="1048"/>
      <c r="BK94" s="1048"/>
      <c r="BL94" s="1048"/>
      <c r="BM94" s="1132" t="s">
        <v>851</v>
      </c>
      <c r="BN94" s="1123">
        <v>13.682827819023078</v>
      </c>
      <c r="BO94" s="1123">
        <v>12.981144341124457</v>
      </c>
      <c r="BP94" s="1123">
        <v>11.577777385327217</v>
      </c>
      <c r="BQ94" s="1123">
        <v>9.4727269516313601</v>
      </c>
      <c r="BR94" s="1124">
        <v>9.4727269516313601</v>
      </c>
      <c r="BS94" s="1107"/>
      <c r="BT94" s="1107"/>
      <c r="BU94" s="1045"/>
    </row>
    <row r="95" spans="1:73" ht="17.45" customHeight="1" thickBot="1">
      <c r="A95" s="1133"/>
      <c r="B95" s="1133"/>
      <c r="C95" s="1133"/>
      <c r="D95" s="1133"/>
      <c r="E95" s="1133"/>
      <c r="F95" s="1133"/>
      <c r="G95" s="1133"/>
      <c r="H95" s="1133"/>
      <c r="I95" s="1133"/>
      <c r="J95" s="1133"/>
      <c r="K95" s="1133"/>
      <c r="L95" s="1133"/>
      <c r="M95" s="1133"/>
      <c r="N95" s="1133"/>
      <c r="O95" s="1133"/>
      <c r="P95" s="1133"/>
      <c r="Q95" s="1133"/>
      <c r="R95" s="1133"/>
      <c r="S95" s="1133"/>
      <c r="T95" s="1133"/>
      <c r="U95" s="1133"/>
      <c r="V95" s="1133"/>
      <c r="W95" s="1224"/>
      <c r="X95" s="1224"/>
      <c r="Y95" s="1224"/>
      <c r="Z95" s="1224"/>
      <c r="AA95" s="1224"/>
      <c r="AB95" s="1224"/>
      <c r="AC95" s="1224"/>
      <c r="AD95" s="1224"/>
      <c r="AE95" s="1224"/>
      <c r="AF95" s="1224"/>
      <c r="AG95" s="1224"/>
      <c r="AH95" s="1224"/>
      <c r="AI95" s="1224"/>
      <c r="AJ95" s="1098"/>
      <c r="AK95" s="1098"/>
      <c r="AL95" s="1098"/>
      <c r="AM95" s="1098"/>
      <c r="AN95" s="1098"/>
      <c r="AO95" s="1098"/>
      <c r="AP95" s="1098"/>
      <c r="AQ95" s="1098"/>
      <c r="AR95" s="1098"/>
      <c r="AS95" s="1133"/>
      <c r="AT95" s="1048"/>
      <c r="AU95" s="1097"/>
      <c r="AV95" s="1098"/>
      <c r="AW95" s="1049"/>
      <c r="AX95" s="1049"/>
      <c r="AY95" s="1049"/>
      <c r="AZ95" s="1049"/>
      <c r="BA95" s="1049"/>
      <c r="BB95" s="1096"/>
      <c r="BC95" s="1048"/>
      <c r="BD95" s="1048"/>
      <c r="BE95" s="1048"/>
      <c r="BF95" s="1048"/>
      <c r="BG95" s="1048"/>
      <c r="BH95" s="1048"/>
      <c r="BI95" s="1048"/>
      <c r="BJ95" s="1048"/>
      <c r="BK95" s="1048"/>
      <c r="BL95" s="1048"/>
      <c r="BM95" s="1125" t="s">
        <v>831</v>
      </c>
      <c r="BN95" s="1126">
        <v>13.682827819023078</v>
      </c>
      <c r="BO95" s="1126">
        <v>12.981144341124457</v>
      </c>
      <c r="BP95" s="1126">
        <v>11.577777385327217</v>
      </c>
      <c r="BQ95" s="1126">
        <v>9.4727269516313601</v>
      </c>
      <c r="BR95" s="1127">
        <v>9.4727269516313601</v>
      </c>
      <c r="BS95" s="1107"/>
      <c r="BT95" s="1107"/>
      <c r="BU95" s="1045"/>
    </row>
    <row r="96" spans="1:73" ht="17.45" customHeight="1" thickBot="1">
      <c r="A96" s="1133"/>
      <c r="B96" s="1133"/>
      <c r="C96" s="1133"/>
      <c r="D96" s="1133"/>
      <c r="E96" s="1133"/>
      <c r="F96" s="1133"/>
      <c r="G96" s="1133"/>
      <c r="H96" s="1133"/>
      <c r="I96" s="1133"/>
      <c r="J96" s="1133"/>
      <c r="K96" s="1133"/>
      <c r="L96" s="1133"/>
      <c r="M96" s="1133"/>
      <c r="N96" s="1133"/>
      <c r="O96" s="1133"/>
      <c r="P96" s="1133"/>
      <c r="Q96" s="1133"/>
      <c r="R96" s="1133"/>
      <c r="S96" s="1133"/>
      <c r="T96" s="1133"/>
      <c r="U96" s="1133"/>
      <c r="V96" s="1133"/>
      <c r="W96" s="1224"/>
      <c r="X96" s="1224"/>
      <c r="Y96" s="1224"/>
      <c r="Z96" s="1224"/>
      <c r="AA96" s="1224"/>
      <c r="AB96" s="1224"/>
      <c r="AC96" s="1224"/>
      <c r="AD96" s="1224"/>
      <c r="AE96" s="1224"/>
      <c r="AF96" s="1224"/>
      <c r="AG96" s="1224"/>
      <c r="AH96" s="1224"/>
      <c r="AI96" s="1224"/>
      <c r="AJ96" s="1049"/>
      <c r="AK96" s="1049"/>
      <c r="AL96" s="1049"/>
      <c r="AM96" s="1049"/>
      <c r="AN96" s="1049"/>
      <c r="AO96" s="1049"/>
      <c r="AP96" s="1049"/>
      <c r="AQ96" s="1049"/>
      <c r="AR96" s="1049"/>
      <c r="AS96" s="1133"/>
      <c r="AT96" s="1048"/>
      <c r="AU96" s="1097" t="s">
        <v>908</v>
      </c>
      <c r="AV96" s="1049" t="s">
        <v>909</v>
      </c>
      <c r="AW96" s="1049"/>
      <c r="AX96" s="1049"/>
      <c r="AY96" s="1049"/>
      <c r="AZ96" s="1049"/>
      <c r="BA96" s="1049"/>
      <c r="BB96" s="1096"/>
      <c r="BC96" s="1048"/>
      <c r="BD96" s="1048"/>
      <c r="BE96" s="1048"/>
      <c r="BF96" s="1048"/>
      <c r="BG96" s="1048"/>
      <c r="BH96" s="1048"/>
      <c r="BI96" s="1048"/>
      <c r="BJ96" s="1048"/>
      <c r="BK96" s="1048"/>
      <c r="BL96" s="1048"/>
      <c r="BM96" s="1107"/>
      <c r="BN96" s="1107"/>
      <c r="BO96" s="1107"/>
      <c r="BP96" s="1107"/>
      <c r="BQ96" s="1107"/>
      <c r="BR96" s="1107"/>
      <c r="BS96" s="1107"/>
      <c r="BT96" s="1107"/>
      <c r="BU96" s="1045"/>
    </row>
    <row r="97" spans="1:73" ht="17.45" customHeight="1">
      <c r="A97" s="1133"/>
      <c r="B97" s="1133"/>
      <c r="C97" s="1133"/>
      <c r="D97" s="1133"/>
      <c r="E97" s="1133"/>
      <c r="F97" s="1133"/>
      <c r="G97" s="1133"/>
      <c r="H97" s="1133"/>
      <c r="I97" s="1133"/>
      <c r="J97" s="1133"/>
      <c r="K97" s="1133"/>
      <c r="L97" s="1133"/>
      <c r="M97" s="1133"/>
      <c r="N97" s="1133"/>
      <c r="O97" s="1133"/>
      <c r="P97" s="1133"/>
      <c r="Q97" s="1133"/>
      <c r="R97" s="1133"/>
      <c r="S97" s="1133"/>
      <c r="T97" s="1133"/>
      <c r="U97" s="1133"/>
      <c r="V97" s="1133"/>
      <c r="W97" s="1224"/>
      <c r="X97" s="1224"/>
      <c r="Y97" s="1224"/>
      <c r="Z97" s="1224"/>
      <c r="AA97" s="1224"/>
      <c r="AB97" s="1224"/>
      <c r="AC97" s="1224"/>
      <c r="AD97" s="1224"/>
      <c r="AE97" s="1224"/>
      <c r="AF97" s="1224"/>
      <c r="AG97" s="1224"/>
      <c r="AH97" s="1224"/>
      <c r="AI97" s="1224"/>
      <c r="AJ97" s="1049"/>
      <c r="AK97" s="1049"/>
      <c r="AL97" s="1049"/>
      <c r="AM97" s="1049"/>
      <c r="AN97" s="1049"/>
      <c r="AO97" s="1049"/>
      <c r="AP97" s="1049"/>
      <c r="AQ97" s="1049"/>
      <c r="AR97" s="1049"/>
      <c r="AS97" s="1133"/>
      <c r="AT97" s="1048"/>
      <c r="AU97" s="1097" t="s">
        <v>910</v>
      </c>
      <c r="AV97" s="1049" t="s">
        <v>911</v>
      </c>
      <c r="AW97" s="1049"/>
      <c r="AX97" s="1049"/>
      <c r="AY97" s="1049"/>
      <c r="AZ97" s="1049"/>
      <c r="BA97" s="1049"/>
      <c r="BB97" s="1096"/>
      <c r="BC97" s="1048"/>
      <c r="BD97" s="1048"/>
      <c r="BE97" s="1048"/>
      <c r="BF97" s="1048"/>
      <c r="BG97" s="1048"/>
      <c r="BH97" s="1048"/>
      <c r="BI97" s="1048"/>
      <c r="BJ97" s="1048"/>
      <c r="BK97" s="1048"/>
      <c r="BL97" s="1048"/>
      <c r="BM97" s="1117" t="s">
        <v>829</v>
      </c>
      <c r="BN97" s="1119"/>
      <c r="BO97" s="1119"/>
      <c r="BP97" s="1120">
        <v>0.01</v>
      </c>
      <c r="BQ97" s="1119"/>
      <c r="BR97" s="1121"/>
      <c r="BS97" s="1107"/>
      <c r="BT97" s="1107"/>
      <c r="BU97" s="1045"/>
    </row>
    <row r="98" spans="1:73" ht="17.45" customHeight="1">
      <c r="A98" s="1133"/>
      <c r="B98" s="1133"/>
      <c r="C98" s="1133"/>
      <c r="D98" s="1133"/>
      <c r="E98" s="1133"/>
      <c r="F98" s="1133"/>
      <c r="G98" s="1133"/>
      <c r="H98" s="1133"/>
      <c r="I98" s="1133"/>
      <c r="J98" s="1133"/>
      <c r="K98" s="1133"/>
      <c r="L98" s="1133"/>
      <c r="M98" s="1133"/>
      <c r="N98" s="1133"/>
      <c r="O98" s="1133"/>
      <c r="P98" s="1133"/>
      <c r="Q98" s="1133"/>
      <c r="R98" s="1133"/>
      <c r="S98" s="1133"/>
      <c r="T98" s="1133"/>
      <c r="U98" s="1133"/>
      <c r="V98" s="1133"/>
      <c r="W98" s="1224"/>
      <c r="X98" s="1224"/>
      <c r="Y98" s="1224"/>
      <c r="Z98" s="1224"/>
      <c r="AA98" s="1224"/>
      <c r="AB98" s="1224"/>
      <c r="AC98" s="1224"/>
      <c r="AD98" s="1224"/>
      <c r="AE98" s="1224"/>
      <c r="AF98" s="1224"/>
      <c r="AG98" s="1224"/>
      <c r="AH98" s="1224"/>
      <c r="AI98" s="1224"/>
      <c r="AJ98" s="1049"/>
      <c r="AK98" s="1049"/>
      <c r="AL98" s="1049"/>
      <c r="AM98" s="1049"/>
      <c r="AN98" s="1049"/>
      <c r="AO98" s="1049"/>
      <c r="AP98" s="1049"/>
      <c r="AQ98" s="1049"/>
      <c r="AR98" s="1049"/>
      <c r="AS98" s="1133"/>
      <c r="AT98" s="1048"/>
      <c r="AU98" s="1097"/>
      <c r="AV98" s="1049" t="s">
        <v>912</v>
      </c>
      <c r="AW98" s="1049"/>
      <c r="AX98" s="1049"/>
      <c r="AY98" s="1049"/>
      <c r="AZ98" s="1049"/>
      <c r="BA98" s="1049"/>
      <c r="BB98" s="1096"/>
      <c r="BC98" s="1048"/>
      <c r="BD98" s="1048"/>
      <c r="BE98" s="1048"/>
      <c r="BF98" s="1048"/>
      <c r="BG98" s="1048"/>
      <c r="BH98" s="1048"/>
      <c r="BI98" s="1048"/>
      <c r="BJ98" s="1048"/>
      <c r="BK98" s="1048"/>
      <c r="BL98" s="1048"/>
      <c r="BM98" s="1132" t="s">
        <v>852</v>
      </c>
      <c r="BN98" s="1123">
        <v>13.545999540832847</v>
      </c>
      <c r="BO98" s="1123">
        <v>12.851332897713213</v>
      </c>
      <c r="BP98" s="1123">
        <v>11.461999611473944</v>
      </c>
      <c r="BQ98" s="1123">
        <v>9.3779996821150462</v>
      </c>
      <c r="BR98" s="1124">
        <v>9.3779996821150462</v>
      </c>
      <c r="BS98" s="1107"/>
      <c r="BT98" s="1107"/>
      <c r="BU98" s="1045"/>
    </row>
    <row r="99" spans="1:73" ht="17.45" customHeight="1" thickBot="1">
      <c r="A99" s="1133"/>
      <c r="B99" s="1133"/>
      <c r="C99" s="1133"/>
      <c r="D99" s="1133"/>
      <c r="E99" s="1133"/>
      <c r="F99" s="1133"/>
      <c r="G99" s="1133"/>
      <c r="H99" s="1133"/>
      <c r="I99" s="1133"/>
      <c r="J99" s="1133"/>
      <c r="K99" s="1133"/>
      <c r="L99" s="1133"/>
      <c r="M99" s="1133"/>
      <c r="N99" s="1133"/>
      <c r="O99" s="1133"/>
      <c r="P99" s="1133"/>
      <c r="Q99" s="1133"/>
      <c r="R99" s="1133"/>
      <c r="S99" s="1133"/>
      <c r="T99" s="1133"/>
      <c r="U99" s="1133"/>
      <c r="V99" s="1133"/>
      <c r="W99" s="1224"/>
      <c r="X99" s="1224"/>
      <c r="Y99" s="1224"/>
      <c r="Z99" s="1224"/>
      <c r="AA99" s="1224"/>
      <c r="AB99" s="1224"/>
      <c r="AC99" s="1224"/>
      <c r="AD99" s="1224"/>
      <c r="AE99" s="1224"/>
      <c r="AF99" s="1224"/>
      <c r="AG99" s="1224"/>
      <c r="AH99" s="1224"/>
      <c r="AI99" s="1224"/>
      <c r="AJ99" s="1049"/>
      <c r="AK99" s="1049"/>
      <c r="AL99" s="1049"/>
      <c r="AM99" s="1049"/>
      <c r="AN99" s="1049"/>
      <c r="AO99" s="1049"/>
      <c r="AP99" s="1049"/>
      <c r="AQ99" s="1049"/>
      <c r="AR99" s="1049"/>
      <c r="AS99" s="1133"/>
      <c r="AT99" s="1048"/>
      <c r="AU99" s="1097" t="s">
        <v>913</v>
      </c>
      <c r="AV99" s="1049" t="s">
        <v>914</v>
      </c>
      <c r="AW99" s="1049"/>
      <c r="AX99" s="1049"/>
      <c r="AY99" s="1049"/>
      <c r="AZ99" s="1049"/>
      <c r="BA99" s="1049"/>
      <c r="BB99" s="1096"/>
      <c r="BC99" s="1048"/>
      <c r="BD99" s="1048"/>
      <c r="BE99" s="1048"/>
      <c r="BF99" s="1048"/>
      <c r="BG99" s="1048"/>
      <c r="BH99" s="1048"/>
      <c r="BI99" s="1048"/>
      <c r="BJ99" s="1048"/>
      <c r="BK99" s="1048"/>
      <c r="BL99" s="1048"/>
      <c r="BM99" s="1125" t="s">
        <v>831</v>
      </c>
      <c r="BN99" s="1126">
        <v>13.545999540832847</v>
      </c>
      <c r="BO99" s="1126">
        <v>12.851332897713213</v>
      </c>
      <c r="BP99" s="1126">
        <v>11.461999611473944</v>
      </c>
      <c r="BQ99" s="1126">
        <v>9.3779996821150462</v>
      </c>
      <c r="BR99" s="1127">
        <v>9.3779996821150462</v>
      </c>
      <c r="BS99" s="1107"/>
      <c r="BT99" s="1107"/>
      <c r="BU99" s="1045"/>
    </row>
    <row r="100" spans="1:73" ht="17.45" customHeight="1">
      <c r="A100" s="1133"/>
      <c r="B100" s="1133"/>
      <c r="C100" s="1133"/>
      <c r="D100" s="1133"/>
      <c r="E100" s="1133"/>
      <c r="F100" s="1133"/>
      <c r="G100" s="1133"/>
      <c r="H100" s="1133"/>
      <c r="I100" s="1133"/>
      <c r="J100" s="1133"/>
      <c r="K100" s="1133"/>
      <c r="L100" s="1133"/>
      <c r="M100" s="1133"/>
      <c r="N100" s="1133"/>
      <c r="O100" s="1133"/>
      <c r="P100" s="1133"/>
      <c r="Q100" s="1133"/>
      <c r="R100" s="1133"/>
      <c r="S100" s="1133"/>
      <c r="T100" s="1133"/>
      <c r="U100" s="1133"/>
      <c r="V100" s="1133"/>
      <c r="W100" s="1224"/>
      <c r="X100" s="1224"/>
      <c r="Y100" s="1224"/>
      <c r="Z100" s="1224"/>
      <c r="AA100" s="1224"/>
      <c r="AB100" s="1224"/>
      <c r="AC100" s="1224"/>
      <c r="AD100" s="1224"/>
      <c r="AE100" s="1224"/>
      <c r="AF100" s="1224"/>
      <c r="AG100" s="1224"/>
      <c r="AH100" s="1224"/>
      <c r="AI100" s="1224"/>
      <c r="AJ100" s="1049"/>
      <c r="AK100" s="1049"/>
      <c r="AL100" s="1049"/>
      <c r="AM100" s="1049"/>
      <c r="AN100" s="1049"/>
      <c r="AO100" s="1049"/>
      <c r="AP100" s="1049"/>
      <c r="AQ100" s="1049"/>
      <c r="AR100" s="1049"/>
      <c r="AS100" s="1133"/>
      <c r="AT100" s="1048"/>
      <c r="AU100" s="1097"/>
      <c r="AV100" s="1049"/>
      <c r="AW100" s="1098" t="s">
        <v>915</v>
      </c>
      <c r="AX100" s="1098"/>
      <c r="AY100" s="1099">
        <v>0.01</v>
      </c>
      <c r="AZ100" s="1049"/>
      <c r="BA100" s="1049"/>
      <c r="BB100" s="1096"/>
      <c r="BC100" s="1048"/>
      <c r="BD100" s="1048"/>
      <c r="BE100" s="1048"/>
      <c r="BF100" s="1048"/>
      <c r="BG100" s="1048"/>
      <c r="BH100" s="1048"/>
      <c r="BI100" s="1048"/>
      <c r="BJ100" s="1048"/>
      <c r="BK100" s="1048"/>
      <c r="BL100" s="1048"/>
      <c r="BM100" s="1117" t="s">
        <v>829</v>
      </c>
      <c r="BN100" s="1119"/>
      <c r="BO100" s="1119"/>
      <c r="BP100" s="1120">
        <v>0.01</v>
      </c>
      <c r="BQ100" s="1119"/>
      <c r="BR100" s="1121"/>
      <c r="BS100" s="1107"/>
      <c r="BT100" s="1107"/>
      <c r="BU100" s="1045"/>
    </row>
    <row r="101" spans="1:73" ht="17.45" customHeight="1">
      <c r="A101" s="1133"/>
      <c r="B101" s="1133"/>
      <c r="C101" s="1133"/>
      <c r="D101" s="1133"/>
      <c r="E101" s="1133"/>
      <c r="F101" s="1133"/>
      <c r="G101" s="1133"/>
      <c r="H101" s="1133"/>
      <c r="I101" s="1133"/>
      <c r="J101" s="1133"/>
      <c r="K101" s="1133"/>
      <c r="L101" s="1133"/>
      <c r="M101" s="1133"/>
      <c r="N101" s="1133"/>
      <c r="O101" s="1133"/>
      <c r="P101" s="1133"/>
      <c r="Q101" s="1133"/>
      <c r="R101" s="1133"/>
      <c r="S101" s="1133"/>
      <c r="T101" s="1133"/>
      <c r="U101" s="1133"/>
      <c r="V101" s="1133"/>
      <c r="W101" s="1224"/>
      <c r="X101" s="1224"/>
      <c r="Y101" s="1224"/>
      <c r="Z101" s="1224"/>
      <c r="AA101" s="1224"/>
      <c r="AB101" s="1224"/>
      <c r="AC101" s="1224"/>
      <c r="AD101" s="1224"/>
      <c r="AE101" s="1224"/>
      <c r="AF101" s="1224"/>
      <c r="AG101" s="1224"/>
      <c r="AH101" s="1224"/>
      <c r="AI101" s="1224"/>
      <c r="AJ101" s="1049"/>
      <c r="AK101" s="1049"/>
      <c r="AL101" s="1049"/>
      <c r="AM101" s="1049"/>
      <c r="AN101" s="1049"/>
      <c r="AO101" s="1049"/>
      <c r="AP101" s="1049"/>
      <c r="AQ101" s="1049"/>
      <c r="AR101" s="1049"/>
      <c r="AS101" s="1133"/>
      <c r="AT101" s="1048"/>
      <c r="AU101" s="1097"/>
      <c r="AV101" s="1049"/>
      <c r="AW101" s="1098" t="s">
        <v>916</v>
      </c>
      <c r="AX101" s="1098"/>
      <c r="AY101" s="1099">
        <v>1.4E-2</v>
      </c>
      <c r="AZ101" s="1049"/>
      <c r="BA101" s="1049"/>
      <c r="BB101" s="1096"/>
      <c r="BC101" s="1048"/>
      <c r="BD101" s="1048"/>
      <c r="BE101" s="1048"/>
      <c r="BF101" s="1048"/>
      <c r="BG101" s="1048"/>
      <c r="BH101" s="1048"/>
      <c r="BI101" s="1048"/>
      <c r="BJ101" s="1048"/>
      <c r="BK101" s="1048"/>
      <c r="BL101" s="1048"/>
      <c r="BM101" s="1132" t="s">
        <v>853</v>
      </c>
      <c r="BN101" s="1123">
        <v>13.410539545424518</v>
      </c>
      <c r="BO101" s="1123">
        <v>12.722819568736082</v>
      </c>
      <c r="BP101" s="1123">
        <v>11.347379615359204</v>
      </c>
      <c r="BQ101" s="1123">
        <v>9.2842196852938965</v>
      </c>
      <c r="BR101" s="1124">
        <v>9.2842196852938965</v>
      </c>
      <c r="BS101" s="1107"/>
      <c r="BT101" s="1107"/>
      <c r="BU101" s="1045"/>
    </row>
    <row r="102" spans="1:73" ht="17.45" customHeight="1" thickBot="1">
      <c r="A102" s="1133"/>
      <c r="B102" s="1133"/>
      <c r="C102" s="1133"/>
      <c r="D102" s="1133"/>
      <c r="E102" s="1133"/>
      <c r="F102" s="1133"/>
      <c r="G102" s="1133"/>
      <c r="H102" s="1133"/>
      <c r="I102" s="1133"/>
      <c r="J102" s="1133"/>
      <c r="K102" s="1133"/>
      <c r="L102" s="1133"/>
      <c r="M102" s="1133"/>
      <c r="N102" s="1133"/>
      <c r="O102" s="1133"/>
      <c r="P102" s="1133"/>
      <c r="Q102" s="1133"/>
      <c r="R102" s="1133"/>
      <c r="S102" s="1133"/>
      <c r="T102" s="1133"/>
      <c r="U102" s="1133"/>
      <c r="V102" s="1133"/>
      <c r="W102" s="1224"/>
      <c r="X102" s="1224"/>
      <c r="Y102" s="1224"/>
      <c r="Z102" s="1224"/>
      <c r="AA102" s="1224"/>
      <c r="AB102" s="1224"/>
      <c r="AC102" s="1224"/>
      <c r="AD102" s="1224"/>
      <c r="AE102" s="1224"/>
      <c r="AF102" s="1224"/>
      <c r="AG102" s="1224"/>
      <c r="AH102" s="1224"/>
      <c r="AI102" s="1224"/>
      <c r="AJ102" s="1049"/>
      <c r="AK102" s="1049"/>
      <c r="AL102" s="1049"/>
      <c r="AM102" s="1049"/>
      <c r="AN102" s="1049"/>
      <c r="AO102" s="1049"/>
      <c r="AP102" s="1049"/>
      <c r="AQ102" s="1049"/>
      <c r="AR102" s="1049"/>
      <c r="AS102" s="1133"/>
      <c r="AT102" s="1048"/>
      <c r="AU102" s="1097"/>
      <c r="AV102" s="1049"/>
      <c r="AW102" s="1098" t="s">
        <v>917</v>
      </c>
      <c r="AX102" s="1098"/>
      <c r="AY102" s="1099">
        <v>1.7999999999999999E-2</v>
      </c>
      <c r="AZ102" s="1049"/>
      <c r="BA102" s="1049"/>
      <c r="BB102" s="1096"/>
      <c r="BC102" s="1048"/>
      <c r="BD102" s="1048"/>
      <c r="BE102" s="1048"/>
      <c r="BF102" s="1048"/>
      <c r="BG102" s="1048"/>
      <c r="BH102" s="1048"/>
      <c r="BI102" s="1048"/>
      <c r="BJ102" s="1048"/>
      <c r="BK102" s="1048"/>
      <c r="BL102" s="1048"/>
      <c r="BM102" s="1125" t="s">
        <v>831</v>
      </c>
      <c r="BN102" s="1126">
        <v>13.410539545424518</v>
      </c>
      <c r="BO102" s="1126">
        <v>12.722819568736082</v>
      </c>
      <c r="BP102" s="1126">
        <v>11.347379615359204</v>
      </c>
      <c r="BQ102" s="1126">
        <v>9.2842196852938965</v>
      </c>
      <c r="BR102" s="1127">
        <v>9.2842196852938965</v>
      </c>
      <c r="BS102" s="1107"/>
      <c r="BT102" s="1107"/>
      <c r="BU102" s="1045"/>
    </row>
    <row r="103" spans="1:73" ht="17.45" customHeight="1">
      <c r="A103" s="1133"/>
      <c r="B103" s="1133"/>
      <c r="C103" s="1133"/>
      <c r="D103" s="1133"/>
      <c r="E103" s="1133"/>
      <c r="F103" s="1133"/>
      <c r="G103" s="1133"/>
      <c r="H103" s="1133"/>
      <c r="I103" s="1133"/>
      <c r="J103" s="1133"/>
      <c r="K103" s="1133"/>
      <c r="L103" s="1133"/>
      <c r="M103" s="1133"/>
      <c r="N103" s="1133"/>
      <c r="O103" s="1133"/>
      <c r="P103" s="1133"/>
      <c r="Q103" s="1133"/>
      <c r="R103" s="1133"/>
      <c r="S103" s="1133"/>
      <c r="T103" s="1133"/>
      <c r="U103" s="1133"/>
      <c r="V103" s="1133"/>
      <c r="W103" s="1224"/>
      <c r="X103" s="1224"/>
      <c r="Y103" s="1224"/>
      <c r="Z103" s="1224"/>
      <c r="AA103" s="1224"/>
      <c r="AB103" s="1224"/>
      <c r="AC103" s="1224"/>
      <c r="AD103" s="1224"/>
      <c r="AE103" s="1224"/>
      <c r="AF103" s="1224"/>
      <c r="AG103" s="1224"/>
      <c r="AH103" s="1224"/>
      <c r="AI103" s="1224"/>
      <c r="AJ103" s="1049"/>
      <c r="AK103" s="1049"/>
      <c r="AL103" s="1049"/>
      <c r="AM103" s="1049"/>
      <c r="AN103" s="1049"/>
      <c r="AO103" s="1049"/>
      <c r="AP103" s="1049"/>
      <c r="AQ103" s="1049"/>
      <c r="AR103" s="1049"/>
      <c r="AS103" s="1133"/>
      <c r="AT103" s="1048"/>
      <c r="AU103" s="1097"/>
      <c r="AV103" s="1049"/>
      <c r="AW103" s="1098" t="s">
        <v>918</v>
      </c>
      <c r="AX103" s="1098"/>
      <c r="AY103" s="1099">
        <v>2.1999999999999999E-2</v>
      </c>
      <c r="AZ103" s="1049"/>
      <c r="BA103" s="1049"/>
      <c r="BB103" s="1096"/>
      <c r="BC103" s="1048"/>
      <c r="BD103" s="1048"/>
      <c r="BE103" s="1048"/>
      <c r="BF103" s="1048"/>
      <c r="BG103" s="1048"/>
      <c r="BH103" s="1048"/>
      <c r="BI103" s="1048"/>
      <c r="BJ103" s="1048"/>
      <c r="BK103" s="1048"/>
      <c r="BL103" s="1048"/>
      <c r="BM103" s="1117" t="s">
        <v>829</v>
      </c>
      <c r="BN103" s="1119"/>
      <c r="BO103" s="1119"/>
      <c r="BP103" s="1120">
        <v>0.01</v>
      </c>
      <c r="BQ103" s="1119"/>
      <c r="BR103" s="1121"/>
      <c r="BS103" s="1107"/>
      <c r="BT103" s="1107"/>
      <c r="BU103" s="1045"/>
    </row>
    <row r="104" spans="1:73" ht="17.45" customHeight="1">
      <c r="A104" s="1133"/>
      <c r="B104" s="1133"/>
      <c r="C104" s="1133"/>
      <c r="D104" s="1133"/>
      <c r="E104" s="1133"/>
      <c r="F104" s="1133"/>
      <c r="G104" s="1133"/>
      <c r="H104" s="1133"/>
      <c r="I104" s="1133"/>
      <c r="J104" s="1133"/>
      <c r="K104" s="1133"/>
      <c r="L104" s="1133"/>
      <c r="M104" s="1133"/>
      <c r="N104" s="1133"/>
      <c r="O104" s="1133"/>
      <c r="P104" s="1133"/>
      <c r="Q104" s="1133"/>
      <c r="R104" s="1133"/>
      <c r="S104" s="1133"/>
      <c r="T104" s="1133"/>
      <c r="U104" s="1133"/>
      <c r="V104" s="1133"/>
      <c r="W104" s="1224"/>
      <c r="X104" s="1224"/>
      <c r="Y104" s="1224"/>
      <c r="Z104" s="1224"/>
      <c r="AA104" s="1224"/>
      <c r="AB104" s="1224"/>
      <c r="AC104" s="1224"/>
      <c r="AD104" s="1224"/>
      <c r="AE104" s="1224"/>
      <c r="AF104" s="1224"/>
      <c r="AG104" s="1224"/>
      <c r="AH104" s="1224"/>
      <c r="AI104" s="1224"/>
      <c r="AJ104" s="1049"/>
      <c r="AK104" s="1049"/>
      <c r="AL104" s="1049"/>
      <c r="AM104" s="1049"/>
      <c r="AN104" s="1049"/>
      <c r="AO104" s="1049"/>
      <c r="AP104" s="1049"/>
      <c r="AQ104" s="1049"/>
      <c r="AR104" s="1049"/>
      <c r="AS104" s="1133"/>
      <c r="AT104" s="1048"/>
      <c r="AU104" s="1097"/>
      <c r="AV104" s="1049"/>
      <c r="AW104" s="1098" t="s">
        <v>919</v>
      </c>
      <c r="AX104" s="1049"/>
      <c r="AY104" s="1099">
        <v>2.5000000000000001E-2</v>
      </c>
      <c r="AZ104" s="1049"/>
      <c r="BA104" s="1049"/>
      <c r="BB104" s="1096"/>
      <c r="BC104" s="1048"/>
      <c r="BD104" s="1048"/>
      <c r="BE104" s="1048"/>
      <c r="BF104" s="1048"/>
      <c r="BG104" s="1048"/>
      <c r="BH104" s="1048"/>
      <c r="BI104" s="1048"/>
      <c r="BJ104" s="1048"/>
      <c r="BK104" s="1048"/>
      <c r="BL104" s="1048"/>
      <c r="BM104" s="1132" t="s">
        <v>854</v>
      </c>
      <c r="BN104" s="1123">
        <v>13.276434149970273</v>
      </c>
      <c r="BO104" s="1123">
        <v>12.595591373048721</v>
      </c>
      <c r="BP104" s="1123">
        <v>11.233905819205612</v>
      </c>
      <c r="BQ104" s="1123">
        <v>9.191377488440958</v>
      </c>
      <c r="BR104" s="1124">
        <v>9.191377488440958</v>
      </c>
      <c r="BS104" s="1107"/>
      <c r="BT104" s="1107"/>
      <c r="BU104" s="1045"/>
    </row>
    <row r="105" spans="1:73" ht="17.45" customHeight="1" thickBot="1">
      <c r="A105" s="1133"/>
      <c r="B105" s="1133"/>
      <c r="C105" s="1133"/>
      <c r="D105" s="1133"/>
      <c r="E105" s="1133"/>
      <c r="F105" s="1133"/>
      <c r="G105" s="1133"/>
      <c r="H105" s="1133"/>
      <c r="I105" s="1133"/>
      <c r="J105" s="1133"/>
      <c r="K105" s="1133"/>
      <c r="L105" s="1133"/>
      <c r="M105" s="1133"/>
      <c r="N105" s="1133"/>
      <c r="O105" s="1133"/>
      <c r="P105" s="1133"/>
      <c r="Q105" s="1133"/>
      <c r="R105" s="1133"/>
      <c r="S105" s="1133"/>
      <c r="T105" s="1133"/>
      <c r="U105" s="1133"/>
      <c r="V105" s="1133"/>
      <c r="W105" s="1224"/>
      <c r="X105" s="1224"/>
      <c r="Y105" s="1224"/>
      <c r="Z105" s="1224"/>
      <c r="AA105" s="1224"/>
      <c r="AB105" s="1224"/>
      <c r="AC105" s="1224"/>
      <c r="AD105" s="1224"/>
      <c r="AE105" s="1224"/>
      <c r="AF105" s="1224"/>
      <c r="AG105" s="1224"/>
      <c r="AH105" s="1224"/>
      <c r="AI105" s="1224"/>
      <c r="AJ105" s="1049"/>
      <c r="AK105" s="1049"/>
      <c r="AL105" s="1049"/>
      <c r="AM105" s="1049"/>
      <c r="AN105" s="1049"/>
      <c r="AO105" s="1049"/>
      <c r="AP105" s="1049"/>
      <c r="AQ105" s="1049"/>
      <c r="AR105" s="1049"/>
      <c r="AS105" s="1133"/>
      <c r="AT105" s="1048"/>
      <c r="AU105" s="1097"/>
      <c r="AV105" s="1049"/>
      <c r="AW105" s="1098" t="s">
        <v>920</v>
      </c>
      <c r="AX105" s="1049"/>
      <c r="AY105" s="1099">
        <v>2.8000000000000001E-2</v>
      </c>
      <c r="AZ105" s="1049"/>
      <c r="BA105" s="1049"/>
      <c r="BB105" s="1096"/>
      <c r="BC105" s="1048"/>
      <c r="BD105" s="1048"/>
      <c r="BE105" s="1048"/>
      <c r="BF105" s="1048"/>
      <c r="BG105" s="1048"/>
      <c r="BH105" s="1048"/>
      <c r="BI105" s="1048"/>
      <c r="BJ105" s="1048"/>
      <c r="BK105" s="1048"/>
      <c r="BL105" s="1048"/>
      <c r="BM105" s="1125" t="s">
        <v>831</v>
      </c>
      <c r="BN105" s="1126">
        <v>13.276434149970273</v>
      </c>
      <c r="BO105" s="1126">
        <v>12.595591373048721</v>
      </c>
      <c r="BP105" s="1126">
        <v>11.233905819205612</v>
      </c>
      <c r="BQ105" s="1126">
        <v>9.191377488440958</v>
      </c>
      <c r="BR105" s="1127">
        <v>9.191377488440958</v>
      </c>
      <c r="BS105" s="1107"/>
      <c r="BT105" s="1107"/>
      <c r="BU105" s="1045"/>
    </row>
    <row r="106" spans="1:73" ht="17.45" customHeight="1" thickBot="1">
      <c r="A106" s="1133"/>
      <c r="B106" s="1133"/>
      <c r="C106" s="1133"/>
      <c r="D106" s="1133"/>
      <c r="E106" s="1133"/>
      <c r="F106" s="1133"/>
      <c r="G106" s="1133"/>
      <c r="H106" s="1133"/>
      <c r="I106" s="1133"/>
      <c r="J106" s="1133"/>
      <c r="K106" s="1133"/>
      <c r="L106" s="1133"/>
      <c r="M106" s="1133"/>
      <c r="N106" s="1133"/>
      <c r="O106" s="1133"/>
      <c r="P106" s="1133"/>
      <c r="Q106" s="1133"/>
      <c r="R106" s="1133"/>
      <c r="S106" s="1133"/>
      <c r="T106" s="1133"/>
      <c r="U106" s="1133"/>
      <c r="V106" s="1133"/>
      <c r="W106" s="1224"/>
      <c r="X106" s="1224"/>
      <c r="Y106" s="1224"/>
      <c r="Z106" s="1224"/>
      <c r="AA106" s="1224"/>
      <c r="AB106" s="1224"/>
      <c r="AC106" s="1224"/>
      <c r="AD106" s="1224"/>
      <c r="AE106" s="1224"/>
      <c r="AF106" s="1224"/>
      <c r="AG106" s="1224"/>
      <c r="AH106" s="1224"/>
      <c r="AI106" s="1224"/>
      <c r="AJ106" s="1049"/>
      <c r="AK106" s="1049"/>
      <c r="AL106" s="1049"/>
      <c r="AM106" s="1049"/>
      <c r="AN106" s="1049"/>
      <c r="AO106" s="1049"/>
      <c r="AP106" s="1049"/>
      <c r="AQ106" s="1049"/>
      <c r="AR106" s="1049"/>
      <c r="AS106" s="1133"/>
      <c r="AT106" s="1048"/>
      <c r="AU106" s="1097" t="s">
        <v>921</v>
      </c>
      <c r="AV106" s="1049" t="s">
        <v>922</v>
      </c>
      <c r="AW106" s="1049"/>
      <c r="AX106" s="1049"/>
      <c r="AY106" s="1049"/>
      <c r="AZ106" s="1049"/>
      <c r="BA106" s="1049"/>
      <c r="BB106" s="1096"/>
      <c r="BC106" s="1048"/>
      <c r="BD106" s="1048"/>
      <c r="BE106" s="1048"/>
      <c r="BF106" s="1048"/>
      <c r="BG106" s="1048"/>
      <c r="BH106" s="1048"/>
      <c r="BI106" s="1048"/>
      <c r="BJ106" s="1048"/>
      <c r="BK106" s="1048"/>
      <c r="BL106" s="1048"/>
      <c r="BM106" s="1107"/>
      <c r="BN106" s="1107"/>
      <c r="BO106" s="1107"/>
      <c r="BP106" s="1107"/>
      <c r="BQ106" s="1107"/>
      <c r="BR106" s="1107"/>
      <c r="BS106" s="1107"/>
      <c r="BT106" s="1107"/>
      <c r="BU106" s="1045"/>
    </row>
    <row r="107" spans="1:73" ht="17.45" customHeight="1">
      <c r="A107" s="1133"/>
      <c r="B107" s="1133"/>
      <c r="C107" s="1133"/>
      <c r="D107" s="1133"/>
      <c r="E107" s="1133"/>
      <c r="F107" s="1133"/>
      <c r="G107" s="1133"/>
      <c r="H107" s="1133"/>
      <c r="I107" s="1133"/>
      <c r="J107" s="1133"/>
      <c r="K107" s="1133"/>
      <c r="L107" s="1133"/>
      <c r="M107" s="1133"/>
      <c r="N107" s="1133"/>
      <c r="O107" s="1133"/>
      <c r="P107" s="1133"/>
      <c r="Q107" s="1133"/>
      <c r="R107" s="1133"/>
      <c r="S107" s="1133"/>
      <c r="T107" s="1133"/>
      <c r="U107" s="1133"/>
      <c r="V107" s="1133"/>
      <c r="W107" s="1224"/>
      <c r="X107" s="1224"/>
      <c r="Y107" s="1224"/>
      <c r="Z107" s="1224"/>
      <c r="AA107" s="1224"/>
      <c r="AB107" s="1224"/>
      <c r="AC107" s="1224"/>
      <c r="AD107" s="1224"/>
      <c r="AE107" s="1224"/>
      <c r="AF107" s="1224"/>
      <c r="AG107" s="1224"/>
      <c r="AH107" s="1224"/>
      <c r="AI107" s="1224"/>
      <c r="AJ107" s="1049"/>
      <c r="AK107" s="1049"/>
      <c r="AL107" s="1049"/>
      <c r="AM107" s="1049"/>
      <c r="AN107" s="1049"/>
      <c r="AO107" s="1049"/>
      <c r="AP107" s="1049"/>
      <c r="AQ107" s="1049"/>
      <c r="AR107" s="1049"/>
      <c r="AS107" s="1133"/>
      <c r="AT107" s="1048"/>
      <c r="AU107" s="1097"/>
      <c r="AV107" s="1049"/>
      <c r="AW107" s="1098" t="s">
        <v>923</v>
      </c>
      <c r="AX107" s="1049"/>
      <c r="AY107" s="1099">
        <v>2.5000000000000001E-3</v>
      </c>
      <c r="AZ107" s="1049"/>
      <c r="BA107" s="1049"/>
      <c r="BB107" s="1096"/>
      <c r="BC107" s="1048"/>
      <c r="BD107" s="1048"/>
      <c r="BE107" s="1048"/>
      <c r="BF107" s="1048"/>
      <c r="BG107" s="1048"/>
      <c r="BH107" s="1048"/>
      <c r="BI107" s="1048"/>
      <c r="BJ107" s="1048"/>
      <c r="BK107" s="1048"/>
      <c r="BL107" s="1048"/>
      <c r="BM107" s="1117" t="s">
        <v>829</v>
      </c>
      <c r="BN107" s="1119"/>
      <c r="BO107" s="1119"/>
      <c r="BP107" s="1120">
        <v>0.01</v>
      </c>
      <c r="BQ107" s="1119"/>
      <c r="BR107" s="1121"/>
      <c r="BS107" s="1107"/>
      <c r="BT107" s="1107"/>
      <c r="BU107" s="1045"/>
    </row>
    <row r="108" spans="1:73" ht="17.45" customHeight="1">
      <c r="A108" s="1133"/>
      <c r="B108" s="1133"/>
      <c r="C108" s="1133"/>
      <c r="D108" s="1133"/>
      <c r="E108" s="1133"/>
      <c r="F108" s="1133"/>
      <c r="G108" s="1133"/>
      <c r="H108" s="1133"/>
      <c r="I108" s="1133"/>
      <c r="J108" s="1133"/>
      <c r="K108" s="1133"/>
      <c r="L108" s="1133"/>
      <c r="M108" s="1133"/>
      <c r="N108" s="1133"/>
      <c r="O108" s="1133"/>
      <c r="P108" s="1133"/>
      <c r="Q108" s="1133"/>
      <c r="R108" s="1133"/>
      <c r="S108" s="1133"/>
      <c r="T108" s="1133"/>
      <c r="U108" s="1133"/>
      <c r="V108" s="1133"/>
      <c r="W108" s="1224"/>
      <c r="X108" s="1224"/>
      <c r="Y108" s="1224"/>
      <c r="Z108" s="1224"/>
      <c r="AA108" s="1224"/>
      <c r="AB108" s="1224"/>
      <c r="AC108" s="1224"/>
      <c r="AD108" s="1224"/>
      <c r="AE108" s="1224"/>
      <c r="AF108" s="1224"/>
      <c r="AG108" s="1224"/>
      <c r="AH108" s="1224"/>
      <c r="AI108" s="1224"/>
      <c r="AJ108" s="1049"/>
      <c r="AK108" s="1049"/>
      <c r="AL108" s="1049"/>
      <c r="AM108" s="1049"/>
      <c r="AN108" s="1049"/>
      <c r="AO108" s="1049"/>
      <c r="AP108" s="1049"/>
      <c r="AQ108" s="1049"/>
      <c r="AR108" s="1049"/>
      <c r="AS108" s="1133"/>
      <c r="AT108" s="1048"/>
      <c r="AU108" s="1097"/>
      <c r="AV108" s="1049"/>
      <c r="AW108" s="1098" t="s">
        <v>924</v>
      </c>
      <c r="AX108" s="1049"/>
      <c r="AY108" s="1099">
        <v>0</v>
      </c>
      <c r="AZ108" s="1049"/>
      <c r="BA108" s="1049"/>
      <c r="BB108" s="1096"/>
      <c r="BC108" s="1048"/>
      <c r="BD108" s="1048"/>
      <c r="BE108" s="1048"/>
      <c r="BF108" s="1048"/>
      <c r="BG108" s="1048"/>
      <c r="BH108" s="1048"/>
      <c r="BI108" s="1048"/>
      <c r="BJ108" s="1048"/>
      <c r="BK108" s="1048"/>
      <c r="BL108" s="1048"/>
      <c r="BM108" s="1132" t="s">
        <v>855</v>
      </c>
      <c r="BN108" s="1123">
        <v>13.14366980847057</v>
      </c>
      <c r="BO108" s="1123">
        <v>12.469635459318233</v>
      </c>
      <c r="BP108" s="1123">
        <v>11.121566761013556</v>
      </c>
      <c r="BQ108" s="1123">
        <v>9.099463713556549</v>
      </c>
      <c r="BR108" s="1124">
        <v>9.099463713556549</v>
      </c>
      <c r="BS108" s="1107"/>
      <c r="BT108" s="1107"/>
      <c r="BU108" s="1045"/>
    </row>
    <row r="109" spans="1:73" ht="17.45" customHeight="1" thickBot="1">
      <c r="A109" s="1133"/>
      <c r="B109" s="1133"/>
      <c r="C109" s="1133"/>
      <c r="D109" s="1133"/>
      <c r="E109" s="1133"/>
      <c r="F109" s="1133"/>
      <c r="G109" s="1133"/>
      <c r="H109" s="1133"/>
      <c r="I109" s="1133"/>
      <c r="J109" s="1133"/>
      <c r="K109" s="1133"/>
      <c r="L109" s="1133"/>
      <c r="M109" s="1133"/>
      <c r="N109" s="1133"/>
      <c r="O109" s="1133"/>
      <c r="P109" s="1133"/>
      <c r="Q109" s="1133"/>
      <c r="R109" s="1133"/>
      <c r="S109" s="1133"/>
      <c r="T109" s="1133"/>
      <c r="U109" s="1133"/>
      <c r="V109" s="1133"/>
      <c r="W109" s="1224"/>
      <c r="X109" s="1224"/>
      <c r="Y109" s="1224"/>
      <c r="Z109" s="1224"/>
      <c r="AA109" s="1224"/>
      <c r="AB109" s="1224"/>
      <c r="AC109" s="1224"/>
      <c r="AD109" s="1224"/>
      <c r="AE109" s="1224"/>
      <c r="AF109" s="1224"/>
      <c r="AG109" s="1224"/>
      <c r="AH109" s="1224"/>
      <c r="AI109" s="1224"/>
      <c r="AJ109" s="1049"/>
      <c r="AK109" s="1049"/>
      <c r="AL109" s="1049"/>
      <c r="AM109" s="1049"/>
      <c r="AN109" s="1049"/>
      <c r="AO109" s="1049"/>
      <c r="AP109" s="1049"/>
      <c r="AQ109" s="1049"/>
      <c r="AR109" s="1049"/>
      <c r="AS109" s="1133"/>
      <c r="AT109" s="1048"/>
      <c r="AU109" s="1097"/>
      <c r="AV109" s="1049"/>
      <c r="AW109" s="1098" t="s">
        <v>925</v>
      </c>
      <c r="AX109" s="1049"/>
      <c r="AY109" s="1100">
        <v>1.4999999999999999E-2</v>
      </c>
      <c r="AZ109" s="1049" t="s">
        <v>926</v>
      </c>
      <c r="BA109" s="1049"/>
      <c r="BB109" s="1096"/>
      <c r="BC109" s="1048"/>
      <c r="BD109" s="1048"/>
      <c r="BE109" s="1048"/>
      <c r="BF109" s="1048"/>
      <c r="BG109" s="1048"/>
      <c r="BH109" s="1048"/>
      <c r="BI109" s="1048"/>
      <c r="BJ109" s="1048"/>
      <c r="BK109" s="1048"/>
      <c r="BL109" s="1048"/>
      <c r="BM109" s="1125" t="s">
        <v>831</v>
      </c>
      <c r="BN109" s="1126">
        <v>13.14366980847057</v>
      </c>
      <c r="BO109" s="1126">
        <v>12.469635459318233</v>
      </c>
      <c r="BP109" s="1126">
        <v>11.121566761013556</v>
      </c>
      <c r="BQ109" s="1126">
        <v>9.099463713556549</v>
      </c>
      <c r="BR109" s="1127">
        <v>9.099463713556549</v>
      </c>
      <c r="BS109" s="1107"/>
      <c r="BT109" s="1107"/>
      <c r="BU109" s="1045"/>
    </row>
    <row r="110" spans="1:73" ht="17.45" customHeight="1">
      <c r="A110" s="1133"/>
      <c r="B110" s="1133"/>
      <c r="C110" s="1133"/>
      <c r="D110" s="1133"/>
      <c r="E110" s="1133"/>
      <c r="F110" s="1133"/>
      <c r="G110" s="1133"/>
      <c r="H110" s="1133"/>
      <c r="I110" s="1133"/>
      <c r="J110" s="1133"/>
      <c r="K110" s="1133"/>
      <c r="L110" s="1133"/>
      <c r="M110" s="1133"/>
      <c r="N110" s="1133"/>
      <c r="O110" s="1133"/>
      <c r="P110" s="1133"/>
      <c r="Q110" s="1133"/>
      <c r="R110" s="1133"/>
      <c r="S110" s="1133"/>
      <c r="T110" s="1133"/>
      <c r="U110" s="1133"/>
      <c r="V110" s="1133"/>
      <c r="W110" s="1224"/>
      <c r="X110" s="1224"/>
      <c r="Y110" s="1224"/>
      <c r="Z110" s="1224"/>
      <c r="AA110" s="1224"/>
      <c r="AB110" s="1224"/>
      <c r="AC110" s="1224"/>
      <c r="AD110" s="1224"/>
      <c r="AE110" s="1224"/>
      <c r="AF110" s="1224"/>
      <c r="AG110" s="1224"/>
      <c r="AH110" s="1224"/>
      <c r="AI110" s="1224"/>
      <c r="AJ110" s="1049"/>
      <c r="AK110" s="1049"/>
      <c r="AL110" s="1049"/>
      <c r="AM110" s="1049"/>
      <c r="AN110" s="1049"/>
      <c r="AO110" s="1049"/>
      <c r="AP110" s="1049"/>
      <c r="AQ110" s="1049"/>
      <c r="AR110" s="1049"/>
      <c r="AS110" s="1133"/>
      <c r="AT110" s="1048"/>
      <c r="AU110" s="1097" t="s">
        <v>927</v>
      </c>
      <c r="AV110" s="1049" t="s">
        <v>928</v>
      </c>
      <c r="AW110" s="1098"/>
      <c r="AX110" s="1049"/>
      <c r="AY110" s="1099"/>
      <c r="AZ110" s="1049"/>
      <c r="BA110" s="1049"/>
      <c r="BB110" s="1096"/>
      <c r="BC110" s="1048"/>
      <c r="BD110" s="1048"/>
      <c r="BE110" s="1048"/>
      <c r="BF110" s="1048"/>
      <c r="BG110" s="1048"/>
      <c r="BH110" s="1048"/>
      <c r="BI110" s="1048"/>
      <c r="BJ110" s="1048"/>
      <c r="BK110" s="1048"/>
      <c r="BL110" s="1048"/>
      <c r="BM110" s="1117" t="s">
        <v>829</v>
      </c>
      <c r="BN110" s="1119"/>
      <c r="BO110" s="1119"/>
      <c r="BP110" s="1120">
        <v>0.01</v>
      </c>
      <c r="BQ110" s="1119"/>
      <c r="BR110" s="1121"/>
      <c r="BS110" s="1107"/>
      <c r="BT110" s="1107"/>
      <c r="BU110" s="1045"/>
    </row>
    <row r="111" spans="1:73" ht="17.45" customHeight="1">
      <c r="A111" s="1133"/>
      <c r="B111" s="1133"/>
      <c r="C111" s="1133"/>
      <c r="D111" s="1133"/>
      <c r="E111" s="1133"/>
      <c r="F111" s="1133"/>
      <c r="G111" s="1133"/>
      <c r="H111" s="1133"/>
      <c r="I111" s="1133"/>
      <c r="J111" s="1133"/>
      <c r="K111" s="1133"/>
      <c r="L111" s="1133"/>
      <c r="M111" s="1133"/>
      <c r="N111" s="1133"/>
      <c r="O111" s="1133"/>
      <c r="P111" s="1133"/>
      <c r="Q111" s="1133"/>
      <c r="R111" s="1133"/>
      <c r="S111" s="1133"/>
      <c r="T111" s="1133"/>
      <c r="U111" s="1133"/>
      <c r="V111" s="1133"/>
      <c r="W111" s="1224"/>
      <c r="X111" s="1224"/>
      <c r="Y111" s="1224"/>
      <c r="Z111" s="1224"/>
      <c r="AA111" s="1224"/>
      <c r="AB111" s="1224"/>
      <c r="AC111" s="1224"/>
      <c r="AD111" s="1224"/>
      <c r="AE111" s="1224"/>
      <c r="AF111" s="1224"/>
      <c r="AG111" s="1224"/>
      <c r="AH111" s="1224"/>
      <c r="AI111" s="1224"/>
      <c r="AJ111" s="1049"/>
      <c r="AK111" s="1049"/>
      <c r="AL111" s="1049"/>
      <c r="AM111" s="1049"/>
      <c r="AN111" s="1049"/>
      <c r="AO111" s="1049"/>
      <c r="AP111" s="1049"/>
      <c r="AQ111" s="1049"/>
      <c r="AR111" s="1049"/>
      <c r="AS111" s="1133"/>
      <c r="AT111" s="1048"/>
      <c r="AU111" s="1097" t="s">
        <v>929</v>
      </c>
      <c r="AV111" s="1049" t="s">
        <v>930</v>
      </c>
      <c r="AW111" s="1049"/>
      <c r="AX111" s="1049"/>
      <c r="AY111" s="1049"/>
      <c r="AZ111" s="1049"/>
      <c r="BA111" s="1049"/>
      <c r="BB111" s="1096"/>
      <c r="BC111" s="1048"/>
      <c r="BD111" s="1048"/>
      <c r="BE111" s="1048"/>
      <c r="BF111" s="1048"/>
      <c r="BG111" s="1048"/>
      <c r="BH111" s="1048"/>
      <c r="BI111" s="1048"/>
      <c r="BJ111" s="1048"/>
      <c r="BK111" s="1048"/>
      <c r="BL111" s="1048"/>
      <c r="BM111" s="1132" t="s">
        <v>856</v>
      </c>
      <c r="BN111" s="1123">
        <v>13.012233110385864</v>
      </c>
      <c r="BO111" s="1123">
        <v>12.344939104725052</v>
      </c>
      <c r="BP111" s="1123">
        <v>11.01035109340342</v>
      </c>
      <c r="BQ111" s="1123">
        <v>9.0084690764209832</v>
      </c>
      <c r="BR111" s="1124">
        <v>9.0084690764209832</v>
      </c>
      <c r="BS111" s="1107"/>
      <c r="BT111" s="1107"/>
      <c r="BU111" s="1045"/>
    </row>
    <row r="112" spans="1:73" ht="17.45" customHeight="1" thickBot="1">
      <c r="A112" s="1133"/>
      <c r="B112" s="1133"/>
      <c r="C112" s="1133"/>
      <c r="D112" s="1133"/>
      <c r="E112" s="1133"/>
      <c r="F112" s="1133"/>
      <c r="G112" s="1133"/>
      <c r="H112" s="1133"/>
      <c r="I112" s="1133"/>
      <c r="J112" s="1133"/>
      <c r="K112" s="1133"/>
      <c r="L112" s="1133"/>
      <c r="M112" s="1133"/>
      <c r="N112" s="1133"/>
      <c r="O112" s="1133"/>
      <c r="P112" s="1133"/>
      <c r="Q112" s="1133"/>
      <c r="R112" s="1133"/>
      <c r="S112" s="1133"/>
      <c r="T112" s="1133"/>
      <c r="U112" s="1133"/>
      <c r="V112" s="1133"/>
      <c r="W112" s="1224"/>
      <c r="X112" s="1224"/>
      <c r="Y112" s="1224"/>
      <c r="Z112" s="1224"/>
      <c r="AA112" s="1224"/>
      <c r="AB112" s="1224"/>
      <c r="AC112" s="1224"/>
      <c r="AD112" s="1224"/>
      <c r="AE112" s="1224"/>
      <c r="AF112" s="1224"/>
      <c r="AG112" s="1224"/>
      <c r="AH112" s="1224"/>
      <c r="AI112" s="1224"/>
      <c r="AJ112" s="1098"/>
      <c r="AK112" s="1098"/>
      <c r="AL112" s="1098"/>
      <c r="AM112" s="1098"/>
      <c r="AN112" s="1098"/>
      <c r="AO112" s="1098"/>
      <c r="AP112" s="1098"/>
      <c r="AQ112" s="1098"/>
      <c r="AR112" s="1098"/>
      <c r="AS112" s="1133"/>
      <c r="AT112" s="1048"/>
      <c r="AU112" s="1097"/>
      <c r="AV112" s="1098"/>
      <c r="AW112" s="1049"/>
      <c r="AX112" s="1049"/>
      <c r="AY112" s="1049"/>
      <c r="AZ112" s="1049"/>
      <c r="BA112" s="1049"/>
      <c r="BB112" s="1096"/>
      <c r="BC112" s="1048"/>
      <c r="BD112" s="1048"/>
      <c r="BE112" s="1048"/>
      <c r="BF112" s="1048"/>
      <c r="BG112" s="1048"/>
      <c r="BH112" s="1048"/>
      <c r="BI112" s="1048"/>
      <c r="BJ112" s="1048"/>
      <c r="BK112" s="1048"/>
      <c r="BL112" s="1048"/>
      <c r="BM112" s="1125" t="s">
        <v>831</v>
      </c>
      <c r="BN112" s="1126">
        <v>13.012233110385864</v>
      </c>
      <c r="BO112" s="1126">
        <v>12.344939104725052</v>
      </c>
      <c r="BP112" s="1126">
        <v>11.01035109340342</v>
      </c>
      <c r="BQ112" s="1126">
        <v>9.0084690764209832</v>
      </c>
      <c r="BR112" s="1127">
        <v>9.0084690764209832</v>
      </c>
      <c r="BS112" s="1107"/>
      <c r="BT112" s="1107"/>
      <c r="BU112" s="1045"/>
    </row>
    <row r="113" spans="1:73" ht="17.45" customHeight="1">
      <c r="A113" s="1133"/>
      <c r="B113" s="1133"/>
      <c r="C113" s="1133"/>
      <c r="D113" s="1133"/>
      <c r="E113" s="1133"/>
      <c r="F113" s="1133"/>
      <c r="G113" s="1133"/>
      <c r="H113" s="1133"/>
      <c r="I113" s="1133"/>
      <c r="J113" s="1133"/>
      <c r="K113" s="1133"/>
      <c r="L113" s="1133"/>
      <c r="M113" s="1133"/>
      <c r="N113" s="1133"/>
      <c r="O113" s="1133"/>
      <c r="P113" s="1133"/>
      <c r="Q113" s="1133"/>
      <c r="R113" s="1133"/>
      <c r="S113" s="1133"/>
      <c r="T113" s="1133"/>
      <c r="U113" s="1133"/>
      <c r="V113" s="1133"/>
      <c r="W113" s="1224"/>
      <c r="X113" s="1224"/>
      <c r="Y113" s="1224"/>
      <c r="Z113" s="1224"/>
      <c r="AA113" s="1224"/>
      <c r="AB113" s="1224"/>
      <c r="AC113" s="1224"/>
      <c r="AD113" s="1224"/>
      <c r="AE113" s="1224"/>
      <c r="AF113" s="1224"/>
      <c r="AG113" s="1224"/>
      <c r="AH113" s="1224"/>
      <c r="AI113" s="1224"/>
      <c r="AJ113" s="1049"/>
      <c r="AK113" s="1049"/>
      <c r="AL113" s="1049"/>
      <c r="AM113" s="1049"/>
      <c r="AN113" s="1049"/>
      <c r="AO113" s="1049"/>
      <c r="AP113" s="1049"/>
      <c r="AQ113" s="1049"/>
      <c r="AR113" s="1049"/>
      <c r="AS113" s="1133"/>
      <c r="AT113" s="1048"/>
      <c r="AU113" s="1097" t="s">
        <v>931</v>
      </c>
      <c r="AV113" s="1049" t="s">
        <v>932</v>
      </c>
      <c r="AW113" s="1049"/>
      <c r="AX113" s="1049"/>
      <c r="AY113" s="1049"/>
      <c r="AZ113" s="1049"/>
      <c r="BA113" s="1049"/>
      <c r="BB113" s="1096"/>
      <c r="BC113" s="1048"/>
      <c r="BD113" s="1048"/>
      <c r="BE113" s="1048"/>
      <c r="BF113" s="1048"/>
      <c r="BG113" s="1048"/>
      <c r="BH113" s="1048"/>
      <c r="BI113" s="1048"/>
      <c r="BJ113" s="1048"/>
      <c r="BK113" s="1048"/>
      <c r="BL113" s="1048"/>
      <c r="BM113" s="1117" t="s">
        <v>829</v>
      </c>
      <c r="BN113" s="1119"/>
      <c r="BO113" s="1119"/>
      <c r="BP113" s="1120">
        <v>0.01</v>
      </c>
      <c r="BQ113" s="1119"/>
      <c r="BR113" s="1121"/>
      <c r="BS113" s="1107"/>
      <c r="BT113" s="1107"/>
      <c r="BU113" s="1045"/>
    </row>
    <row r="114" spans="1:73" ht="17.45" customHeight="1">
      <c r="A114" s="1133"/>
      <c r="B114" s="1133"/>
      <c r="C114" s="1133"/>
      <c r="D114" s="1133"/>
      <c r="E114" s="1133"/>
      <c r="F114" s="1133"/>
      <c r="G114" s="1133"/>
      <c r="H114" s="1133"/>
      <c r="I114" s="1133"/>
      <c r="J114" s="1133"/>
      <c r="K114" s="1133"/>
      <c r="L114" s="1133"/>
      <c r="M114" s="1133"/>
      <c r="N114" s="1133"/>
      <c r="O114" s="1133"/>
      <c r="P114" s="1133"/>
      <c r="Q114" s="1133"/>
      <c r="R114" s="1133"/>
      <c r="S114" s="1133"/>
      <c r="T114" s="1133"/>
      <c r="U114" s="1133"/>
      <c r="V114" s="1133"/>
      <c r="W114" s="1224"/>
      <c r="X114" s="1224"/>
      <c r="Y114" s="1224"/>
      <c r="Z114" s="1224"/>
      <c r="AA114" s="1224"/>
      <c r="AB114" s="1224"/>
      <c r="AC114" s="1224"/>
      <c r="AD114" s="1224"/>
      <c r="AE114" s="1224"/>
      <c r="AF114" s="1224"/>
      <c r="AG114" s="1224"/>
      <c r="AH114" s="1224"/>
      <c r="AI114" s="1224"/>
      <c r="AJ114" s="1049"/>
      <c r="AK114" s="1049"/>
      <c r="AL114" s="1049"/>
      <c r="AM114" s="1049"/>
      <c r="AN114" s="1049"/>
      <c r="AO114" s="1049"/>
      <c r="AP114" s="1049"/>
      <c r="AQ114" s="1049"/>
      <c r="AR114" s="1049"/>
      <c r="AS114" s="1133"/>
      <c r="AT114" s="1048"/>
      <c r="AU114" s="1097" t="s">
        <v>933</v>
      </c>
      <c r="AV114" s="1049" t="s">
        <v>934</v>
      </c>
      <c r="AW114" s="1049"/>
      <c r="AX114" s="1098" t="s">
        <v>935</v>
      </c>
      <c r="AY114" s="1098"/>
      <c r="AZ114" s="1098" t="s">
        <v>936</v>
      </c>
      <c r="BA114" s="1049"/>
      <c r="BB114" s="1096"/>
      <c r="BC114" s="1048"/>
      <c r="BD114" s="1048"/>
      <c r="BE114" s="1048"/>
      <c r="BF114" s="1048"/>
      <c r="BG114" s="1048"/>
      <c r="BH114" s="1048"/>
      <c r="BI114" s="1048"/>
      <c r="BJ114" s="1048"/>
      <c r="BK114" s="1048"/>
      <c r="BL114" s="1048"/>
      <c r="BM114" s="1132" t="s">
        <v>857</v>
      </c>
      <c r="BN114" s="1123">
        <v>12.882110779282005</v>
      </c>
      <c r="BO114" s="1123">
        <v>12.221489713677801</v>
      </c>
      <c r="BP114" s="1123">
        <v>10.900247582469385</v>
      </c>
      <c r="BQ114" s="1123">
        <v>8.9183843856567737</v>
      </c>
      <c r="BR114" s="1124">
        <v>8.9183843856567737</v>
      </c>
      <c r="BS114" s="1107"/>
      <c r="BT114" s="1107"/>
      <c r="BU114" s="1045"/>
    </row>
    <row r="115" spans="1:73" ht="17.45" customHeight="1" thickBot="1">
      <c r="A115" s="1133"/>
      <c r="B115" s="1133"/>
      <c r="C115" s="1133"/>
      <c r="D115" s="1133"/>
      <c r="E115" s="1133"/>
      <c r="F115" s="1133"/>
      <c r="G115" s="1133"/>
      <c r="H115" s="1133"/>
      <c r="I115" s="1133"/>
      <c r="J115" s="1133"/>
      <c r="K115" s="1133"/>
      <c r="L115" s="1133"/>
      <c r="M115" s="1133"/>
      <c r="N115" s="1133"/>
      <c r="O115" s="1133"/>
      <c r="P115" s="1133"/>
      <c r="Q115" s="1133"/>
      <c r="R115" s="1133"/>
      <c r="S115" s="1133"/>
      <c r="T115" s="1133"/>
      <c r="U115" s="1133"/>
      <c r="V115" s="1133"/>
      <c r="W115" s="1224"/>
      <c r="X115" s="1224"/>
      <c r="Y115" s="1224"/>
      <c r="Z115" s="1224"/>
      <c r="AA115" s="1224"/>
      <c r="AB115" s="1224"/>
      <c r="AC115" s="1224"/>
      <c r="AD115" s="1224"/>
      <c r="AE115" s="1224"/>
      <c r="AF115" s="1224"/>
      <c r="AG115" s="1224"/>
      <c r="AH115" s="1224"/>
      <c r="AI115" s="1224"/>
      <c r="AJ115" s="1049"/>
      <c r="AK115" s="1049"/>
      <c r="AL115" s="1049"/>
      <c r="AM115" s="1049"/>
      <c r="AN115" s="1049"/>
      <c r="AO115" s="1049"/>
      <c r="AP115" s="1049"/>
      <c r="AQ115" s="1049"/>
      <c r="AR115" s="1049"/>
      <c r="AS115" s="1133"/>
      <c r="AT115" s="1048"/>
      <c r="AU115" s="1097"/>
      <c r="AV115" s="1049"/>
      <c r="AW115" s="1049"/>
      <c r="AX115" s="1098" t="s">
        <v>937</v>
      </c>
      <c r="AY115" s="1098"/>
      <c r="AZ115" s="1098" t="s">
        <v>938</v>
      </c>
      <c r="BA115" s="1049"/>
      <c r="BB115" s="1096"/>
      <c r="BC115" s="1048"/>
      <c r="BD115" s="1048"/>
      <c r="BE115" s="1048"/>
      <c r="BF115" s="1048"/>
      <c r="BG115" s="1048"/>
      <c r="BH115" s="1048"/>
      <c r="BI115" s="1048"/>
      <c r="BJ115" s="1048"/>
      <c r="BK115" s="1048"/>
      <c r="BL115" s="1048"/>
      <c r="BM115" s="1125" t="s">
        <v>831</v>
      </c>
      <c r="BN115" s="1126">
        <v>12.882110779282005</v>
      </c>
      <c r="BO115" s="1126">
        <v>12.221489713677801</v>
      </c>
      <c r="BP115" s="1126">
        <v>10.900247582469385</v>
      </c>
      <c r="BQ115" s="1126">
        <v>8.9183843856567737</v>
      </c>
      <c r="BR115" s="1127">
        <v>8.9183843856567737</v>
      </c>
      <c r="BS115" s="1107"/>
      <c r="BT115" s="1107"/>
      <c r="BU115" s="1045"/>
    </row>
    <row r="116" spans="1:73" ht="17.45" customHeight="1">
      <c r="A116" s="1133"/>
      <c r="B116" s="1133"/>
      <c r="C116" s="1133"/>
      <c r="D116" s="1133"/>
      <c r="E116" s="1133"/>
      <c r="F116" s="1133"/>
      <c r="G116" s="1133"/>
      <c r="H116" s="1133"/>
      <c r="I116" s="1133"/>
      <c r="J116" s="1133"/>
      <c r="K116" s="1133"/>
      <c r="L116" s="1133"/>
      <c r="M116" s="1133"/>
      <c r="N116" s="1133"/>
      <c r="O116" s="1133"/>
      <c r="P116" s="1133"/>
      <c r="Q116" s="1133"/>
      <c r="R116" s="1133"/>
      <c r="S116" s="1133"/>
      <c r="T116" s="1133"/>
      <c r="U116" s="1133"/>
      <c r="V116" s="1133"/>
      <c r="W116" s="1224"/>
      <c r="X116" s="1224"/>
      <c r="Y116" s="1224"/>
      <c r="Z116" s="1224"/>
      <c r="AA116" s="1224"/>
      <c r="AB116" s="1224"/>
      <c r="AC116" s="1224"/>
      <c r="AD116" s="1224"/>
      <c r="AE116" s="1224"/>
      <c r="AF116" s="1224"/>
      <c r="AG116" s="1224"/>
      <c r="AH116" s="1224"/>
      <c r="AI116" s="1224"/>
      <c r="AJ116" s="1049"/>
      <c r="AK116" s="1049"/>
      <c r="AL116" s="1049"/>
      <c r="AM116" s="1049"/>
      <c r="AN116" s="1049"/>
      <c r="AO116" s="1049"/>
      <c r="AP116" s="1049"/>
      <c r="AQ116" s="1049"/>
      <c r="AR116" s="1049"/>
      <c r="AS116" s="1133"/>
      <c r="AT116" s="1048"/>
      <c r="AU116" s="1097" t="s">
        <v>939</v>
      </c>
      <c r="AV116" s="1049" t="s">
        <v>940</v>
      </c>
      <c r="AW116" s="1049"/>
      <c r="AX116" s="1049"/>
      <c r="AY116" s="1049"/>
      <c r="AZ116" s="1049"/>
      <c r="BA116" s="1049"/>
      <c r="BB116" s="1096"/>
      <c r="BC116" s="1048"/>
      <c r="BD116" s="1048"/>
      <c r="BE116" s="1048"/>
      <c r="BF116" s="1048"/>
      <c r="BG116" s="1048"/>
      <c r="BH116" s="1048"/>
      <c r="BI116" s="1048"/>
      <c r="BJ116" s="1048"/>
      <c r="BK116" s="1048"/>
      <c r="BL116" s="1048"/>
      <c r="BM116" s="1107"/>
      <c r="BN116" s="1107"/>
      <c r="BO116" s="1107"/>
      <c r="BP116" s="1107"/>
      <c r="BQ116" s="1107"/>
      <c r="BR116" s="1107"/>
      <c r="BS116" s="1107"/>
      <c r="BT116" s="1107"/>
      <c r="BU116" s="1045"/>
    </row>
    <row r="117" spans="1:73" ht="17.45" customHeight="1">
      <c r="A117" s="1133"/>
      <c r="B117" s="1133"/>
      <c r="C117" s="1133"/>
      <c r="D117" s="1133"/>
      <c r="E117" s="1133"/>
      <c r="F117" s="1133"/>
      <c r="G117" s="1133"/>
      <c r="H117" s="1133"/>
      <c r="I117" s="1133"/>
      <c r="J117" s="1133"/>
      <c r="K117" s="1133"/>
      <c r="L117" s="1133"/>
      <c r="M117" s="1133"/>
      <c r="N117" s="1133"/>
      <c r="O117" s="1133"/>
      <c r="P117" s="1133"/>
      <c r="Q117" s="1133"/>
      <c r="R117" s="1133"/>
      <c r="S117" s="1133"/>
      <c r="T117" s="1133"/>
      <c r="U117" s="1133"/>
      <c r="V117" s="1133"/>
      <c r="W117" s="1224"/>
      <c r="X117" s="1224"/>
      <c r="Y117" s="1224"/>
      <c r="Z117" s="1224"/>
      <c r="AA117" s="1224"/>
      <c r="AB117" s="1224"/>
      <c r="AC117" s="1224"/>
      <c r="AD117" s="1224"/>
      <c r="AE117" s="1224"/>
      <c r="AF117" s="1224"/>
      <c r="AG117" s="1224"/>
      <c r="AH117" s="1224"/>
      <c r="AI117" s="1224"/>
      <c r="AJ117" s="1049"/>
      <c r="AK117" s="1049"/>
      <c r="AL117" s="1049"/>
      <c r="AM117" s="1049"/>
      <c r="AN117" s="1049"/>
      <c r="AO117" s="1049"/>
      <c r="AP117" s="1049"/>
      <c r="AQ117" s="1049"/>
      <c r="AR117" s="1049"/>
      <c r="AS117" s="1133"/>
      <c r="AT117" s="1048"/>
      <c r="AU117" s="1097"/>
      <c r="AV117" s="1049" t="s">
        <v>941</v>
      </c>
      <c r="AW117" s="1049"/>
      <c r="AX117" s="1049"/>
      <c r="AY117" s="1098" t="s">
        <v>942</v>
      </c>
      <c r="AZ117" s="1049"/>
      <c r="BA117" s="1049"/>
      <c r="BB117" s="1096"/>
      <c r="BC117" s="1048"/>
      <c r="BD117" s="1048"/>
      <c r="BE117" s="1048"/>
      <c r="BF117" s="1048"/>
      <c r="BG117" s="1048"/>
      <c r="BH117" s="1048"/>
      <c r="BI117" s="1048"/>
      <c r="BJ117" s="1048"/>
      <c r="BK117" s="1048"/>
      <c r="BL117" s="1048"/>
      <c r="BM117" s="1107"/>
      <c r="BN117" s="1107"/>
      <c r="BO117" s="1107"/>
      <c r="BP117" s="1107"/>
      <c r="BQ117" s="1107"/>
      <c r="BR117" s="1107"/>
      <c r="BS117" s="1107"/>
      <c r="BT117" s="1107"/>
      <c r="BU117" s="1045"/>
    </row>
    <row r="118" spans="1:73" ht="17.45" customHeight="1">
      <c r="A118" s="1133"/>
      <c r="B118" s="1133"/>
      <c r="C118" s="1133"/>
      <c r="D118" s="1133"/>
      <c r="E118" s="1133"/>
      <c r="F118" s="1133"/>
      <c r="G118" s="1133"/>
      <c r="H118" s="1133"/>
      <c r="I118" s="1133"/>
      <c r="J118" s="1133"/>
      <c r="K118" s="1133"/>
      <c r="L118" s="1133"/>
      <c r="M118" s="1133"/>
      <c r="N118" s="1133"/>
      <c r="O118" s="1133"/>
      <c r="P118" s="1133"/>
      <c r="Q118" s="1133"/>
      <c r="R118" s="1133"/>
      <c r="S118" s="1133"/>
      <c r="T118" s="1133"/>
      <c r="U118" s="1133"/>
      <c r="V118" s="1133"/>
      <c r="W118" s="1224"/>
      <c r="X118" s="1224"/>
      <c r="Y118" s="1224"/>
      <c r="Z118" s="1224"/>
      <c r="AA118" s="1224"/>
      <c r="AB118" s="1224"/>
      <c r="AC118" s="1224"/>
      <c r="AD118" s="1224"/>
      <c r="AE118" s="1224"/>
      <c r="AF118" s="1224"/>
      <c r="AG118" s="1224"/>
      <c r="AH118" s="1224"/>
      <c r="AI118" s="1224"/>
      <c r="AJ118" s="1098"/>
      <c r="AK118" s="1098"/>
      <c r="AL118" s="1098"/>
      <c r="AM118" s="1098"/>
      <c r="AN118" s="1098"/>
      <c r="AO118" s="1098"/>
      <c r="AP118" s="1098"/>
      <c r="AQ118" s="1098"/>
      <c r="AR118" s="1098"/>
      <c r="AS118" s="1133"/>
      <c r="AT118" s="1048"/>
      <c r="AU118" s="1097"/>
      <c r="AV118" s="1098"/>
      <c r="AW118" s="1049"/>
      <c r="AX118" s="1049"/>
      <c r="AY118" s="1049"/>
      <c r="AZ118" s="1049"/>
      <c r="BA118" s="1049"/>
      <c r="BB118" s="1096"/>
      <c r="BC118" s="1048"/>
      <c r="BD118" s="1048"/>
      <c r="BE118" s="1048"/>
      <c r="BF118" s="1048"/>
      <c r="BG118" s="1048"/>
      <c r="BH118" s="1048"/>
      <c r="BI118" s="1048"/>
      <c r="BJ118" s="1048"/>
      <c r="BK118" s="1048"/>
      <c r="BL118" s="1048"/>
      <c r="BM118" s="1107"/>
      <c r="BN118" s="1107"/>
      <c r="BO118" s="1107"/>
      <c r="BP118" s="1107"/>
      <c r="BQ118" s="1107"/>
      <c r="BR118" s="1107"/>
      <c r="BS118" s="1107"/>
      <c r="BT118" s="1107"/>
      <c r="BU118" s="1045"/>
    </row>
    <row r="119" spans="1:73" ht="17.45" customHeight="1">
      <c r="A119" s="1133"/>
      <c r="B119" s="1133"/>
      <c r="C119" s="1133"/>
      <c r="D119" s="1133"/>
      <c r="E119" s="1133"/>
      <c r="F119" s="1133"/>
      <c r="G119" s="1133"/>
      <c r="H119" s="1133"/>
      <c r="I119" s="1133"/>
      <c r="J119" s="1133"/>
      <c r="K119" s="1133"/>
      <c r="L119" s="1133"/>
      <c r="M119" s="1133"/>
      <c r="N119" s="1133"/>
      <c r="O119" s="1133"/>
      <c r="P119" s="1133"/>
      <c r="Q119" s="1133"/>
      <c r="R119" s="1133"/>
      <c r="S119" s="1133"/>
      <c r="T119" s="1133"/>
      <c r="U119" s="1133"/>
      <c r="V119" s="1133"/>
      <c r="W119" s="1224"/>
      <c r="X119" s="1224"/>
      <c r="Y119" s="1224"/>
      <c r="Z119" s="1224"/>
      <c r="AA119" s="1224"/>
      <c r="AB119" s="1224"/>
      <c r="AC119" s="1224"/>
      <c r="AD119" s="1224"/>
      <c r="AE119" s="1224"/>
      <c r="AF119" s="1224"/>
      <c r="AG119" s="1224"/>
      <c r="AH119" s="1224"/>
      <c r="AI119" s="1224"/>
      <c r="AJ119" s="1049"/>
      <c r="AK119" s="1049"/>
      <c r="AL119" s="1049"/>
      <c r="AM119" s="1049"/>
      <c r="AN119" s="1049"/>
      <c r="AO119" s="1049"/>
      <c r="AP119" s="1049"/>
      <c r="AQ119" s="1049"/>
      <c r="AR119" s="1049"/>
      <c r="AS119" s="1133"/>
      <c r="AT119" s="1048"/>
      <c r="AU119" s="1097" t="s">
        <v>943</v>
      </c>
      <c r="AV119" s="1049" t="s">
        <v>944</v>
      </c>
      <c r="AW119" s="1049"/>
      <c r="AX119" s="1049"/>
      <c r="AY119" s="1101">
        <v>9.23</v>
      </c>
      <c r="AZ119" s="1098" t="s">
        <v>875</v>
      </c>
      <c r="BA119" s="1049"/>
      <c r="BB119" s="1096"/>
      <c r="BC119" s="1048"/>
      <c r="BD119" s="1048"/>
      <c r="BE119" s="1048"/>
      <c r="BF119" s="1048"/>
      <c r="BG119" s="1048"/>
      <c r="BH119" s="1048"/>
      <c r="BI119" s="1048"/>
      <c r="BJ119" s="1048"/>
      <c r="BK119" s="1048"/>
      <c r="BL119" s="1048"/>
      <c r="BM119" s="1107"/>
      <c r="BN119" s="1107"/>
      <c r="BO119" s="1107"/>
      <c r="BP119" s="1107"/>
      <c r="BQ119" s="1107"/>
      <c r="BR119" s="1107"/>
      <c r="BS119" s="1107"/>
      <c r="BT119" s="1107"/>
      <c r="BU119" s="1045"/>
    </row>
    <row r="120" spans="1:73" ht="17.45" customHeight="1">
      <c r="A120" s="1133"/>
      <c r="B120" s="1133"/>
      <c r="C120" s="1133"/>
      <c r="D120" s="1133"/>
      <c r="E120" s="1133"/>
      <c r="F120" s="1133"/>
      <c r="G120" s="1133"/>
      <c r="H120" s="1133"/>
      <c r="I120" s="1133"/>
      <c r="J120" s="1133"/>
      <c r="K120" s="1133"/>
      <c r="L120" s="1133"/>
      <c r="M120" s="1133"/>
      <c r="N120" s="1133"/>
      <c r="O120" s="1133"/>
      <c r="P120" s="1133"/>
      <c r="Q120" s="1133"/>
      <c r="R120" s="1133"/>
      <c r="S120" s="1133"/>
      <c r="T120" s="1133"/>
      <c r="U120" s="1133"/>
      <c r="V120" s="1133"/>
      <c r="W120" s="1224"/>
      <c r="X120" s="1224"/>
      <c r="Y120" s="1224"/>
      <c r="Z120" s="1224"/>
      <c r="AA120" s="1224"/>
      <c r="AB120" s="1224"/>
      <c r="AC120" s="1224"/>
      <c r="AD120" s="1224"/>
      <c r="AE120" s="1224"/>
      <c r="AF120" s="1224"/>
      <c r="AG120" s="1224"/>
      <c r="AH120" s="1224"/>
      <c r="AI120" s="1224"/>
      <c r="AJ120" s="1049"/>
      <c r="AK120" s="1049"/>
      <c r="AL120" s="1049"/>
      <c r="AM120" s="1049"/>
      <c r="AN120" s="1049"/>
      <c r="AO120" s="1049"/>
      <c r="AP120" s="1049"/>
      <c r="AQ120" s="1049"/>
      <c r="AR120" s="1049"/>
      <c r="AS120" s="1133"/>
      <c r="AT120" s="1048"/>
      <c r="AU120" s="1097" t="s">
        <v>945</v>
      </c>
      <c r="AV120" s="1049" t="s">
        <v>946</v>
      </c>
      <c r="AW120" s="1049"/>
      <c r="AX120" s="1049"/>
      <c r="AY120" s="1101"/>
      <c r="AZ120" s="1098"/>
      <c r="BA120" s="1049"/>
      <c r="BB120" s="1096"/>
      <c r="BC120" s="1048"/>
      <c r="BD120" s="1048"/>
      <c r="BE120" s="1048"/>
      <c r="BF120" s="1048"/>
      <c r="BG120" s="1048"/>
      <c r="BH120" s="1048"/>
      <c r="BI120" s="1048"/>
      <c r="BJ120" s="1048"/>
      <c r="BK120" s="1048"/>
      <c r="BL120" s="1048"/>
      <c r="BM120" s="1107"/>
      <c r="BN120" s="1107"/>
      <c r="BO120" s="1107"/>
      <c r="BP120" s="1107"/>
      <c r="BQ120" s="1107"/>
      <c r="BR120" s="1107"/>
      <c r="BS120" s="1107"/>
      <c r="BT120" s="1107"/>
      <c r="BU120" s="1045"/>
    </row>
    <row r="121" spans="1:73" ht="17.45" customHeight="1">
      <c r="A121" s="1133"/>
      <c r="B121" s="1133"/>
      <c r="C121" s="1133"/>
      <c r="D121" s="1133"/>
      <c r="E121" s="1133"/>
      <c r="F121" s="1133"/>
      <c r="G121" s="1133"/>
      <c r="H121" s="1133"/>
      <c r="I121" s="1133"/>
      <c r="J121" s="1133"/>
      <c r="K121" s="1133"/>
      <c r="L121" s="1133"/>
      <c r="M121" s="1133"/>
      <c r="N121" s="1133"/>
      <c r="O121" s="1133"/>
      <c r="P121" s="1133"/>
      <c r="Q121" s="1133"/>
      <c r="R121" s="1133"/>
      <c r="S121" s="1133"/>
      <c r="T121" s="1133"/>
      <c r="U121" s="1133"/>
      <c r="V121" s="1133"/>
      <c r="W121" s="1224"/>
      <c r="X121" s="1224"/>
      <c r="Y121" s="1224"/>
      <c r="Z121" s="1224"/>
      <c r="AA121" s="1224"/>
      <c r="AB121" s="1224"/>
      <c r="AC121" s="1224"/>
      <c r="AD121" s="1224"/>
      <c r="AE121" s="1224"/>
      <c r="AF121" s="1224"/>
      <c r="AG121" s="1224"/>
      <c r="AH121" s="1224"/>
      <c r="AI121" s="1224"/>
      <c r="AJ121" s="1049"/>
      <c r="AK121" s="1049"/>
      <c r="AL121" s="1049"/>
      <c r="AM121" s="1049"/>
      <c r="AN121" s="1049"/>
      <c r="AO121" s="1049"/>
      <c r="AP121" s="1049"/>
      <c r="AQ121" s="1049"/>
      <c r="AR121" s="1049"/>
      <c r="AS121" s="1133"/>
      <c r="AT121" s="1048"/>
      <c r="AU121" s="1097"/>
      <c r="AV121" s="1049"/>
      <c r="AW121" s="1049" t="s">
        <v>947</v>
      </c>
      <c r="AX121" s="1049"/>
      <c r="AY121" s="1101">
        <v>13.15</v>
      </c>
      <c r="AZ121" s="1098" t="s">
        <v>875</v>
      </c>
      <c r="BA121" s="1049"/>
      <c r="BB121" s="1096"/>
      <c r="BC121" s="1048"/>
      <c r="BD121" s="1048"/>
      <c r="BE121" s="1048"/>
      <c r="BF121" s="1048"/>
      <c r="BG121" s="1048"/>
      <c r="BH121" s="1048"/>
      <c r="BI121" s="1048"/>
      <c r="BJ121" s="1048"/>
      <c r="BK121" s="1048"/>
      <c r="BL121" s="1048"/>
      <c r="BM121" s="1107"/>
      <c r="BN121" s="1107"/>
      <c r="BO121" s="1107"/>
      <c r="BP121" s="1107"/>
      <c r="BQ121" s="1107"/>
      <c r="BR121" s="1107"/>
      <c r="BS121" s="1107"/>
      <c r="BT121" s="1107"/>
      <c r="BU121" s="1045"/>
    </row>
    <row r="122" spans="1:73" ht="17.45" customHeight="1">
      <c r="A122" s="1133"/>
      <c r="B122" s="1133"/>
      <c r="C122" s="1133"/>
      <c r="D122" s="1133"/>
      <c r="E122" s="1133"/>
      <c r="F122" s="1133"/>
      <c r="G122" s="1133"/>
      <c r="H122" s="1133"/>
      <c r="I122" s="1133"/>
      <c r="J122" s="1133"/>
      <c r="K122" s="1133"/>
      <c r="L122" s="1133"/>
      <c r="M122" s="1133"/>
      <c r="N122" s="1133"/>
      <c r="O122" s="1133"/>
      <c r="P122" s="1133"/>
      <c r="Q122" s="1133"/>
      <c r="R122" s="1133"/>
      <c r="S122" s="1133"/>
      <c r="T122" s="1133"/>
      <c r="U122" s="1133"/>
      <c r="V122" s="1133"/>
      <c r="W122" s="1224"/>
      <c r="X122" s="1224"/>
      <c r="Y122" s="1224"/>
      <c r="Z122" s="1224"/>
      <c r="AA122" s="1224"/>
      <c r="AB122" s="1224"/>
      <c r="AC122" s="1224"/>
      <c r="AD122" s="1224"/>
      <c r="AE122" s="1224"/>
      <c r="AF122" s="1224"/>
      <c r="AG122" s="1224"/>
      <c r="AH122" s="1224"/>
      <c r="AI122" s="1224"/>
      <c r="AJ122" s="1049"/>
      <c r="AK122" s="1049"/>
      <c r="AL122" s="1049"/>
      <c r="AM122" s="1049"/>
      <c r="AN122" s="1049"/>
      <c r="AO122" s="1049"/>
      <c r="AP122" s="1049"/>
      <c r="AQ122" s="1049"/>
      <c r="AR122" s="1049"/>
      <c r="AS122" s="1133"/>
      <c r="AT122" s="1048"/>
      <c r="AU122" s="1097"/>
      <c r="AV122" s="1049"/>
      <c r="AW122" s="1049" t="s">
        <v>948</v>
      </c>
      <c r="AX122" s="1049"/>
      <c r="AY122" s="1101">
        <v>12.8</v>
      </c>
      <c r="AZ122" s="1098" t="s">
        <v>875</v>
      </c>
      <c r="BA122" s="1049"/>
      <c r="BB122" s="1096"/>
      <c r="BC122" s="1048"/>
      <c r="BD122" s="1048"/>
      <c r="BE122" s="1048"/>
      <c r="BF122" s="1048"/>
      <c r="BG122" s="1048"/>
      <c r="BH122" s="1048"/>
      <c r="BI122" s="1048"/>
      <c r="BJ122" s="1048"/>
      <c r="BK122" s="1048"/>
      <c r="BL122" s="1048"/>
      <c r="BM122" s="1107"/>
      <c r="BN122" s="1107"/>
      <c r="BO122" s="1107"/>
      <c r="BP122" s="1107"/>
      <c r="BQ122" s="1107"/>
      <c r="BR122" s="1107"/>
      <c r="BS122" s="1107"/>
      <c r="BT122" s="1107"/>
      <c r="BU122" s="1045"/>
    </row>
    <row r="123" spans="1:73" ht="17.45" customHeight="1">
      <c r="A123" s="1133"/>
      <c r="B123" s="1133"/>
      <c r="C123" s="1133"/>
      <c r="D123" s="1133"/>
      <c r="E123" s="1133"/>
      <c r="F123" s="1133"/>
      <c r="G123" s="1133"/>
      <c r="H123" s="1133"/>
      <c r="I123" s="1133"/>
      <c r="J123" s="1133"/>
      <c r="K123" s="1133"/>
      <c r="L123" s="1133"/>
      <c r="M123" s="1133"/>
      <c r="N123" s="1133"/>
      <c r="O123" s="1133"/>
      <c r="P123" s="1133"/>
      <c r="Q123" s="1133"/>
      <c r="R123" s="1133"/>
      <c r="S123" s="1133"/>
      <c r="T123" s="1133"/>
      <c r="U123" s="1133"/>
      <c r="V123" s="1133"/>
      <c r="W123" s="1224"/>
      <c r="X123" s="1224"/>
      <c r="Y123" s="1224"/>
      <c r="Z123" s="1224"/>
      <c r="AA123" s="1224"/>
      <c r="AB123" s="1224"/>
      <c r="AC123" s="1224"/>
      <c r="AD123" s="1224"/>
      <c r="AE123" s="1224"/>
      <c r="AF123" s="1224"/>
      <c r="AG123" s="1224"/>
      <c r="AH123" s="1224"/>
      <c r="AI123" s="1224"/>
      <c r="AJ123" s="1049"/>
      <c r="AK123" s="1049"/>
      <c r="AL123" s="1049"/>
      <c r="AM123" s="1049"/>
      <c r="AN123" s="1049"/>
      <c r="AO123" s="1049"/>
      <c r="AP123" s="1049"/>
      <c r="AQ123" s="1049"/>
      <c r="AR123" s="1049"/>
      <c r="AS123" s="1133"/>
      <c r="AT123" s="1048"/>
      <c r="AU123" s="1097"/>
      <c r="AV123" s="1049"/>
      <c r="AW123" s="1049" t="s">
        <v>949</v>
      </c>
      <c r="AX123" s="1049"/>
      <c r="AY123" s="1101">
        <v>11.49</v>
      </c>
      <c r="AZ123" s="1098" t="s">
        <v>875</v>
      </c>
      <c r="BA123" s="1049"/>
      <c r="BB123" s="1096"/>
      <c r="BC123" s="1048"/>
      <c r="BD123" s="1048"/>
      <c r="BE123" s="1048"/>
      <c r="BF123" s="1048"/>
      <c r="BG123" s="1048"/>
      <c r="BH123" s="1048"/>
      <c r="BI123" s="1048"/>
      <c r="BJ123" s="1048"/>
      <c r="BK123" s="1048"/>
      <c r="BL123" s="1048"/>
      <c r="BM123" s="1107"/>
      <c r="BN123" s="1107"/>
      <c r="BO123" s="1107"/>
      <c r="BP123" s="1107"/>
      <c r="BQ123" s="1107"/>
      <c r="BR123" s="1107"/>
      <c r="BS123" s="1107"/>
      <c r="BT123" s="1107"/>
      <c r="BU123" s="1045"/>
    </row>
    <row r="124" spans="1:73" ht="17.45" customHeight="1">
      <c r="A124" s="1133"/>
      <c r="B124" s="1133"/>
      <c r="C124" s="1133"/>
      <c r="D124" s="1133"/>
      <c r="E124" s="1133"/>
      <c r="F124" s="1133"/>
      <c r="G124" s="1133"/>
      <c r="H124" s="1133"/>
      <c r="I124" s="1133"/>
      <c r="J124" s="1133"/>
      <c r="K124" s="1133"/>
      <c r="L124" s="1133"/>
      <c r="M124" s="1133"/>
      <c r="N124" s="1133"/>
      <c r="O124" s="1133"/>
      <c r="P124" s="1133"/>
      <c r="Q124" s="1133"/>
      <c r="R124" s="1133"/>
      <c r="S124" s="1133"/>
      <c r="T124" s="1133"/>
      <c r="U124" s="1133"/>
      <c r="V124" s="1133"/>
      <c r="W124" s="1224"/>
      <c r="X124" s="1224"/>
      <c r="Y124" s="1224"/>
      <c r="Z124" s="1224"/>
      <c r="AA124" s="1224"/>
      <c r="AB124" s="1224"/>
      <c r="AC124" s="1224"/>
      <c r="AD124" s="1224"/>
      <c r="AE124" s="1224"/>
      <c r="AF124" s="1224"/>
      <c r="AG124" s="1224"/>
      <c r="AH124" s="1224"/>
      <c r="AI124" s="1224"/>
      <c r="AJ124" s="1049"/>
      <c r="AK124" s="1049"/>
      <c r="AL124" s="1049"/>
      <c r="AM124" s="1049"/>
      <c r="AN124" s="1049"/>
      <c r="AO124" s="1049"/>
      <c r="AP124" s="1049"/>
      <c r="AQ124" s="1049"/>
      <c r="AR124" s="1049"/>
      <c r="AS124" s="1133"/>
      <c r="AT124" s="1048"/>
      <c r="AU124" s="1097"/>
      <c r="AV124" s="1049"/>
      <c r="AW124" s="1049" t="s">
        <v>950</v>
      </c>
      <c r="AX124" s="1049"/>
      <c r="AY124" s="1101">
        <v>9.23</v>
      </c>
      <c r="AZ124" s="1098" t="s">
        <v>875</v>
      </c>
      <c r="BA124" s="1049"/>
      <c r="BB124" s="1096"/>
      <c r="BC124" s="1048"/>
      <c r="BD124" s="1048"/>
      <c r="BE124" s="1048"/>
      <c r="BF124" s="1048"/>
      <c r="BG124" s="1048"/>
      <c r="BH124" s="1048"/>
      <c r="BI124" s="1048"/>
      <c r="BJ124" s="1048"/>
      <c r="BK124" s="1048"/>
      <c r="BL124" s="1048"/>
      <c r="BM124" s="1107"/>
      <c r="BN124" s="1107"/>
      <c r="BO124" s="1107"/>
      <c r="BP124" s="1107"/>
      <c r="BQ124" s="1107"/>
      <c r="BR124" s="1107"/>
      <c r="BS124" s="1107"/>
      <c r="BT124" s="1107"/>
      <c r="BU124" s="1045"/>
    </row>
    <row r="125" spans="1:73" ht="17.45" customHeight="1">
      <c r="A125" s="1133"/>
      <c r="B125" s="1133"/>
      <c r="C125" s="1133"/>
      <c r="D125" s="1133"/>
      <c r="E125" s="1133"/>
      <c r="F125" s="1133"/>
      <c r="G125" s="1133"/>
      <c r="H125" s="1133"/>
      <c r="I125" s="1133"/>
      <c r="J125" s="1133"/>
      <c r="K125" s="1133"/>
      <c r="L125" s="1133"/>
      <c r="M125" s="1133"/>
      <c r="N125" s="1133"/>
      <c r="O125" s="1133"/>
      <c r="P125" s="1133"/>
      <c r="Q125" s="1133"/>
      <c r="R125" s="1133"/>
      <c r="S125" s="1133"/>
      <c r="T125" s="1133"/>
      <c r="U125" s="1133"/>
      <c r="V125" s="1133"/>
      <c r="W125" s="1224"/>
      <c r="X125" s="1224"/>
      <c r="Y125" s="1224"/>
      <c r="Z125" s="1224"/>
      <c r="AA125" s="1224"/>
      <c r="AB125" s="1224"/>
      <c r="AC125" s="1224"/>
      <c r="AD125" s="1224"/>
      <c r="AE125" s="1224"/>
      <c r="AF125" s="1224"/>
      <c r="AG125" s="1224"/>
      <c r="AH125" s="1224"/>
      <c r="AI125" s="1224"/>
      <c r="AJ125" s="1049"/>
      <c r="AK125" s="1049"/>
      <c r="AL125" s="1049"/>
      <c r="AM125" s="1049"/>
      <c r="AN125" s="1049"/>
      <c r="AO125" s="1049"/>
      <c r="AP125" s="1049"/>
      <c r="AQ125" s="1049"/>
      <c r="AR125" s="1049"/>
      <c r="AS125" s="1133"/>
      <c r="AT125" s="1048"/>
      <c r="AU125" s="1097" t="s">
        <v>951</v>
      </c>
      <c r="AV125" s="1049" t="s">
        <v>952</v>
      </c>
      <c r="AW125" s="1049"/>
      <c r="AX125" s="1049"/>
      <c r="AY125" s="1102"/>
      <c r="AZ125" s="1049"/>
      <c r="BA125" s="1049"/>
      <c r="BB125" s="1096"/>
      <c r="BC125" s="1082"/>
      <c r="BD125" s="1082"/>
      <c r="BE125" s="1082"/>
      <c r="BF125" s="1082"/>
      <c r="BG125" s="1082"/>
      <c r="BH125" s="1082"/>
      <c r="BI125" s="1082"/>
      <c r="BJ125" s="1082"/>
      <c r="BK125" s="1082"/>
      <c r="BL125" s="1082"/>
      <c r="BM125" s="1107"/>
      <c r="BN125" s="1107"/>
      <c r="BO125" s="1107"/>
      <c r="BP125" s="1107"/>
      <c r="BQ125" s="1107"/>
      <c r="BR125" s="1107"/>
      <c r="BS125" s="1107"/>
      <c r="BT125" s="1107"/>
      <c r="BU125" s="1045"/>
    </row>
    <row r="126" spans="1:73" ht="17.45" customHeight="1">
      <c r="A126" s="1133"/>
      <c r="B126" s="1133"/>
      <c r="C126" s="1133"/>
      <c r="D126" s="1133"/>
      <c r="E126" s="1133"/>
      <c r="F126" s="1133"/>
      <c r="G126" s="1133"/>
      <c r="H126" s="1133"/>
      <c r="I126" s="1133"/>
      <c r="J126" s="1133"/>
      <c r="K126" s="1133"/>
      <c r="L126" s="1133"/>
      <c r="M126" s="1133"/>
      <c r="N126" s="1133"/>
      <c r="O126" s="1133"/>
      <c r="P126" s="1133"/>
      <c r="Q126" s="1133"/>
      <c r="R126" s="1133"/>
      <c r="S126" s="1133"/>
      <c r="T126" s="1133"/>
      <c r="U126" s="1133"/>
      <c r="V126" s="1133"/>
      <c r="W126" s="1224"/>
      <c r="X126" s="1224"/>
      <c r="Y126" s="1224"/>
      <c r="Z126" s="1224"/>
      <c r="AA126" s="1224"/>
      <c r="AB126" s="1224"/>
      <c r="AC126" s="1224"/>
      <c r="AD126" s="1224"/>
      <c r="AE126" s="1224"/>
      <c r="AF126" s="1224"/>
      <c r="AG126" s="1224"/>
      <c r="AH126" s="1224"/>
      <c r="AI126" s="1224"/>
      <c r="AJ126" s="1098"/>
      <c r="AK126" s="1098"/>
      <c r="AL126" s="1098"/>
      <c r="AM126" s="1098"/>
      <c r="AN126" s="1098"/>
      <c r="AO126" s="1098"/>
      <c r="AP126" s="1098"/>
      <c r="AQ126" s="1098"/>
      <c r="AR126" s="1098"/>
      <c r="AS126" s="1133"/>
      <c r="AT126" s="1048"/>
      <c r="AU126" s="1097"/>
      <c r="AV126" s="1098"/>
      <c r="AW126" s="1049"/>
      <c r="AX126" s="1049"/>
      <c r="AY126" s="1049"/>
      <c r="AZ126" s="1049"/>
      <c r="BA126" s="1049"/>
      <c r="BB126" s="1096"/>
      <c r="BC126" s="1048"/>
      <c r="BD126" s="1048"/>
      <c r="BE126" s="1048"/>
      <c r="BF126" s="1048"/>
      <c r="BG126" s="1048"/>
      <c r="BH126" s="1048"/>
      <c r="BI126" s="1048"/>
      <c r="BJ126" s="1048"/>
      <c r="BK126" s="1048"/>
      <c r="BL126" s="1048"/>
      <c r="BM126" s="1107"/>
      <c r="BN126" s="1107"/>
      <c r="BO126" s="1107"/>
      <c r="BP126" s="1107"/>
      <c r="BQ126" s="1107"/>
      <c r="BR126" s="1107"/>
      <c r="BS126" s="1107"/>
      <c r="BT126" s="1107"/>
    </row>
    <row r="127" spans="1:73" ht="17.45" customHeight="1">
      <c r="A127" s="1133"/>
      <c r="B127" s="1133"/>
      <c r="C127" s="1133"/>
      <c r="D127" s="1133"/>
      <c r="E127" s="1133"/>
      <c r="F127" s="1133"/>
      <c r="G127" s="1133"/>
      <c r="H127" s="1133"/>
      <c r="I127" s="1133"/>
      <c r="J127" s="1133"/>
      <c r="K127" s="1133"/>
      <c r="L127" s="1133"/>
      <c r="M127" s="1133"/>
      <c r="N127" s="1133"/>
      <c r="O127" s="1133"/>
      <c r="P127" s="1133"/>
      <c r="Q127" s="1133"/>
      <c r="R127" s="1133"/>
      <c r="S127" s="1133"/>
      <c r="T127" s="1133"/>
      <c r="U127" s="1133"/>
      <c r="V127" s="1133"/>
      <c r="W127" s="1224"/>
      <c r="X127" s="1224"/>
      <c r="Y127" s="1224"/>
      <c r="Z127" s="1224"/>
      <c r="AA127" s="1224"/>
      <c r="AB127" s="1224"/>
      <c r="AC127" s="1224"/>
      <c r="AD127" s="1224"/>
      <c r="AE127" s="1224"/>
      <c r="AF127" s="1224"/>
      <c r="AG127" s="1224"/>
      <c r="AH127" s="1224"/>
      <c r="AI127" s="1224"/>
      <c r="AJ127" s="1103"/>
      <c r="AK127" s="1103"/>
      <c r="AL127" s="1103"/>
      <c r="AM127" s="1103"/>
      <c r="AN127" s="1103"/>
      <c r="AO127" s="1103"/>
      <c r="AP127" s="1103"/>
      <c r="AQ127" s="1103"/>
      <c r="AR127" s="1103"/>
      <c r="AS127" s="1133"/>
      <c r="AT127" s="1048"/>
      <c r="AU127" s="1097" t="s">
        <v>953</v>
      </c>
      <c r="AV127" s="1103" t="s">
        <v>976</v>
      </c>
      <c r="AW127" s="1049"/>
      <c r="AX127" s="1049"/>
      <c r="AY127" s="1049"/>
      <c r="AZ127" s="1049"/>
      <c r="BA127" s="1049"/>
      <c r="BB127" s="1096"/>
      <c r="BC127" s="1048"/>
      <c r="BD127" s="1048"/>
      <c r="BE127" s="1048"/>
      <c r="BF127" s="1048"/>
      <c r="BG127" s="1048"/>
      <c r="BH127" s="1048"/>
      <c r="BI127" s="1048"/>
      <c r="BJ127" s="1048"/>
      <c r="BK127" s="1048"/>
      <c r="BL127" s="1048"/>
      <c r="BM127" s="1107"/>
      <c r="BN127" s="1107"/>
      <c r="BO127" s="1107"/>
      <c r="BP127" s="1107"/>
      <c r="BQ127" s="1107"/>
      <c r="BR127" s="1107"/>
      <c r="BS127" s="1107"/>
      <c r="BT127" s="1107"/>
    </row>
    <row r="128" spans="1:73" ht="17.45" customHeight="1">
      <c r="A128" s="1133"/>
      <c r="B128" s="1133"/>
      <c r="C128" s="1133"/>
      <c r="D128" s="1133"/>
      <c r="E128" s="1133"/>
      <c r="F128" s="1133"/>
      <c r="G128" s="1133"/>
      <c r="H128" s="1133"/>
      <c r="I128" s="1133"/>
      <c r="J128" s="1133"/>
      <c r="K128" s="1133"/>
      <c r="L128" s="1133"/>
      <c r="M128" s="1133"/>
      <c r="N128" s="1133"/>
      <c r="O128" s="1133"/>
      <c r="P128" s="1133"/>
      <c r="Q128" s="1133"/>
      <c r="R128" s="1133"/>
      <c r="S128" s="1133"/>
      <c r="T128" s="1133"/>
      <c r="U128" s="1133"/>
      <c r="V128" s="1133"/>
      <c r="W128" s="1224"/>
      <c r="X128" s="1224"/>
      <c r="Y128" s="1224"/>
      <c r="Z128" s="1224"/>
      <c r="AA128" s="1224"/>
      <c r="AB128" s="1224"/>
      <c r="AC128" s="1224"/>
      <c r="AD128" s="1224"/>
      <c r="AE128" s="1224"/>
      <c r="AF128" s="1224"/>
      <c r="AG128" s="1224"/>
      <c r="AH128" s="1224"/>
      <c r="AI128" s="1224"/>
      <c r="AJ128" s="1049"/>
      <c r="AK128" s="1049"/>
      <c r="AL128" s="1049"/>
      <c r="AM128" s="1049"/>
      <c r="AN128" s="1049"/>
      <c r="AO128" s="1049"/>
      <c r="AP128" s="1049"/>
      <c r="AQ128" s="1049"/>
      <c r="AR128" s="1049"/>
      <c r="AS128" s="1133"/>
      <c r="AT128" s="1048"/>
      <c r="AU128" s="1097" t="s">
        <v>954</v>
      </c>
      <c r="AV128" s="1049"/>
      <c r="AW128" s="1049" t="s">
        <v>955</v>
      </c>
      <c r="AX128" s="1049"/>
      <c r="AY128" s="1049"/>
      <c r="AZ128" s="1049"/>
      <c r="BA128" s="1049"/>
      <c r="BB128" s="1096"/>
      <c r="BC128" s="1048"/>
      <c r="BD128" s="1048"/>
      <c r="BE128" s="1048"/>
      <c r="BF128" s="1048"/>
      <c r="BG128" s="1048"/>
      <c r="BH128" s="1048"/>
      <c r="BI128" s="1048"/>
      <c r="BJ128" s="1048"/>
      <c r="BK128" s="1048"/>
      <c r="BL128" s="1048"/>
      <c r="BM128" s="1107"/>
      <c r="BN128" s="1107"/>
      <c r="BO128" s="1107"/>
      <c r="BP128" s="1107"/>
      <c r="BQ128" s="1107"/>
      <c r="BR128" s="1107"/>
      <c r="BS128" s="1107"/>
      <c r="BT128" s="1107"/>
    </row>
    <row r="129" spans="1:72" ht="17.45" customHeight="1">
      <c r="A129" s="1133"/>
      <c r="B129" s="1133"/>
      <c r="C129" s="1133"/>
      <c r="D129" s="1133"/>
      <c r="E129" s="1133"/>
      <c r="F129" s="1133"/>
      <c r="G129" s="1133"/>
      <c r="H129" s="1133"/>
      <c r="I129" s="1133"/>
      <c r="J129" s="1133"/>
      <c r="K129" s="1133"/>
      <c r="L129" s="1133"/>
      <c r="M129" s="1133"/>
      <c r="N129" s="1133"/>
      <c r="O129" s="1133"/>
      <c r="P129" s="1133"/>
      <c r="Q129" s="1133"/>
      <c r="R129" s="1133"/>
      <c r="S129" s="1133"/>
      <c r="T129" s="1133"/>
      <c r="U129" s="1133"/>
      <c r="V129" s="1133"/>
      <c r="W129" s="1224"/>
      <c r="X129" s="1224"/>
      <c r="Y129" s="1224"/>
      <c r="Z129" s="1224"/>
      <c r="AA129" s="1224"/>
      <c r="AB129" s="1224"/>
      <c r="AC129" s="1224"/>
      <c r="AD129" s="1224"/>
      <c r="AE129" s="1224"/>
      <c r="AF129" s="1224"/>
      <c r="AG129" s="1224"/>
      <c r="AH129" s="1224"/>
      <c r="AI129" s="1224"/>
      <c r="AJ129" s="1049"/>
      <c r="AK129" s="1049"/>
      <c r="AL129" s="1049"/>
      <c r="AM129" s="1049"/>
      <c r="AN129" s="1049"/>
      <c r="AO129" s="1049"/>
      <c r="AP129" s="1049"/>
      <c r="AQ129" s="1049"/>
      <c r="AR129" s="1049"/>
      <c r="AS129" s="1133"/>
      <c r="AT129" s="1048"/>
      <c r="AU129" s="1097" t="s">
        <v>956</v>
      </c>
      <c r="AV129" s="1049"/>
      <c r="AW129" s="1049" t="s">
        <v>957</v>
      </c>
      <c r="AX129" s="1049"/>
      <c r="AY129" s="1049"/>
      <c r="AZ129" s="1049"/>
      <c r="BA129" s="1049"/>
      <c r="BB129" s="1096"/>
      <c r="BC129" s="1048"/>
      <c r="BD129" s="1048"/>
      <c r="BE129" s="1048"/>
      <c r="BF129" s="1048"/>
      <c r="BG129" s="1048"/>
      <c r="BH129" s="1048"/>
      <c r="BI129" s="1048"/>
      <c r="BJ129" s="1048"/>
      <c r="BK129" s="1048"/>
      <c r="BL129" s="1048"/>
      <c r="BM129" s="1107"/>
      <c r="BN129" s="1107"/>
      <c r="BO129" s="1107"/>
      <c r="BP129" s="1107"/>
      <c r="BQ129" s="1107"/>
      <c r="BR129" s="1107"/>
      <c r="BS129" s="1107"/>
      <c r="BT129" s="1107"/>
    </row>
    <row r="130" spans="1:72" ht="17.45" customHeight="1">
      <c r="A130" s="1133"/>
      <c r="B130" s="1133"/>
      <c r="C130" s="1133"/>
      <c r="D130" s="1133"/>
      <c r="E130" s="1133"/>
      <c r="F130" s="1133"/>
      <c r="G130" s="1133"/>
      <c r="H130" s="1133"/>
      <c r="I130" s="1133"/>
      <c r="J130" s="1133"/>
      <c r="K130" s="1133"/>
      <c r="L130" s="1133"/>
      <c r="M130" s="1133"/>
      <c r="N130" s="1133"/>
      <c r="O130" s="1133"/>
      <c r="P130" s="1133"/>
      <c r="Q130" s="1133"/>
      <c r="R130" s="1133"/>
      <c r="S130" s="1133"/>
      <c r="T130" s="1133"/>
      <c r="U130" s="1133"/>
      <c r="V130" s="1133"/>
      <c r="W130" s="1224"/>
      <c r="X130" s="1224"/>
      <c r="Y130" s="1224"/>
      <c r="Z130" s="1224"/>
      <c r="AA130" s="1224"/>
      <c r="AB130" s="1224"/>
      <c r="AC130" s="1224"/>
      <c r="AD130" s="1224"/>
      <c r="AE130" s="1224"/>
      <c r="AF130" s="1224"/>
      <c r="AG130" s="1224"/>
      <c r="AH130" s="1224"/>
      <c r="AI130" s="1224"/>
      <c r="AJ130" s="1049"/>
      <c r="AK130" s="1049"/>
      <c r="AL130" s="1049"/>
      <c r="AM130" s="1049"/>
      <c r="AN130" s="1049"/>
      <c r="AO130" s="1049"/>
      <c r="AP130" s="1049"/>
      <c r="AQ130" s="1049"/>
      <c r="AR130" s="1049"/>
      <c r="AS130" s="1133"/>
      <c r="AT130" s="1048"/>
      <c r="AU130" s="1097" t="s">
        <v>958</v>
      </c>
      <c r="AV130" s="1049"/>
      <c r="AW130" s="1049" t="s">
        <v>959</v>
      </c>
      <c r="AX130" s="1049"/>
      <c r="AY130" s="1049"/>
      <c r="AZ130" s="1049"/>
      <c r="BA130" s="1049"/>
      <c r="BB130" s="1096"/>
      <c r="BC130" s="1048"/>
      <c r="BD130" s="1048"/>
      <c r="BE130" s="1048"/>
      <c r="BF130" s="1048"/>
      <c r="BG130" s="1048"/>
      <c r="BH130" s="1048"/>
      <c r="BI130" s="1048"/>
      <c r="BJ130" s="1048"/>
      <c r="BK130" s="1048"/>
      <c r="BL130" s="1048"/>
      <c r="BM130" s="1107"/>
      <c r="BN130" s="1107"/>
      <c r="BO130" s="1107"/>
      <c r="BP130" s="1107"/>
      <c r="BQ130" s="1107"/>
      <c r="BR130" s="1107"/>
      <c r="BS130" s="1107"/>
      <c r="BT130" s="1107"/>
    </row>
    <row r="131" spans="1:72" ht="17.45" customHeight="1">
      <c r="A131" s="1133"/>
      <c r="B131" s="1133"/>
      <c r="C131" s="1133"/>
      <c r="D131" s="1133"/>
      <c r="E131" s="1133"/>
      <c r="F131" s="1133"/>
      <c r="G131" s="1133"/>
      <c r="H131" s="1133"/>
      <c r="I131" s="1133"/>
      <c r="J131" s="1133"/>
      <c r="K131" s="1133"/>
      <c r="L131" s="1133"/>
      <c r="M131" s="1133"/>
      <c r="N131" s="1133"/>
      <c r="O131" s="1133"/>
      <c r="P131" s="1133"/>
      <c r="Q131" s="1133"/>
      <c r="R131" s="1133"/>
      <c r="S131" s="1133"/>
      <c r="T131" s="1133"/>
      <c r="U131" s="1133"/>
      <c r="V131" s="1133"/>
      <c r="W131" s="1224"/>
      <c r="X131" s="1224"/>
      <c r="Y131" s="1224"/>
      <c r="Z131" s="1224"/>
      <c r="AA131" s="1224"/>
      <c r="AB131" s="1224"/>
      <c r="AC131" s="1224"/>
      <c r="AD131" s="1224"/>
      <c r="AE131" s="1224"/>
      <c r="AF131" s="1224"/>
      <c r="AG131" s="1224"/>
      <c r="AH131" s="1224"/>
      <c r="AI131" s="1224"/>
      <c r="AJ131" s="1049"/>
      <c r="AK131" s="1049"/>
      <c r="AL131" s="1049"/>
      <c r="AM131" s="1049"/>
      <c r="AN131" s="1049"/>
      <c r="AO131" s="1049"/>
      <c r="AP131" s="1049"/>
      <c r="AQ131" s="1049"/>
      <c r="AR131" s="1049"/>
      <c r="AS131" s="1133"/>
      <c r="AT131" s="1048"/>
      <c r="AU131" s="1097" t="s">
        <v>960</v>
      </c>
      <c r="AV131" s="1049" t="s">
        <v>961</v>
      </c>
      <c r="AW131" s="1049"/>
      <c r="AX131" s="1049"/>
      <c r="AY131" s="1049"/>
      <c r="AZ131" s="1049"/>
      <c r="BA131" s="1049"/>
      <c r="BB131" s="1096"/>
      <c r="BC131" s="1048"/>
      <c r="BD131" s="1048"/>
      <c r="BE131" s="1048"/>
      <c r="BF131" s="1048"/>
      <c r="BG131" s="1048"/>
      <c r="BH131" s="1048"/>
      <c r="BI131" s="1048"/>
      <c r="BJ131" s="1048"/>
      <c r="BK131" s="1048"/>
      <c r="BL131" s="1048"/>
      <c r="BM131" s="1107"/>
      <c r="BN131" s="1107"/>
      <c r="BO131" s="1107"/>
      <c r="BP131" s="1107"/>
      <c r="BQ131" s="1107"/>
      <c r="BR131" s="1107"/>
      <c r="BS131" s="1107"/>
      <c r="BT131" s="1107"/>
    </row>
    <row r="132" spans="1:72" ht="17.45" customHeight="1" thickBot="1">
      <c r="A132" s="1133"/>
      <c r="B132" s="1133"/>
      <c r="C132" s="1133"/>
      <c r="D132" s="1133"/>
      <c r="E132" s="1133"/>
      <c r="F132" s="1133"/>
      <c r="G132" s="1133"/>
      <c r="H132" s="1133"/>
      <c r="I132" s="1133"/>
      <c r="J132" s="1133"/>
      <c r="K132" s="1133"/>
      <c r="L132" s="1133"/>
      <c r="M132" s="1133"/>
      <c r="N132" s="1133"/>
      <c r="O132" s="1133"/>
      <c r="P132" s="1133"/>
      <c r="Q132" s="1133"/>
      <c r="R132" s="1133"/>
      <c r="S132" s="1133"/>
      <c r="T132" s="1133"/>
      <c r="U132" s="1133"/>
      <c r="V132" s="1133"/>
      <c r="W132" s="1224"/>
      <c r="X132" s="1224"/>
      <c r="Y132" s="1224"/>
      <c r="Z132" s="1224"/>
      <c r="AA132" s="1224"/>
      <c r="AB132" s="1224"/>
      <c r="AC132" s="1224"/>
      <c r="AD132" s="1224"/>
      <c r="AE132" s="1224"/>
      <c r="AF132" s="1224"/>
      <c r="AG132" s="1224"/>
      <c r="AH132" s="1224"/>
      <c r="AI132" s="1224"/>
      <c r="AJ132" s="1105"/>
      <c r="AK132" s="1105"/>
      <c r="AL132" s="1105"/>
      <c r="AM132" s="1105"/>
      <c r="AN132" s="1105"/>
      <c r="AO132" s="1105"/>
      <c r="AP132" s="1105"/>
      <c r="AQ132" s="1105"/>
      <c r="AR132" s="1105"/>
      <c r="AS132" s="1133"/>
      <c r="AT132" s="1048"/>
      <c r="AU132" s="1104" t="s">
        <v>962</v>
      </c>
      <c r="AV132" s="1105" t="s">
        <v>963</v>
      </c>
      <c r="AW132" s="1105"/>
      <c r="AX132" s="1105"/>
      <c r="AY132" s="1105"/>
      <c r="AZ132" s="1105"/>
      <c r="BA132" s="1105"/>
      <c r="BB132" s="1106"/>
      <c r="BC132" s="1048"/>
      <c r="BD132" s="1048"/>
      <c r="BE132" s="1048"/>
      <c r="BF132" s="1048"/>
      <c r="BG132" s="1048"/>
      <c r="BH132" s="1048"/>
      <c r="BI132" s="1048"/>
      <c r="BJ132" s="1048"/>
      <c r="BK132" s="1048"/>
      <c r="BL132" s="1048"/>
      <c r="BM132" s="1107"/>
      <c r="BN132" s="1107"/>
      <c r="BO132" s="1107"/>
      <c r="BP132" s="1107"/>
      <c r="BQ132" s="1107"/>
      <c r="BR132" s="1107"/>
      <c r="BS132" s="1107"/>
      <c r="BT132" s="1107"/>
    </row>
    <row r="133" spans="1:72" ht="17.45" customHeight="1" thickTop="1">
      <c r="A133" s="1133"/>
      <c r="B133" s="1133"/>
      <c r="C133" s="1133"/>
      <c r="D133" s="1133"/>
      <c r="E133" s="1133"/>
      <c r="F133" s="1133"/>
      <c r="G133" s="1133"/>
      <c r="H133" s="1133"/>
      <c r="I133" s="1133"/>
      <c r="J133" s="1133"/>
      <c r="K133" s="1133"/>
      <c r="L133" s="1133"/>
      <c r="M133" s="1133"/>
      <c r="N133" s="1133"/>
      <c r="O133" s="1133"/>
      <c r="P133" s="1133"/>
      <c r="Q133" s="1133"/>
      <c r="R133" s="1133"/>
      <c r="S133" s="1133"/>
      <c r="T133" s="1133"/>
      <c r="U133" s="1133"/>
      <c r="V133" s="1133"/>
      <c r="W133" s="1133"/>
      <c r="X133" s="1133"/>
      <c r="Y133" s="1133"/>
      <c r="Z133" s="1133"/>
      <c r="AA133" s="1133"/>
      <c r="AB133" s="1133"/>
      <c r="AC133" s="1133"/>
      <c r="AD133" s="1133"/>
      <c r="AE133" s="1133"/>
      <c r="AF133" s="1133"/>
      <c r="AG133" s="1133"/>
      <c r="AH133" s="1133"/>
      <c r="AI133" s="1133"/>
      <c r="AJ133" s="1082"/>
      <c r="AK133" s="1082"/>
      <c r="AL133" s="1082"/>
      <c r="AM133" s="1082"/>
      <c r="AN133" s="1082"/>
      <c r="AO133" s="1082"/>
      <c r="AP133" s="1082"/>
      <c r="AQ133" s="1082"/>
      <c r="AR133" s="1082"/>
      <c r="AS133" s="1133"/>
      <c r="AT133" s="1082"/>
      <c r="AU133" s="1082"/>
      <c r="AV133" s="1082"/>
      <c r="AW133" s="1082"/>
      <c r="AX133" s="1082"/>
      <c r="AY133" s="1082"/>
      <c r="AZ133" s="1082"/>
      <c r="BA133" s="1082"/>
      <c r="BB133" s="1082"/>
      <c r="BC133" s="1048"/>
      <c r="BD133" s="1048"/>
      <c r="BE133" s="1048"/>
      <c r="BF133" s="1048"/>
      <c r="BG133" s="1048"/>
      <c r="BH133" s="1048"/>
      <c r="BI133" s="1048"/>
      <c r="BJ133" s="1048"/>
      <c r="BK133" s="1048"/>
      <c r="BL133" s="1048"/>
      <c r="BM133" s="1107"/>
      <c r="BN133" s="1107"/>
      <c r="BO133" s="1107"/>
      <c r="BP133" s="1107"/>
      <c r="BQ133" s="1107"/>
      <c r="BR133" s="1107"/>
      <c r="BS133" s="1107"/>
      <c r="BT133" s="1107"/>
    </row>
    <row r="134" spans="1:72" ht="17.45" customHeight="1">
      <c r="A134" s="1133"/>
      <c r="B134" s="1133"/>
      <c r="C134" s="1133"/>
      <c r="D134" s="1133"/>
      <c r="E134" s="1133"/>
      <c r="F134" s="1133"/>
      <c r="G134" s="1133"/>
      <c r="H134" s="1133"/>
      <c r="I134" s="1133"/>
      <c r="J134" s="1133"/>
      <c r="K134" s="1133"/>
      <c r="L134" s="1133"/>
      <c r="M134" s="1133"/>
      <c r="N134" s="1133"/>
      <c r="O134" s="1133"/>
      <c r="P134" s="1133"/>
      <c r="Q134" s="1133"/>
      <c r="R134" s="1133"/>
      <c r="S134" s="1133"/>
      <c r="T134" s="1133"/>
      <c r="U134" s="1133"/>
      <c r="V134" s="1133"/>
      <c r="W134" s="1133"/>
      <c r="X134" s="1133"/>
      <c r="Y134" s="1133"/>
      <c r="Z134" s="1133"/>
      <c r="AA134" s="1133"/>
      <c r="AB134" s="1133"/>
      <c r="AC134" s="1133"/>
      <c r="AD134" s="1133"/>
      <c r="AE134" s="1133"/>
      <c r="AF134" s="1133"/>
      <c r="AG134" s="1133"/>
      <c r="AH134" s="1133"/>
      <c r="AI134" s="1133"/>
      <c r="AJ134" s="1048"/>
      <c r="AK134" s="1048"/>
      <c r="AL134" s="1048"/>
      <c r="AM134" s="1048"/>
      <c r="AN134" s="1048"/>
      <c r="AO134" s="1048"/>
      <c r="AP134" s="1048"/>
      <c r="AQ134" s="1048"/>
      <c r="AR134" s="1048"/>
      <c r="AS134" s="1133"/>
      <c r="AT134" s="1048"/>
      <c r="AU134" s="1048"/>
      <c r="AV134" s="1048"/>
      <c r="AW134" s="1048"/>
      <c r="AX134" s="1048"/>
      <c r="AY134" s="1048"/>
      <c r="AZ134" s="1048"/>
      <c r="BA134" s="1048"/>
      <c r="BB134" s="1048"/>
      <c r="BC134" s="1048"/>
      <c r="BD134" s="1048"/>
      <c r="BE134" s="1048"/>
      <c r="BF134" s="1048"/>
      <c r="BG134" s="1048"/>
      <c r="BH134" s="1048"/>
      <c r="BI134" s="1048"/>
      <c r="BJ134" s="1048"/>
      <c r="BK134" s="1048"/>
      <c r="BL134" s="1048"/>
      <c r="BM134" s="1107"/>
      <c r="BN134" s="1107"/>
      <c r="BO134" s="1107"/>
      <c r="BP134" s="1107"/>
      <c r="BQ134" s="1107"/>
      <c r="BR134" s="1107"/>
      <c r="BS134" s="1107"/>
      <c r="BT134" s="1107"/>
    </row>
    <row r="135" spans="1:72" ht="17.45" customHeight="1">
      <c r="A135" s="1133"/>
      <c r="B135" s="1133"/>
      <c r="C135" s="1133"/>
      <c r="D135" s="1133"/>
      <c r="E135" s="1133"/>
      <c r="F135" s="1133"/>
      <c r="G135" s="1133"/>
      <c r="H135" s="1133"/>
      <c r="I135" s="1133"/>
      <c r="J135" s="1133"/>
      <c r="K135" s="1133"/>
      <c r="L135" s="1133"/>
      <c r="M135" s="1133"/>
      <c r="N135" s="1133"/>
      <c r="O135" s="1133"/>
      <c r="P135" s="1133"/>
      <c r="Q135" s="1133"/>
      <c r="R135" s="1133"/>
      <c r="S135" s="1133"/>
      <c r="T135" s="1133"/>
      <c r="U135" s="1133"/>
      <c r="V135" s="1133"/>
      <c r="W135" s="1133"/>
      <c r="X135" s="1133"/>
      <c r="Y135" s="1133"/>
      <c r="Z135" s="1133"/>
      <c r="AA135" s="1133"/>
      <c r="AB135" s="1133"/>
      <c r="AC135" s="1133"/>
      <c r="AD135" s="1133"/>
      <c r="AE135" s="1133"/>
      <c r="AF135" s="1133"/>
      <c r="AG135" s="1133"/>
      <c r="AH135" s="1133"/>
      <c r="AI135" s="1133"/>
      <c r="AJ135" s="1048"/>
      <c r="AK135" s="1048"/>
      <c r="AL135" s="1048"/>
      <c r="AM135" s="1048"/>
      <c r="AN135" s="1048"/>
      <c r="AO135" s="1048"/>
      <c r="AP135" s="1048"/>
      <c r="AQ135" s="1048"/>
      <c r="AR135" s="1048"/>
      <c r="AS135" s="1133"/>
      <c r="AT135" s="1048"/>
      <c r="AU135" s="1048"/>
      <c r="AV135" s="1048"/>
      <c r="AW135" s="1048"/>
      <c r="AX135" s="1048"/>
      <c r="AY135" s="1048"/>
      <c r="AZ135" s="1048"/>
      <c r="BA135" s="1048"/>
      <c r="BB135" s="1048"/>
      <c r="BC135" s="1048"/>
      <c r="BD135" s="1048"/>
      <c r="BE135" s="1048"/>
      <c r="BF135" s="1048"/>
      <c r="BG135" s="1048"/>
      <c r="BH135" s="1048"/>
      <c r="BI135" s="1048"/>
      <c r="BJ135" s="1048"/>
      <c r="BK135" s="1048"/>
      <c r="BL135" s="1048"/>
      <c r="BM135" s="1107"/>
      <c r="BN135" s="1107"/>
      <c r="BO135" s="1107"/>
      <c r="BP135" s="1107"/>
      <c r="BQ135" s="1107"/>
      <c r="BR135" s="1107"/>
      <c r="BS135" s="1107"/>
      <c r="BT135" s="1107"/>
    </row>
    <row r="136" spans="1:72" ht="17.45" customHeight="1">
      <c r="A136" s="1133"/>
      <c r="B136" s="1133"/>
      <c r="C136" s="1133"/>
      <c r="D136" s="1133"/>
      <c r="E136" s="1133"/>
      <c r="F136" s="1133"/>
      <c r="G136" s="1133"/>
      <c r="H136" s="1133"/>
      <c r="I136" s="1133"/>
      <c r="J136" s="1133"/>
      <c r="K136" s="1133"/>
      <c r="L136" s="1133"/>
      <c r="M136" s="1133"/>
      <c r="N136" s="1133"/>
      <c r="O136" s="1133"/>
      <c r="P136" s="1133"/>
      <c r="Q136" s="1133"/>
      <c r="R136" s="1133"/>
      <c r="S136" s="1133"/>
      <c r="T136" s="1133"/>
      <c r="U136" s="1133"/>
      <c r="V136" s="1133"/>
      <c r="W136" s="1133"/>
      <c r="X136" s="1133"/>
      <c r="Y136" s="1133"/>
      <c r="Z136" s="1133"/>
      <c r="AA136" s="1133"/>
      <c r="AB136" s="1133"/>
      <c r="AC136" s="1133"/>
      <c r="AD136" s="1133"/>
      <c r="AE136" s="1133"/>
      <c r="AF136" s="1133"/>
      <c r="AG136" s="1133"/>
      <c r="AH136" s="1133"/>
      <c r="AI136" s="1133"/>
      <c r="AJ136" s="1048"/>
      <c r="AK136" s="1048"/>
      <c r="AL136" s="1048"/>
      <c r="AM136" s="1048"/>
      <c r="AN136" s="1048"/>
      <c r="AO136" s="1048"/>
      <c r="AP136" s="1048"/>
      <c r="AQ136" s="1048"/>
      <c r="AR136" s="1048"/>
      <c r="AS136" s="1133"/>
      <c r="AT136" s="1048"/>
      <c r="AU136" s="1048"/>
      <c r="AV136" s="1048"/>
      <c r="AW136" s="1048"/>
      <c r="AX136" s="1048"/>
      <c r="AY136" s="1048"/>
      <c r="AZ136" s="1048"/>
      <c r="BA136" s="1048"/>
      <c r="BB136" s="1048"/>
      <c r="BC136" s="1048"/>
      <c r="BD136" s="1048"/>
      <c r="BE136" s="1048"/>
      <c r="BF136" s="1048"/>
      <c r="BG136" s="1048"/>
      <c r="BH136" s="1048"/>
      <c r="BI136" s="1048"/>
      <c r="BJ136" s="1048"/>
      <c r="BK136" s="1048"/>
      <c r="BL136" s="1048"/>
      <c r="BM136" s="1107"/>
      <c r="BN136" s="1107"/>
      <c r="BO136" s="1107"/>
      <c r="BP136" s="1107"/>
      <c r="BQ136" s="1107"/>
      <c r="BR136" s="1107"/>
      <c r="BS136" s="1107"/>
      <c r="BT136" s="1107"/>
    </row>
    <row r="137" spans="1:72" ht="17.45" customHeight="1">
      <c r="A137" s="1133"/>
      <c r="B137" s="1133"/>
      <c r="C137" s="1133"/>
      <c r="D137" s="1133"/>
      <c r="E137" s="1133"/>
      <c r="F137" s="1133"/>
      <c r="G137" s="1133"/>
      <c r="H137" s="1133"/>
      <c r="I137" s="1133"/>
      <c r="J137" s="1133"/>
      <c r="K137" s="1133"/>
      <c r="L137" s="1133"/>
      <c r="M137" s="1133"/>
      <c r="N137" s="1133"/>
      <c r="O137" s="1133"/>
      <c r="P137" s="1133"/>
      <c r="Q137" s="1133"/>
      <c r="R137" s="1133"/>
      <c r="S137" s="1133"/>
      <c r="T137" s="1133"/>
      <c r="U137" s="1133"/>
      <c r="V137" s="1133"/>
      <c r="W137" s="1133"/>
      <c r="X137" s="1133"/>
      <c r="Y137" s="1133"/>
      <c r="Z137" s="1133"/>
      <c r="AA137" s="1133"/>
      <c r="AB137" s="1133"/>
      <c r="AC137" s="1133"/>
      <c r="AD137" s="1133"/>
      <c r="AE137" s="1133"/>
      <c r="AF137" s="1133"/>
      <c r="AG137" s="1133"/>
      <c r="AH137" s="1133"/>
      <c r="AI137" s="1133"/>
      <c r="AJ137" s="1048"/>
      <c r="AK137" s="1048"/>
      <c r="AL137" s="1048"/>
      <c r="AM137" s="1048"/>
      <c r="AN137" s="1048"/>
      <c r="AO137" s="1048"/>
      <c r="AP137" s="1048"/>
      <c r="AQ137" s="1048"/>
      <c r="AR137" s="1048"/>
      <c r="AS137" s="1133"/>
      <c r="AT137" s="1048"/>
      <c r="AU137" s="1048"/>
      <c r="AV137" s="1048"/>
      <c r="AW137" s="1048"/>
      <c r="AX137" s="1048"/>
      <c r="AY137" s="1048"/>
      <c r="AZ137" s="1048"/>
      <c r="BA137" s="1048"/>
      <c r="BB137" s="1048"/>
      <c r="BC137" s="1048"/>
      <c r="BD137" s="1048"/>
      <c r="BE137" s="1048"/>
      <c r="BF137" s="1048"/>
      <c r="BG137" s="1048"/>
      <c r="BH137" s="1048"/>
      <c r="BI137" s="1048"/>
      <c r="BJ137" s="1048"/>
      <c r="BK137" s="1048"/>
      <c r="BL137" s="1048"/>
      <c r="BM137" s="1107"/>
      <c r="BN137" s="1107"/>
      <c r="BO137" s="1107"/>
      <c r="BP137" s="1107"/>
      <c r="BQ137" s="1107"/>
      <c r="BR137" s="1107"/>
      <c r="BS137" s="1107"/>
      <c r="BT137" s="1107"/>
    </row>
    <row r="138" spans="1:72" ht="17.45" customHeight="1">
      <c r="A138" s="1133"/>
      <c r="B138" s="1133"/>
      <c r="C138" s="1133"/>
      <c r="D138" s="1133"/>
      <c r="E138" s="1133"/>
      <c r="F138" s="1133"/>
      <c r="G138" s="1133"/>
      <c r="H138" s="1133"/>
      <c r="I138" s="1133"/>
      <c r="J138" s="1133"/>
      <c r="K138" s="1133"/>
      <c r="L138" s="1133"/>
      <c r="M138" s="1133"/>
      <c r="N138" s="1133"/>
      <c r="O138" s="1133"/>
      <c r="P138" s="1133"/>
      <c r="Q138" s="1133"/>
      <c r="R138" s="1133"/>
      <c r="S138" s="1133"/>
      <c r="T138" s="1133"/>
      <c r="U138" s="1133"/>
      <c r="V138" s="1133"/>
      <c r="W138" s="1133"/>
      <c r="X138" s="1133"/>
      <c r="Y138" s="1133"/>
      <c r="Z138" s="1133"/>
      <c r="AA138" s="1133"/>
      <c r="AB138" s="1133"/>
      <c r="AC138" s="1133"/>
      <c r="AD138" s="1133"/>
      <c r="AE138" s="1133"/>
      <c r="AF138" s="1133"/>
      <c r="AG138" s="1133"/>
      <c r="AH138" s="1133"/>
      <c r="AI138" s="1133"/>
      <c r="AJ138" s="1048"/>
      <c r="AK138" s="1048"/>
      <c r="AL138" s="1048"/>
      <c r="AM138" s="1048"/>
      <c r="AN138" s="1048"/>
      <c r="AO138" s="1048"/>
      <c r="AP138" s="1048"/>
      <c r="AQ138" s="1048"/>
      <c r="AR138" s="1048"/>
      <c r="AS138" s="1133"/>
      <c r="AT138" s="1048"/>
      <c r="AU138" s="1048"/>
      <c r="AV138" s="1048"/>
      <c r="AW138" s="1048"/>
      <c r="AX138" s="1048"/>
      <c r="AY138" s="1048"/>
      <c r="AZ138" s="1048"/>
      <c r="BA138" s="1048"/>
      <c r="BB138" s="1048"/>
      <c r="BC138" s="1048"/>
      <c r="BD138" s="1048"/>
      <c r="BE138" s="1048"/>
      <c r="BF138" s="1048"/>
      <c r="BG138" s="1048"/>
      <c r="BH138" s="1048"/>
      <c r="BI138" s="1048"/>
      <c r="BJ138" s="1048"/>
      <c r="BK138" s="1048"/>
      <c r="BL138" s="1048"/>
      <c r="BM138" s="1107"/>
      <c r="BN138" s="1107"/>
      <c r="BO138" s="1107"/>
      <c r="BP138" s="1107"/>
      <c r="BQ138" s="1107"/>
      <c r="BR138" s="1107"/>
      <c r="BS138" s="1107"/>
      <c r="BT138" s="1107"/>
    </row>
    <row r="139" spans="1:72" ht="17.45" customHeight="1">
      <c r="A139" s="1133"/>
      <c r="B139" s="1133"/>
      <c r="C139" s="1133"/>
      <c r="D139" s="1133"/>
      <c r="E139" s="1133"/>
      <c r="F139" s="1133"/>
      <c r="G139" s="1133"/>
      <c r="H139" s="1133"/>
      <c r="I139" s="1133"/>
      <c r="J139" s="1133"/>
      <c r="K139" s="1133"/>
      <c r="L139" s="1133"/>
      <c r="M139" s="1133"/>
      <c r="N139" s="1133"/>
      <c r="O139" s="1133"/>
      <c r="P139" s="1133"/>
      <c r="Q139" s="1133"/>
      <c r="R139" s="1133"/>
      <c r="S139" s="1133"/>
      <c r="T139" s="1133"/>
      <c r="U139" s="1133"/>
      <c r="V139" s="1133"/>
      <c r="W139" s="1133"/>
      <c r="X139" s="1133"/>
      <c r="Y139" s="1133"/>
      <c r="Z139" s="1133"/>
      <c r="AA139" s="1133"/>
      <c r="AB139" s="1133"/>
      <c r="AC139" s="1133"/>
      <c r="AD139" s="1133"/>
      <c r="AE139" s="1133"/>
      <c r="AF139" s="1133"/>
      <c r="AG139" s="1133"/>
      <c r="AH139" s="1133"/>
      <c r="AI139" s="1133"/>
      <c r="AJ139" s="1048"/>
      <c r="AK139" s="1048"/>
      <c r="AL139" s="1048"/>
      <c r="AM139" s="1048"/>
      <c r="AN139" s="1048"/>
      <c r="AO139" s="1048"/>
      <c r="AP139" s="1048"/>
      <c r="AQ139" s="1048"/>
      <c r="AR139" s="1048"/>
      <c r="AS139" s="1133"/>
      <c r="AT139" s="1048"/>
      <c r="AU139" s="1048"/>
      <c r="AV139" s="1048"/>
      <c r="AW139" s="1048"/>
      <c r="AX139" s="1048"/>
      <c r="AY139" s="1048"/>
      <c r="AZ139" s="1048"/>
      <c r="BA139" s="1048"/>
      <c r="BB139" s="1048"/>
      <c r="BC139" s="1048"/>
      <c r="BD139" s="1048"/>
      <c r="BE139" s="1048"/>
      <c r="BF139" s="1048"/>
      <c r="BG139" s="1048"/>
      <c r="BH139" s="1048"/>
      <c r="BI139" s="1048"/>
      <c r="BJ139" s="1048"/>
      <c r="BK139" s="1048"/>
      <c r="BL139" s="1048"/>
      <c r="BM139" s="1107"/>
      <c r="BN139" s="1107"/>
      <c r="BO139" s="1107"/>
      <c r="BP139" s="1107"/>
      <c r="BQ139" s="1107"/>
      <c r="BR139" s="1107"/>
      <c r="BS139" s="1107"/>
      <c r="BT139" s="1107"/>
    </row>
    <row r="140" spans="1:72" ht="17.45" customHeight="1">
      <c r="A140" s="1133"/>
      <c r="B140" s="1133"/>
      <c r="C140" s="1133"/>
      <c r="D140" s="1133"/>
      <c r="E140" s="1133"/>
      <c r="F140" s="1133"/>
      <c r="G140" s="1133"/>
      <c r="H140" s="1133"/>
      <c r="I140" s="1133"/>
      <c r="J140" s="1133"/>
      <c r="K140" s="1133"/>
      <c r="L140" s="1133"/>
      <c r="M140" s="1133"/>
      <c r="N140" s="1133"/>
      <c r="O140" s="1133"/>
      <c r="P140" s="1133"/>
      <c r="Q140" s="1133"/>
      <c r="R140" s="1133"/>
      <c r="S140" s="1133"/>
      <c r="T140" s="1133"/>
      <c r="U140" s="1133"/>
      <c r="V140" s="1133"/>
      <c r="W140" s="1133"/>
      <c r="X140" s="1133"/>
      <c r="Y140" s="1133"/>
      <c r="Z140" s="1133"/>
      <c r="AA140" s="1133"/>
      <c r="AB140" s="1133"/>
      <c r="AC140" s="1133"/>
      <c r="AD140" s="1133"/>
      <c r="AE140" s="1133"/>
      <c r="AF140" s="1133"/>
      <c r="AG140" s="1133"/>
      <c r="AH140" s="1133"/>
      <c r="AI140" s="1133"/>
      <c r="AJ140" s="1048"/>
      <c r="AK140" s="1048"/>
      <c r="AL140" s="1048"/>
      <c r="AM140" s="1048"/>
      <c r="AN140" s="1048"/>
      <c r="AO140" s="1048"/>
      <c r="AP140" s="1048"/>
      <c r="AQ140" s="1048"/>
      <c r="AR140" s="1048"/>
      <c r="AS140" s="1133"/>
      <c r="AT140" s="1048"/>
      <c r="AU140" s="1048"/>
      <c r="AV140" s="1048"/>
      <c r="AW140" s="1048"/>
      <c r="AX140" s="1048"/>
      <c r="AY140" s="1048"/>
      <c r="AZ140" s="1048"/>
      <c r="BA140" s="1048"/>
      <c r="BB140" s="1048"/>
      <c r="BC140" s="1048"/>
      <c r="BD140" s="1048"/>
      <c r="BE140" s="1048"/>
      <c r="BF140" s="1048"/>
      <c r="BG140" s="1048"/>
      <c r="BH140" s="1048"/>
      <c r="BI140" s="1048"/>
      <c r="BJ140" s="1048"/>
      <c r="BK140" s="1048"/>
      <c r="BL140" s="1048"/>
      <c r="BM140" s="1107"/>
      <c r="BN140" s="1107"/>
      <c r="BO140" s="1107"/>
      <c r="BP140" s="1107"/>
      <c r="BQ140" s="1107"/>
      <c r="BR140" s="1107"/>
      <c r="BS140" s="1107"/>
      <c r="BT140" s="1107"/>
    </row>
    <row r="141" spans="1:72" ht="17.45" customHeight="1">
      <c r="A141" s="1133"/>
      <c r="B141" s="1133"/>
      <c r="C141" s="1133"/>
      <c r="D141" s="1133"/>
      <c r="E141" s="1133"/>
      <c r="F141" s="1133"/>
      <c r="G141" s="1133"/>
      <c r="H141" s="1133"/>
      <c r="I141" s="1133"/>
      <c r="J141" s="1133"/>
      <c r="K141" s="1133"/>
      <c r="L141" s="1133"/>
      <c r="M141" s="1133"/>
      <c r="N141" s="1133"/>
      <c r="O141" s="1133"/>
      <c r="P141" s="1133"/>
      <c r="Q141" s="1133"/>
      <c r="R141" s="1133"/>
      <c r="S141" s="1133"/>
      <c r="T141" s="1133"/>
      <c r="U141" s="1133"/>
      <c r="V141" s="1133"/>
      <c r="W141" s="1133"/>
      <c r="X141" s="1133"/>
      <c r="Y141" s="1133"/>
      <c r="Z141" s="1133"/>
      <c r="AA141" s="1133"/>
      <c r="AB141" s="1133"/>
      <c r="AC141" s="1133"/>
      <c r="AD141" s="1133"/>
      <c r="AE141" s="1133"/>
      <c r="AF141" s="1133"/>
      <c r="AG141" s="1133"/>
      <c r="AH141" s="1133"/>
      <c r="AI141" s="1133"/>
      <c r="AJ141" s="1048"/>
      <c r="AK141" s="1048"/>
      <c r="AL141" s="1048"/>
      <c r="AM141" s="1048"/>
      <c r="AN141" s="1048"/>
      <c r="AO141" s="1048"/>
      <c r="AP141" s="1048"/>
      <c r="AQ141" s="1048"/>
      <c r="AR141" s="1048"/>
      <c r="AS141" s="1133"/>
      <c r="AT141" s="1048"/>
      <c r="AU141" s="1048"/>
      <c r="AV141" s="1048"/>
      <c r="AW141" s="1048"/>
      <c r="AX141" s="1048"/>
      <c r="AY141" s="1048"/>
      <c r="AZ141" s="1048"/>
      <c r="BA141" s="1048"/>
      <c r="BB141" s="1048"/>
      <c r="BC141" s="1048"/>
      <c r="BD141" s="1048"/>
      <c r="BE141" s="1048"/>
      <c r="BF141" s="1048"/>
      <c r="BG141" s="1048"/>
      <c r="BH141" s="1048"/>
      <c r="BI141" s="1048"/>
      <c r="BJ141" s="1048"/>
      <c r="BK141" s="1048"/>
      <c r="BL141" s="1048"/>
      <c r="BM141" s="1107"/>
      <c r="BN141" s="1107"/>
      <c r="BO141" s="1107"/>
      <c r="BP141" s="1107"/>
      <c r="BQ141" s="1107"/>
      <c r="BR141" s="1107"/>
      <c r="BS141" s="1107"/>
      <c r="BT141" s="1107"/>
    </row>
    <row r="142" spans="1:72" ht="17.45" customHeight="1">
      <c r="A142" s="1133"/>
      <c r="B142" s="1133"/>
      <c r="C142" s="1133"/>
      <c r="D142" s="1133"/>
      <c r="E142" s="1133"/>
      <c r="F142" s="1133"/>
      <c r="G142" s="1133"/>
      <c r="H142" s="1133"/>
      <c r="I142" s="1133"/>
      <c r="J142" s="1133"/>
      <c r="K142" s="1133"/>
      <c r="L142" s="1133"/>
      <c r="M142" s="1133"/>
      <c r="N142" s="1133"/>
      <c r="O142" s="1133"/>
      <c r="P142" s="1133"/>
      <c r="Q142" s="1133"/>
      <c r="R142" s="1133"/>
      <c r="S142" s="1133"/>
      <c r="T142" s="1133"/>
      <c r="U142" s="1133"/>
      <c r="V142" s="1133"/>
      <c r="W142" s="1133"/>
      <c r="X142" s="1133"/>
      <c r="Y142" s="1133"/>
      <c r="Z142" s="1133"/>
      <c r="AA142" s="1133"/>
      <c r="AB142" s="1133"/>
      <c r="AC142" s="1133"/>
      <c r="AD142" s="1133"/>
      <c r="AE142" s="1133"/>
      <c r="AF142" s="1133"/>
      <c r="AG142" s="1133"/>
      <c r="AH142" s="1133"/>
      <c r="AI142" s="1133"/>
      <c r="AJ142" s="1048"/>
      <c r="AK142" s="1048"/>
      <c r="AL142" s="1048"/>
      <c r="AM142" s="1048"/>
      <c r="AN142" s="1048"/>
      <c r="AO142" s="1048"/>
      <c r="AP142" s="1048"/>
      <c r="AQ142" s="1048"/>
      <c r="AR142" s="1048"/>
      <c r="AS142" s="1133"/>
      <c r="AT142" s="1048"/>
      <c r="AU142" s="1048"/>
      <c r="AV142" s="1048"/>
      <c r="AW142" s="1048"/>
      <c r="AX142" s="1048"/>
      <c r="AY142" s="1048"/>
      <c r="AZ142" s="1048"/>
      <c r="BA142" s="1048"/>
      <c r="BB142" s="1048"/>
      <c r="BC142" s="1048"/>
      <c r="BD142" s="1048"/>
      <c r="BE142" s="1048"/>
      <c r="BF142" s="1048"/>
      <c r="BG142" s="1048"/>
      <c r="BH142" s="1048"/>
      <c r="BI142" s="1048"/>
      <c r="BJ142" s="1048"/>
      <c r="BK142" s="1048"/>
      <c r="BL142" s="1048"/>
      <c r="BM142" s="1107"/>
      <c r="BN142" s="1107"/>
      <c r="BO142" s="1107"/>
      <c r="BP142" s="1107"/>
      <c r="BQ142" s="1107"/>
      <c r="BR142" s="1107"/>
      <c r="BS142" s="1107"/>
      <c r="BT142" s="1107"/>
    </row>
    <row r="143" spans="1:72" ht="17.45" customHeight="1">
      <c r="A143" s="1133"/>
      <c r="B143" s="1133"/>
      <c r="C143" s="1133"/>
      <c r="D143" s="1133"/>
      <c r="E143" s="1133"/>
      <c r="F143" s="1133"/>
      <c r="G143" s="1133"/>
      <c r="H143" s="1133"/>
      <c r="I143" s="1133"/>
      <c r="J143" s="1133"/>
      <c r="K143" s="1133"/>
      <c r="L143" s="1133"/>
      <c r="M143" s="1133"/>
      <c r="N143" s="1133"/>
      <c r="O143" s="1133"/>
      <c r="P143" s="1133"/>
      <c r="Q143" s="1133"/>
      <c r="R143" s="1133"/>
      <c r="S143" s="1133"/>
      <c r="T143" s="1133"/>
      <c r="U143" s="1133"/>
      <c r="V143" s="1133"/>
      <c r="W143" s="1133"/>
      <c r="X143" s="1133"/>
      <c r="Y143" s="1133"/>
      <c r="Z143" s="1133"/>
      <c r="AA143" s="1133"/>
      <c r="AB143" s="1133"/>
      <c r="AC143" s="1133"/>
      <c r="AD143" s="1133"/>
      <c r="AE143" s="1133"/>
      <c r="AF143" s="1133"/>
      <c r="AG143" s="1133"/>
      <c r="AH143" s="1133"/>
      <c r="AI143" s="1133"/>
      <c r="AJ143" s="1048"/>
      <c r="AK143" s="1048"/>
      <c r="AL143" s="1048"/>
      <c r="AM143" s="1048"/>
      <c r="AN143" s="1048"/>
      <c r="AO143" s="1048"/>
      <c r="AP143" s="1048"/>
      <c r="AQ143" s="1048"/>
      <c r="AR143" s="1048"/>
      <c r="AS143" s="1133"/>
      <c r="AT143" s="1048"/>
      <c r="AU143" s="1048"/>
      <c r="AV143" s="1048"/>
      <c r="AW143" s="1048"/>
      <c r="AX143" s="1048"/>
      <c r="AY143" s="1048"/>
      <c r="AZ143" s="1048"/>
      <c r="BA143" s="1048"/>
      <c r="BB143" s="1048"/>
      <c r="BC143" s="1048"/>
      <c r="BD143" s="1048"/>
      <c r="BE143" s="1048"/>
      <c r="BF143" s="1048"/>
      <c r="BG143" s="1048"/>
      <c r="BH143" s="1048"/>
      <c r="BI143" s="1048"/>
      <c r="BJ143" s="1048"/>
      <c r="BK143" s="1048"/>
      <c r="BL143" s="1048"/>
      <c r="BM143" s="1107"/>
      <c r="BN143" s="1107"/>
      <c r="BO143" s="1107"/>
      <c r="BP143" s="1107"/>
      <c r="BQ143" s="1107"/>
      <c r="BR143" s="1107"/>
      <c r="BS143" s="1107"/>
      <c r="BT143" s="1107"/>
    </row>
    <row r="144" spans="1:72" ht="17.45" customHeight="1">
      <c r="A144" s="1133"/>
      <c r="B144" s="1133"/>
      <c r="C144" s="1133"/>
      <c r="D144" s="1133"/>
      <c r="E144" s="1133"/>
      <c r="F144" s="1133"/>
      <c r="G144" s="1133"/>
      <c r="H144" s="1133"/>
      <c r="I144" s="1133"/>
      <c r="J144" s="1133"/>
      <c r="K144" s="1133"/>
      <c r="L144" s="1133"/>
      <c r="M144" s="1133"/>
      <c r="N144" s="1133"/>
      <c r="O144" s="1133"/>
      <c r="P144" s="1133"/>
      <c r="Q144" s="1133"/>
      <c r="R144" s="1133"/>
      <c r="S144" s="1133"/>
      <c r="T144" s="1133"/>
      <c r="U144" s="1133"/>
      <c r="V144" s="1133"/>
      <c r="W144" s="1133"/>
      <c r="X144" s="1133"/>
      <c r="Y144" s="1133"/>
      <c r="Z144" s="1133"/>
      <c r="AA144" s="1133"/>
      <c r="AB144" s="1133"/>
      <c r="AC144" s="1133"/>
      <c r="AD144" s="1133"/>
      <c r="AE144" s="1133"/>
      <c r="AF144" s="1133"/>
      <c r="AG144" s="1133"/>
      <c r="AH144" s="1133"/>
      <c r="AI144" s="1133"/>
      <c r="AJ144" s="1048"/>
      <c r="AK144" s="1048"/>
      <c r="AL144" s="1048"/>
      <c r="AM144" s="1048"/>
      <c r="AN144" s="1048"/>
      <c r="AO144" s="1048"/>
      <c r="AP144" s="1048"/>
      <c r="AQ144" s="1048"/>
      <c r="AR144" s="1048"/>
      <c r="AS144" s="1133"/>
      <c r="AT144" s="1048"/>
      <c r="AU144" s="1048"/>
      <c r="AV144" s="1048"/>
      <c r="AW144" s="1048"/>
      <c r="AX144" s="1048"/>
      <c r="AY144" s="1048"/>
      <c r="AZ144" s="1048"/>
      <c r="BA144" s="1048"/>
      <c r="BB144" s="1048"/>
      <c r="BC144" s="1048"/>
      <c r="BD144" s="1048"/>
      <c r="BE144" s="1048"/>
      <c r="BF144" s="1048"/>
      <c r="BG144" s="1048"/>
      <c r="BH144" s="1048"/>
      <c r="BI144" s="1048"/>
      <c r="BJ144" s="1048"/>
      <c r="BK144" s="1048"/>
      <c r="BL144" s="1048"/>
      <c r="BM144" s="1107"/>
      <c r="BN144" s="1107"/>
      <c r="BO144" s="1107"/>
      <c r="BP144" s="1107"/>
      <c r="BQ144" s="1107"/>
      <c r="BR144" s="1107"/>
      <c r="BS144" s="1107"/>
      <c r="BT144" s="1107"/>
    </row>
    <row r="145" spans="1:72" ht="17.45" customHeight="1">
      <c r="A145" s="1133"/>
      <c r="B145" s="1133"/>
      <c r="C145" s="1133"/>
      <c r="D145" s="1133"/>
      <c r="E145" s="1133"/>
      <c r="F145" s="1133"/>
      <c r="G145" s="1133"/>
      <c r="H145" s="1133"/>
      <c r="I145" s="1133"/>
      <c r="J145" s="1133"/>
      <c r="K145" s="1133"/>
      <c r="L145" s="1133"/>
      <c r="M145" s="1133"/>
      <c r="N145" s="1133"/>
      <c r="O145" s="1133"/>
      <c r="P145" s="1133"/>
      <c r="Q145" s="1133"/>
      <c r="R145" s="1133"/>
      <c r="S145" s="1133"/>
      <c r="T145" s="1133"/>
      <c r="U145" s="1133"/>
      <c r="V145" s="1133"/>
      <c r="W145" s="1133"/>
      <c r="X145" s="1133"/>
      <c r="Y145" s="1133"/>
      <c r="Z145" s="1133"/>
      <c r="AA145" s="1133"/>
      <c r="AB145" s="1133"/>
      <c r="AC145" s="1133"/>
      <c r="AD145" s="1133"/>
      <c r="AE145" s="1133"/>
      <c r="AF145" s="1133"/>
      <c r="AG145" s="1133"/>
      <c r="AH145" s="1133"/>
      <c r="AI145" s="1133"/>
      <c r="AJ145" s="1048"/>
      <c r="AK145" s="1048"/>
      <c r="AL145" s="1048"/>
      <c r="AM145" s="1048"/>
      <c r="AN145" s="1048"/>
      <c r="AO145" s="1048"/>
      <c r="AP145" s="1048"/>
      <c r="AQ145" s="1048"/>
      <c r="AR145" s="1048"/>
      <c r="AS145" s="1133"/>
      <c r="AT145" s="1048"/>
      <c r="AU145" s="1048"/>
      <c r="AV145" s="1048"/>
      <c r="AW145" s="1048"/>
      <c r="AX145" s="1048"/>
      <c r="AY145" s="1048"/>
      <c r="AZ145" s="1048"/>
      <c r="BA145" s="1048"/>
      <c r="BB145" s="1048"/>
      <c r="BC145" s="1048"/>
      <c r="BD145" s="1048"/>
      <c r="BE145" s="1048"/>
      <c r="BF145" s="1048"/>
      <c r="BG145" s="1048"/>
      <c r="BH145" s="1048"/>
      <c r="BI145" s="1048"/>
      <c r="BJ145" s="1048"/>
      <c r="BK145" s="1048"/>
      <c r="BL145" s="1048"/>
      <c r="BM145" s="1107"/>
      <c r="BN145" s="1107"/>
      <c r="BO145" s="1107"/>
      <c r="BP145" s="1107"/>
      <c r="BQ145" s="1107"/>
      <c r="BR145" s="1107"/>
      <c r="BS145" s="1107"/>
      <c r="BT145" s="1107"/>
    </row>
    <row r="146" spans="1:72" ht="17.45" customHeight="1">
      <c r="A146" s="1133"/>
      <c r="B146" s="1133"/>
      <c r="C146" s="1133"/>
      <c r="D146" s="1133"/>
      <c r="E146" s="1133"/>
      <c r="F146" s="1133"/>
      <c r="G146" s="1133"/>
      <c r="H146" s="1133"/>
      <c r="I146" s="1133"/>
      <c r="J146" s="1133"/>
      <c r="K146" s="1133"/>
      <c r="L146" s="1133"/>
      <c r="M146" s="1133"/>
      <c r="N146" s="1133"/>
      <c r="O146" s="1133"/>
      <c r="P146" s="1133"/>
      <c r="Q146" s="1133"/>
      <c r="R146" s="1133"/>
      <c r="S146" s="1133"/>
      <c r="T146" s="1133"/>
      <c r="U146" s="1133"/>
      <c r="V146" s="1133"/>
      <c r="W146" s="1133"/>
      <c r="X146" s="1133"/>
      <c r="Y146" s="1133"/>
      <c r="Z146" s="1133"/>
      <c r="AA146" s="1133"/>
      <c r="AB146" s="1133"/>
      <c r="AC146" s="1133"/>
      <c r="AD146" s="1133"/>
      <c r="AE146" s="1133"/>
      <c r="AF146" s="1133"/>
      <c r="AG146" s="1133"/>
      <c r="AH146" s="1133"/>
      <c r="AI146" s="1133"/>
      <c r="AJ146" s="1048"/>
      <c r="AK146" s="1048"/>
      <c r="AL146" s="1048"/>
      <c r="AM146" s="1048"/>
      <c r="AN146" s="1048"/>
      <c r="AO146" s="1048"/>
      <c r="AP146" s="1048"/>
      <c r="AQ146" s="1048"/>
      <c r="AR146" s="1048"/>
      <c r="AS146" s="1133"/>
      <c r="AT146" s="1048"/>
      <c r="AU146" s="1048"/>
      <c r="AV146" s="1048"/>
      <c r="AW146" s="1048"/>
      <c r="AX146" s="1048"/>
      <c r="AY146" s="1048"/>
      <c r="AZ146" s="1048"/>
      <c r="BA146" s="1048"/>
      <c r="BB146" s="1048"/>
      <c r="BC146" s="1048"/>
      <c r="BD146" s="1048"/>
      <c r="BE146" s="1048"/>
      <c r="BF146" s="1048"/>
      <c r="BG146" s="1048"/>
      <c r="BH146" s="1048"/>
      <c r="BI146" s="1048"/>
      <c r="BJ146" s="1048"/>
      <c r="BK146" s="1048"/>
      <c r="BL146" s="1048"/>
      <c r="BM146" s="1107"/>
      <c r="BN146" s="1107"/>
      <c r="BO146" s="1107"/>
      <c r="BP146" s="1107"/>
      <c r="BQ146" s="1107"/>
      <c r="BR146" s="1107"/>
      <c r="BS146" s="1107"/>
      <c r="BT146" s="1107"/>
    </row>
    <row r="147" spans="1:72" ht="17.45" customHeight="1">
      <c r="A147" s="1133"/>
      <c r="B147" s="1133"/>
      <c r="C147" s="1133"/>
      <c r="D147" s="1133"/>
      <c r="E147" s="1133"/>
      <c r="F147" s="1133"/>
      <c r="G147" s="1133"/>
      <c r="H147" s="1133"/>
      <c r="I147" s="1133"/>
      <c r="J147" s="1133"/>
      <c r="K147" s="1133"/>
      <c r="L147" s="1133"/>
      <c r="M147" s="1133"/>
      <c r="N147" s="1133"/>
      <c r="O147" s="1133"/>
      <c r="P147" s="1133"/>
      <c r="Q147" s="1133"/>
      <c r="R147" s="1133"/>
      <c r="S147" s="1133"/>
      <c r="T147" s="1133"/>
      <c r="U147" s="1133"/>
      <c r="V147" s="1133"/>
      <c r="W147" s="1133"/>
      <c r="X147" s="1133"/>
      <c r="Y147" s="1133"/>
      <c r="Z147" s="1133"/>
      <c r="AA147" s="1133"/>
      <c r="AB147" s="1133"/>
      <c r="AC147" s="1133"/>
      <c r="AD147" s="1133"/>
      <c r="AE147" s="1133"/>
      <c r="AF147" s="1133"/>
      <c r="AG147" s="1133"/>
      <c r="AH147" s="1133"/>
      <c r="AI147" s="1133"/>
      <c r="AJ147" s="1048"/>
      <c r="AK147" s="1048"/>
      <c r="AL147" s="1048"/>
      <c r="AM147" s="1048"/>
      <c r="AN147" s="1048"/>
      <c r="AO147" s="1048"/>
      <c r="AP147" s="1048"/>
      <c r="AQ147" s="1048"/>
      <c r="AR147" s="1048"/>
      <c r="AS147" s="1133"/>
      <c r="AT147" s="1048"/>
      <c r="AU147" s="1048"/>
      <c r="AV147" s="1048"/>
      <c r="AW147" s="1048"/>
      <c r="AX147" s="1048"/>
      <c r="AY147" s="1048"/>
      <c r="AZ147" s="1048"/>
      <c r="BA147" s="1048"/>
      <c r="BB147" s="1048"/>
      <c r="BC147" s="1048"/>
      <c r="BD147" s="1048"/>
      <c r="BE147" s="1048"/>
      <c r="BF147" s="1048"/>
      <c r="BG147" s="1048"/>
      <c r="BH147" s="1048"/>
      <c r="BI147" s="1048"/>
      <c r="BJ147" s="1048"/>
      <c r="BK147" s="1048"/>
      <c r="BL147" s="1048"/>
      <c r="BM147" s="1107"/>
      <c r="BN147" s="1107"/>
      <c r="BO147" s="1107"/>
      <c r="BP147" s="1107"/>
      <c r="BQ147" s="1107"/>
      <c r="BR147" s="1107"/>
      <c r="BS147" s="1107"/>
      <c r="BT147" s="1107"/>
    </row>
    <row r="148" spans="1:72" ht="17.45" customHeight="1">
      <c r="A148" s="1133"/>
      <c r="B148" s="1133"/>
      <c r="C148" s="1133"/>
      <c r="D148" s="1133"/>
      <c r="E148" s="1133"/>
      <c r="F148" s="1133"/>
      <c r="G148" s="1133"/>
      <c r="H148" s="1133"/>
      <c r="I148" s="1133"/>
      <c r="J148" s="1133"/>
      <c r="K148" s="1133"/>
      <c r="L148" s="1133"/>
      <c r="M148" s="1133"/>
      <c r="N148" s="1133"/>
      <c r="O148" s="1133"/>
      <c r="P148" s="1133"/>
      <c r="Q148" s="1133"/>
      <c r="R148" s="1133"/>
      <c r="S148" s="1133"/>
      <c r="T148" s="1133"/>
      <c r="U148" s="1133"/>
      <c r="V148" s="1133"/>
      <c r="W148" s="1133"/>
      <c r="X148" s="1133"/>
      <c r="Y148" s="1133"/>
      <c r="Z148" s="1133"/>
      <c r="AA148" s="1133"/>
      <c r="AB148" s="1133"/>
      <c r="AC148" s="1133"/>
      <c r="AD148" s="1133"/>
      <c r="AE148" s="1133"/>
      <c r="AF148" s="1133"/>
      <c r="AG148" s="1133"/>
      <c r="AH148" s="1133"/>
      <c r="AI148" s="1133"/>
      <c r="AJ148" s="1048"/>
      <c r="AK148" s="1048"/>
      <c r="AL148" s="1048"/>
      <c r="AM148" s="1048"/>
      <c r="AN148" s="1048"/>
      <c r="AO148" s="1048"/>
      <c r="AP148" s="1048"/>
      <c r="AQ148" s="1048"/>
      <c r="AR148" s="1048"/>
      <c r="AS148" s="1133"/>
      <c r="AT148" s="1048"/>
      <c r="AU148" s="1048"/>
      <c r="AV148" s="1048"/>
      <c r="AW148" s="1048"/>
      <c r="AX148" s="1048"/>
      <c r="AY148" s="1048"/>
      <c r="AZ148" s="1048"/>
      <c r="BA148" s="1048"/>
      <c r="BB148" s="1048"/>
      <c r="BC148" s="1048"/>
      <c r="BD148" s="1048"/>
      <c r="BE148" s="1048"/>
      <c r="BF148" s="1048"/>
      <c r="BG148" s="1048"/>
      <c r="BH148" s="1048"/>
      <c r="BI148" s="1048"/>
      <c r="BJ148" s="1048"/>
      <c r="BK148" s="1048"/>
      <c r="BL148" s="1048"/>
      <c r="BM148" s="1107"/>
      <c r="BN148" s="1107"/>
      <c r="BO148" s="1107"/>
      <c r="BP148" s="1107"/>
      <c r="BQ148" s="1107"/>
      <c r="BR148" s="1107"/>
      <c r="BS148" s="1107"/>
      <c r="BT148" s="1107"/>
    </row>
    <row r="149" spans="1:72" ht="17.45" customHeight="1">
      <c r="A149" s="1133"/>
      <c r="B149" s="1133"/>
      <c r="C149" s="1133"/>
      <c r="D149" s="1133"/>
      <c r="E149" s="1133"/>
      <c r="F149" s="1133"/>
      <c r="G149" s="1133"/>
      <c r="H149" s="1133"/>
      <c r="I149" s="1133"/>
      <c r="J149" s="1133"/>
      <c r="K149" s="1133"/>
      <c r="L149" s="1133"/>
      <c r="M149" s="1133"/>
      <c r="N149" s="1133"/>
      <c r="O149" s="1133"/>
      <c r="P149" s="1133"/>
      <c r="Q149" s="1133"/>
      <c r="R149" s="1133"/>
      <c r="S149" s="1133"/>
      <c r="T149" s="1133"/>
      <c r="U149" s="1133"/>
      <c r="V149" s="1133"/>
      <c r="W149" s="1133"/>
      <c r="X149" s="1133"/>
      <c r="Y149" s="1133"/>
      <c r="Z149" s="1133"/>
      <c r="AA149" s="1133"/>
      <c r="AB149" s="1133"/>
      <c r="AC149" s="1133"/>
      <c r="AD149" s="1133"/>
      <c r="AE149" s="1133"/>
      <c r="AF149" s="1133"/>
      <c r="AG149" s="1133"/>
      <c r="AH149" s="1133"/>
      <c r="AI149" s="1133"/>
      <c r="AJ149" s="1048"/>
      <c r="AK149" s="1048"/>
      <c r="AL149" s="1048"/>
      <c r="AM149" s="1048"/>
      <c r="AN149" s="1048"/>
      <c r="AO149" s="1048"/>
      <c r="AP149" s="1048"/>
      <c r="AQ149" s="1048"/>
      <c r="AR149" s="1048"/>
      <c r="AS149" s="1133"/>
      <c r="AT149" s="1048"/>
      <c r="AU149" s="1048"/>
      <c r="AV149" s="1048"/>
      <c r="AW149" s="1048"/>
      <c r="AX149" s="1048"/>
      <c r="AY149" s="1048"/>
      <c r="AZ149" s="1048"/>
      <c r="BA149" s="1048"/>
      <c r="BB149" s="1048"/>
      <c r="BC149" s="1048"/>
      <c r="BD149" s="1048"/>
      <c r="BE149" s="1048"/>
      <c r="BF149" s="1048"/>
      <c r="BG149" s="1048"/>
      <c r="BH149" s="1048"/>
      <c r="BI149" s="1048"/>
      <c r="BJ149" s="1048"/>
      <c r="BK149" s="1048"/>
      <c r="BL149" s="1048"/>
      <c r="BM149" s="1107"/>
      <c r="BN149" s="1107"/>
      <c r="BO149" s="1107"/>
      <c r="BP149" s="1107"/>
      <c r="BQ149" s="1107"/>
      <c r="BR149" s="1107"/>
      <c r="BS149" s="1107"/>
      <c r="BT149" s="1107"/>
    </row>
    <row r="150" spans="1:72" ht="17.45" customHeight="1">
      <c r="A150" s="1133"/>
      <c r="B150" s="1133"/>
      <c r="C150" s="1133"/>
      <c r="D150" s="1133"/>
      <c r="E150" s="1133"/>
      <c r="F150" s="1133"/>
      <c r="G150" s="1133"/>
      <c r="H150" s="1133"/>
      <c r="I150" s="1133"/>
      <c r="J150" s="1133"/>
      <c r="K150" s="1133"/>
      <c r="L150" s="1133"/>
      <c r="M150" s="1133"/>
      <c r="N150" s="1133"/>
      <c r="O150" s="1133"/>
      <c r="P150" s="1133"/>
      <c r="Q150" s="1133"/>
      <c r="R150" s="1133"/>
      <c r="S150" s="1133"/>
      <c r="T150" s="1133"/>
      <c r="U150" s="1133"/>
      <c r="V150" s="1133"/>
      <c r="W150" s="1133"/>
      <c r="X150" s="1133"/>
      <c r="Y150" s="1133"/>
      <c r="Z150" s="1133"/>
      <c r="AA150" s="1133"/>
      <c r="AB150" s="1133"/>
      <c r="AC150" s="1133"/>
      <c r="AD150" s="1133"/>
      <c r="AE150" s="1133"/>
      <c r="AF150" s="1133"/>
      <c r="AG150" s="1133"/>
      <c r="AH150" s="1133"/>
      <c r="AI150" s="1133"/>
      <c r="AJ150" s="1048"/>
      <c r="AK150" s="1048"/>
      <c r="AL150" s="1048"/>
      <c r="AM150" s="1048"/>
      <c r="AN150" s="1048"/>
      <c r="AO150" s="1048"/>
      <c r="AP150" s="1048"/>
      <c r="AQ150" s="1048"/>
      <c r="AR150" s="1048"/>
      <c r="AS150" s="1133"/>
      <c r="AT150" s="1048"/>
      <c r="AU150" s="1048"/>
      <c r="AV150" s="1048"/>
      <c r="AW150" s="1048"/>
      <c r="AX150" s="1048"/>
      <c r="AY150" s="1048"/>
      <c r="AZ150" s="1048"/>
      <c r="BA150" s="1048"/>
      <c r="BB150" s="1048"/>
      <c r="BC150" s="1048"/>
      <c r="BD150" s="1048"/>
      <c r="BE150" s="1048"/>
      <c r="BF150" s="1048"/>
      <c r="BG150" s="1048"/>
      <c r="BH150" s="1048"/>
      <c r="BI150" s="1048"/>
      <c r="BJ150" s="1048"/>
      <c r="BK150" s="1048"/>
      <c r="BL150" s="1048"/>
      <c r="BM150" s="1107"/>
      <c r="BN150" s="1107"/>
      <c r="BO150" s="1107"/>
      <c r="BP150" s="1107"/>
      <c r="BQ150" s="1107"/>
      <c r="BR150" s="1107"/>
      <c r="BS150" s="1107"/>
      <c r="BT150" s="1107"/>
    </row>
    <row r="151" spans="1:72" ht="17.45" customHeight="1">
      <c r="A151" s="1133"/>
      <c r="B151" s="1133"/>
      <c r="C151" s="1133"/>
      <c r="D151" s="1133"/>
      <c r="E151" s="1133"/>
      <c r="F151" s="1133"/>
      <c r="G151" s="1133"/>
      <c r="H151" s="1133"/>
      <c r="I151" s="1133"/>
      <c r="J151" s="1133"/>
      <c r="K151" s="1133"/>
      <c r="L151" s="1133"/>
      <c r="M151" s="1133"/>
      <c r="N151" s="1133"/>
      <c r="O151" s="1133"/>
      <c r="P151" s="1133"/>
      <c r="Q151" s="1133"/>
      <c r="R151" s="1133"/>
      <c r="S151" s="1133"/>
      <c r="T151" s="1133"/>
      <c r="U151" s="1133"/>
      <c r="V151" s="1133"/>
      <c r="W151" s="1133"/>
      <c r="X151" s="1133"/>
      <c r="Y151" s="1133"/>
      <c r="Z151" s="1133"/>
      <c r="AA151" s="1133"/>
      <c r="AB151" s="1133"/>
      <c r="AC151" s="1133"/>
      <c r="AD151" s="1133"/>
      <c r="AE151" s="1133"/>
      <c r="AF151" s="1133"/>
      <c r="AG151" s="1133"/>
      <c r="AH151" s="1133"/>
      <c r="AI151" s="1133"/>
      <c r="AJ151" s="1048"/>
      <c r="AK151" s="1048"/>
      <c r="AL151" s="1048"/>
      <c r="AM151" s="1048"/>
      <c r="AN151" s="1048"/>
      <c r="AO151" s="1048"/>
      <c r="AP151" s="1048"/>
      <c r="AQ151" s="1048"/>
      <c r="AR151" s="1048"/>
      <c r="AS151" s="1133"/>
      <c r="AT151" s="1048"/>
      <c r="AU151" s="1048"/>
      <c r="AV151" s="1048"/>
      <c r="AW151" s="1048"/>
      <c r="AX151" s="1048"/>
      <c r="AY151" s="1048"/>
      <c r="AZ151" s="1048"/>
      <c r="BA151" s="1048"/>
      <c r="BB151" s="1048"/>
      <c r="BC151" s="1048"/>
      <c r="BD151" s="1048"/>
      <c r="BE151" s="1048"/>
      <c r="BF151" s="1048"/>
      <c r="BG151" s="1048"/>
      <c r="BH151" s="1048"/>
      <c r="BI151" s="1048"/>
      <c r="BJ151" s="1048"/>
      <c r="BK151" s="1048"/>
      <c r="BL151" s="1048"/>
      <c r="BM151" s="1107"/>
      <c r="BN151" s="1107"/>
      <c r="BO151" s="1107"/>
      <c r="BP151" s="1107"/>
      <c r="BQ151" s="1107"/>
      <c r="BR151" s="1107"/>
      <c r="BS151" s="1107"/>
      <c r="BT151" s="1107"/>
    </row>
    <row r="152" spans="1:72" ht="17.45" customHeight="1">
      <c r="A152" s="1133"/>
      <c r="B152" s="1133"/>
      <c r="C152" s="1133"/>
      <c r="D152" s="1133"/>
      <c r="E152" s="1133"/>
      <c r="F152" s="1133"/>
      <c r="G152" s="1133"/>
      <c r="H152" s="1133"/>
      <c r="I152" s="1133"/>
      <c r="J152" s="1133"/>
      <c r="K152" s="1133"/>
      <c r="L152" s="1133"/>
      <c r="M152" s="1133"/>
      <c r="N152" s="1133"/>
      <c r="O152" s="1133"/>
      <c r="P152" s="1133"/>
      <c r="Q152" s="1133"/>
      <c r="R152" s="1133"/>
      <c r="S152" s="1133"/>
      <c r="T152" s="1133"/>
      <c r="U152" s="1133"/>
      <c r="V152" s="1133"/>
      <c r="W152" s="1133"/>
      <c r="X152" s="1133"/>
      <c r="Y152" s="1133"/>
      <c r="Z152" s="1133"/>
      <c r="AA152" s="1133"/>
      <c r="AB152" s="1133"/>
      <c r="AC152" s="1133"/>
      <c r="AD152" s="1133"/>
      <c r="AE152" s="1133"/>
      <c r="AF152" s="1133"/>
      <c r="AG152" s="1133"/>
      <c r="AH152" s="1133"/>
      <c r="AI152" s="1133"/>
      <c r="AJ152" s="1048"/>
      <c r="AK152" s="1048"/>
      <c r="AL152" s="1048"/>
      <c r="AM152" s="1048"/>
      <c r="AN152" s="1048"/>
      <c r="AO152" s="1048"/>
      <c r="AP152" s="1048"/>
      <c r="AQ152" s="1048"/>
      <c r="AR152" s="1048"/>
      <c r="AS152" s="1133"/>
      <c r="AT152" s="1048"/>
      <c r="AU152" s="1048"/>
      <c r="AV152" s="1048"/>
      <c r="AW152" s="1048"/>
      <c r="AX152" s="1048"/>
      <c r="AY152" s="1048"/>
      <c r="AZ152" s="1048"/>
      <c r="BA152" s="1048"/>
      <c r="BB152" s="1048"/>
      <c r="BC152" s="1048"/>
      <c r="BD152" s="1048"/>
      <c r="BE152" s="1048"/>
      <c r="BF152" s="1048"/>
      <c r="BG152" s="1048"/>
      <c r="BH152" s="1048"/>
      <c r="BI152" s="1048"/>
      <c r="BJ152" s="1048"/>
      <c r="BK152" s="1048"/>
      <c r="BL152" s="1048"/>
      <c r="BM152" s="1107"/>
      <c r="BN152" s="1107"/>
      <c r="BO152" s="1107"/>
      <c r="BP152" s="1107"/>
      <c r="BQ152" s="1107"/>
      <c r="BR152" s="1107"/>
      <c r="BS152" s="1107"/>
      <c r="BT152" s="1107"/>
    </row>
    <row r="153" spans="1:72" ht="17.45" customHeight="1">
      <c r="A153" s="1133"/>
      <c r="B153" s="1133"/>
      <c r="C153" s="1133"/>
      <c r="D153" s="1133"/>
      <c r="E153" s="1133"/>
      <c r="F153" s="1133"/>
      <c r="G153" s="1133"/>
      <c r="H153" s="1133"/>
      <c r="I153" s="1133"/>
      <c r="J153" s="1133"/>
      <c r="K153" s="1133"/>
      <c r="L153" s="1133"/>
      <c r="M153" s="1133"/>
      <c r="N153" s="1133"/>
      <c r="O153" s="1133"/>
      <c r="P153" s="1133"/>
      <c r="Q153" s="1133"/>
      <c r="R153" s="1133"/>
      <c r="S153" s="1133"/>
      <c r="T153" s="1133"/>
      <c r="U153" s="1133"/>
      <c r="V153" s="1133"/>
      <c r="W153" s="1133"/>
      <c r="X153" s="1133"/>
      <c r="Y153" s="1133"/>
      <c r="Z153" s="1133"/>
      <c r="AA153" s="1133"/>
      <c r="AB153" s="1133"/>
      <c r="AC153" s="1133"/>
      <c r="AD153" s="1133"/>
      <c r="AE153" s="1133"/>
      <c r="AF153" s="1133"/>
      <c r="AG153" s="1133"/>
      <c r="AH153" s="1133"/>
      <c r="AI153" s="1133"/>
      <c r="AJ153" s="1048"/>
      <c r="AK153" s="1048"/>
      <c r="AL153" s="1048"/>
      <c r="AM153" s="1048"/>
      <c r="AN153" s="1048"/>
      <c r="AO153" s="1048"/>
      <c r="AP153" s="1048"/>
      <c r="AQ153" s="1048"/>
      <c r="AR153" s="1048"/>
      <c r="AS153" s="1133"/>
      <c r="AT153" s="1048"/>
      <c r="AU153" s="1048"/>
      <c r="AV153" s="1048"/>
      <c r="AW153" s="1048"/>
      <c r="AX153" s="1048"/>
      <c r="AY153" s="1048"/>
      <c r="AZ153" s="1048"/>
      <c r="BA153" s="1048"/>
      <c r="BB153" s="1048"/>
      <c r="BC153" s="1048"/>
      <c r="BD153" s="1048"/>
      <c r="BE153" s="1048"/>
      <c r="BF153" s="1048"/>
      <c r="BG153" s="1048"/>
      <c r="BH153" s="1048"/>
      <c r="BI153" s="1048"/>
      <c r="BJ153" s="1048"/>
      <c r="BK153" s="1048"/>
      <c r="BL153" s="1048"/>
      <c r="BM153" s="1107"/>
      <c r="BN153" s="1107"/>
      <c r="BO153" s="1107"/>
      <c r="BP153" s="1107"/>
      <c r="BQ153" s="1107"/>
      <c r="BR153" s="1107"/>
      <c r="BS153" s="1107"/>
      <c r="BT153" s="1107"/>
    </row>
    <row r="154" spans="1:72" ht="17.45" customHeight="1">
      <c r="A154" s="1133"/>
      <c r="B154" s="1133"/>
      <c r="C154" s="1133"/>
      <c r="D154" s="1133"/>
      <c r="E154" s="1133"/>
      <c r="F154" s="1133"/>
      <c r="G154" s="1133"/>
      <c r="H154" s="1133"/>
      <c r="I154" s="1133"/>
      <c r="J154" s="1133"/>
      <c r="K154" s="1133"/>
      <c r="L154" s="1133"/>
      <c r="M154" s="1133"/>
      <c r="N154" s="1133"/>
      <c r="O154" s="1133"/>
      <c r="P154" s="1133"/>
      <c r="Q154" s="1133"/>
      <c r="R154" s="1133"/>
      <c r="S154" s="1133"/>
      <c r="T154" s="1133"/>
      <c r="U154" s="1133"/>
      <c r="V154" s="1133"/>
      <c r="W154" s="1133"/>
      <c r="X154" s="1133"/>
      <c r="Y154" s="1133"/>
      <c r="Z154" s="1133"/>
      <c r="AA154" s="1133"/>
      <c r="AB154" s="1133"/>
      <c r="AC154" s="1133"/>
      <c r="AD154" s="1133"/>
      <c r="AE154" s="1133"/>
      <c r="AF154" s="1133"/>
      <c r="AG154" s="1133"/>
      <c r="AH154" s="1133"/>
      <c r="AI154" s="1133"/>
      <c r="AJ154" s="1048"/>
      <c r="AK154" s="1048"/>
      <c r="AL154" s="1048"/>
      <c r="AM154" s="1048"/>
      <c r="AN154" s="1048"/>
      <c r="AO154" s="1048"/>
      <c r="AP154" s="1048"/>
      <c r="AQ154" s="1048"/>
      <c r="AR154" s="1048"/>
      <c r="AS154" s="1133"/>
      <c r="AT154" s="1048"/>
      <c r="AU154" s="1048"/>
      <c r="AV154" s="1048"/>
      <c r="AW154" s="1048"/>
      <c r="AX154" s="1048"/>
      <c r="AY154" s="1048"/>
      <c r="AZ154" s="1048"/>
      <c r="BA154" s="1048"/>
      <c r="BB154" s="1048"/>
      <c r="BC154" s="1048"/>
      <c r="BD154" s="1048"/>
      <c r="BE154" s="1048"/>
      <c r="BF154" s="1048"/>
      <c r="BG154" s="1048"/>
      <c r="BH154" s="1048"/>
      <c r="BI154" s="1048"/>
      <c r="BJ154" s="1048"/>
      <c r="BK154" s="1048"/>
      <c r="BL154" s="1048"/>
      <c r="BM154" s="1107"/>
      <c r="BN154" s="1107"/>
      <c r="BO154" s="1107"/>
      <c r="BP154" s="1107"/>
      <c r="BQ154" s="1107"/>
      <c r="BR154" s="1107"/>
      <c r="BS154" s="1107"/>
      <c r="BT154" s="1107"/>
    </row>
    <row r="155" spans="1:72" ht="17.45" customHeight="1">
      <c r="A155" s="1133"/>
      <c r="B155" s="1133"/>
      <c r="C155" s="1133"/>
      <c r="D155" s="1133"/>
      <c r="E155" s="1133"/>
      <c r="F155" s="1133"/>
      <c r="G155" s="1133"/>
      <c r="H155" s="1133"/>
      <c r="I155" s="1133"/>
      <c r="J155" s="1133"/>
      <c r="K155" s="1133"/>
      <c r="L155" s="1133"/>
      <c r="M155" s="1133"/>
      <c r="N155" s="1133"/>
      <c r="O155" s="1133"/>
      <c r="P155" s="1133"/>
      <c r="Q155" s="1133"/>
      <c r="R155" s="1133"/>
      <c r="S155" s="1133"/>
      <c r="T155" s="1133"/>
      <c r="U155" s="1133"/>
      <c r="V155" s="1133"/>
      <c r="W155" s="1133"/>
      <c r="X155" s="1133"/>
      <c r="Y155" s="1133"/>
      <c r="Z155" s="1133"/>
      <c r="AA155" s="1133"/>
      <c r="AB155" s="1133"/>
      <c r="AC155" s="1133"/>
      <c r="AD155" s="1133"/>
      <c r="AE155" s="1133"/>
      <c r="AF155" s="1133"/>
      <c r="AG155" s="1133"/>
      <c r="AH155" s="1133"/>
      <c r="AI155" s="1133"/>
      <c r="AJ155" s="1048"/>
      <c r="AK155" s="1048"/>
      <c r="AL155" s="1048"/>
      <c r="AM155" s="1048"/>
      <c r="AN155" s="1048"/>
      <c r="AO155" s="1048"/>
      <c r="AP155" s="1048"/>
      <c r="AQ155" s="1048"/>
      <c r="AR155" s="1048"/>
      <c r="AS155" s="1133"/>
      <c r="AT155" s="1048"/>
      <c r="AU155" s="1048"/>
      <c r="AV155" s="1048"/>
      <c r="AW155" s="1048"/>
      <c r="AX155" s="1048"/>
      <c r="AY155" s="1048"/>
      <c r="AZ155" s="1048"/>
      <c r="BA155" s="1048"/>
      <c r="BB155" s="1048"/>
      <c r="BC155" s="1048"/>
      <c r="BD155" s="1048"/>
      <c r="BE155" s="1048"/>
      <c r="BF155" s="1048"/>
      <c r="BG155" s="1048"/>
      <c r="BH155" s="1048"/>
      <c r="BI155" s="1048"/>
      <c r="BJ155" s="1048"/>
      <c r="BK155" s="1048"/>
      <c r="BL155" s="1048"/>
      <c r="BM155" s="1107"/>
      <c r="BN155" s="1107"/>
      <c r="BO155" s="1107"/>
      <c r="BP155" s="1107"/>
      <c r="BQ155" s="1107"/>
      <c r="BR155" s="1107"/>
      <c r="BS155" s="1107"/>
      <c r="BT155" s="1107"/>
    </row>
    <row r="156" spans="1:72" ht="17.45" customHeight="1">
      <c r="A156" s="1133"/>
      <c r="B156" s="1133"/>
      <c r="C156" s="1133"/>
      <c r="D156" s="1133"/>
      <c r="E156" s="1133"/>
      <c r="F156" s="1133"/>
      <c r="G156" s="1133"/>
      <c r="H156" s="1133"/>
      <c r="I156" s="1133"/>
      <c r="J156" s="1133"/>
      <c r="K156" s="1133"/>
      <c r="L156" s="1133"/>
      <c r="M156" s="1133"/>
      <c r="N156" s="1133"/>
      <c r="O156" s="1133"/>
      <c r="P156" s="1133"/>
      <c r="Q156" s="1133"/>
      <c r="R156" s="1133"/>
      <c r="S156" s="1133"/>
      <c r="T156" s="1133"/>
      <c r="U156" s="1133"/>
      <c r="V156" s="1133"/>
      <c r="W156" s="1133"/>
      <c r="X156" s="1133"/>
      <c r="Y156" s="1133"/>
      <c r="Z156" s="1133"/>
      <c r="AA156" s="1133"/>
      <c r="AB156" s="1133"/>
      <c r="AC156" s="1133"/>
      <c r="AD156" s="1133"/>
      <c r="AE156" s="1133"/>
      <c r="AF156" s="1133"/>
      <c r="AG156" s="1133"/>
      <c r="AH156" s="1133"/>
      <c r="AI156" s="1133"/>
      <c r="AJ156" s="1048"/>
      <c r="AK156" s="1048"/>
      <c r="AL156" s="1048"/>
      <c r="AM156" s="1048"/>
      <c r="AN156" s="1048"/>
      <c r="AO156" s="1048"/>
      <c r="AP156" s="1048"/>
      <c r="AQ156" s="1048"/>
      <c r="AR156" s="1048"/>
      <c r="AS156" s="1133"/>
      <c r="AT156" s="1048"/>
      <c r="AU156" s="1048"/>
      <c r="AV156" s="1048"/>
      <c r="AW156" s="1048"/>
      <c r="AX156" s="1048"/>
      <c r="AY156" s="1048"/>
      <c r="AZ156" s="1048"/>
      <c r="BA156" s="1048"/>
      <c r="BB156" s="1048"/>
      <c r="BC156" s="1048"/>
      <c r="BD156" s="1048"/>
      <c r="BE156" s="1048"/>
      <c r="BF156" s="1048"/>
      <c r="BG156" s="1048"/>
      <c r="BH156" s="1048"/>
      <c r="BI156" s="1048"/>
      <c r="BJ156" s="1048"/>
      <c r="BK156" s="1048"/>
      <c r="BL156" s="1048"/>
      <c r="BM156" s="1107"/>
      <c r="BN156" s="1107"/>
      <c r="BO156" s="1107"/>
      <c r="BP156" s="1107"/>
      <c r="BQ156" s="1107"/>
      <c r="BR156" s="1107"/>
      <c r="BS156" s="1107"/>
      <c r="BT156" s="1107"/>
    </row>
    <row r="157" spans="1:72" ht="17.45" customHeight="1">
      <c r="A157" s="1133"/>
      <c r="B157" s="1133"/>
      <c r="C157" s="1133"/>
      <c r="D157" s="1133"/>
      <c r="E157" s="1133"/>
      <c r="F157" s="1133"/>
      <c r="G157" s="1133"/>
      <c r="H157" s="1133"/>
      <c r="I157" s="1133"/>
      <c r="J157" s="1133"/>
      <c r="K157" s="1133"/>
      <c r="L157" s="1133"/>
      <c r="M157" s="1133"/>
      <c r="N157" s="1133"/>
      <c r="O157" s="1133"/>
      <c r="P157" s="1133"/>
      <c r="Q157" s="1133"/>
      <c r="R157" s="1133"/>
      <c r="S157" s="1133"/>
      <c r="T157" s="1133"/>
      <c r="U157" s="1133"/>
      <c r="V157" s="1133"/>
      <c r="W157" s="1133"/>
      <c r="X157" s="1133"/>
      <c r="Y157" s="1133"/>
      <c r="Z157" s="1133"/>
      <c r="AA157" s="1133"/>
      <c r="AB157" s="1133"/>
      <c r="AC157" s="1133"/>
      <c r="AD157" s="1133"/>
      <c r="AE157" s="1133"/>
      <c r="AF157" s="1133"/>
      <c r="AG157" s="1133"/>
      <c r="AH157" s="1133"/>
      <c r="AI157" s="1133"/>
      <c r="AJ157" s="1048"/>
      <c r="AK157" s="1048"/>
      <c r="AL157" s="1048"/>
      <c r="AM157" s="1048"/>
      <c r="AN157" s="1048"/>
      <c r="AO157" s="1048"/>
      <c r="AP157" s="1048"/>
      <c r="AQ157" s="1048"/>
      <c r="AR157" s="1048"/>
      <c r="AS157" s="1133"/>
      <c r="AT157" s="1048"/>
      <c r="AU157" s="1048"/>
      <c r="AV157" s="1048"/>
      <c r="AW157" s="1048"/>
      <c r="AX157" s="1048"/>
      <c r="AY157" s="1048"/>
      <c r="AZ157" s="1048"/>
      <c r="BA157" s="1048"/>
      <c r="BB157" s="1048"/>
      <c r="BC157" s="1048"/>
      <c r="BD157" s="1048"/>
      <c r="BE157" s="1048"/>
      <c r="BF157" s="1048"/>
      <c r="BG157" s="1048"/>
      <c r="BH157" s="1048"/>
      <c r="BI157" s="1048"/>
      <c r="BJ157" s="1048"/>
      <c r="BK157" s="1048"/>
      <c r="BL157" s="1048"/>
      <c r="BM157" s="1107"/>
      <c r="BN157" s="1107"/>
      <c r="BO157" s="1107"/>
      <c r="BP157" s="1107"/>
      <c r="BQ157" s="1107"/>
      <c r="BR157" s="1107"/>
      <c r="BS157" s="1107"/>
      <c r="BT157" s="1107"/>
    </row>
    <row r="158" spans="1:72" ht="17.45" customHeight="1">
      <c r="A158" s="1133"/>
      <c r="B158" s="1133"/>
      <c r="C158" s="1133"/>
      <c r="D158" s="1133"/>
      <c r="E158" s="1133"/>
      <c r="F158" s="1133"/>
      <c r="G158" s="1133"/>
      <c r="H158" s="1133"/>
      <c r="I158" s="1133"/>
      <c r="J158" s="1133"/>
      <c r="K158" s="1133"/>
      <c r="L158" s="1133"/>
      <c r="M158" s="1133"/>
      <c r="N158" s="1133"/>
      <c r="O158" s="1133"/>
      <c r="P158" s="1133"/>
      <c r="Q158" s="1133"/>
      <c r="R158" s="1133"/>
      <c r="S158" s="1133"/>
      <c r="T158" s="1133"/>
      <c r="U158" s="1133"/>
      <c r="V158" s="1133"/>
      <c r="W158" s="1133"/>
      <c r="X158" s="1133"/>
      <c r="Y158" s="1133"/>
      <c r="Z158" s="1133"/>
      <c r="AA158" s="1133"/>
      <c r="AB158" s="1133"/>
      <c r="AC158" s="1133"/>
      <c r="AD158" s="1133"/>
      <c r="AE158" s="1133"/>
      <c r="AF158" s="1133"/>
      <c r="AG158" s="1133"/>
      <c r="AH158" s="1133"/>
      <c r="AI158" s="1133"/>
      <c r="AJ158" s="1048"/>
      <c r="AK158" s="1048"/>
      <c r="AL158" s="1048"/>
      <c r="AM158" s="1048"/>
      <c r="AN158" s="1048"/>
      <c r="AO158" s="1048"/>
      <c r="AP158" s="1048"/>
      <c r="AQ158" s="1048"/>
      <c r="AR158" s="1048"/>
      <c r="AS158" s="1133"/>
      <c r="AT158" s="1048"/>
      <c r="AU158" s="1048"/>
      <c r="AV158" s="1048"/>
      <c r="AW158" s="1048"/>
      <c r="AX158" s="1048"/>
      <c r="AY158" s="1048"/>
      <c r="AZ158" s="1048"/>
      <c r="BA158" s="1048"/>
      <c r="BB158" s="1048"/>
      <c r="BC158" s="1048"/>
      <c r="BD158" s="1048"/>
      <c r="BE158" s="1048"/>
      <c r="BF158" s="1048"/>
      <c r="BG158" s="1048"/>
      <c r="BH158" s="1048"/>
      <c r="BI158" s="1048"/>
      <c r="BJ158" s="1048"/>
      <c r="BK158" s="1048"/>
      <c r="BL158" s="1048"/>
      <c r="BM158" s="1107"/>
      <c r="BN158" s="1107"/>
      <c r="BO158" s="1107"/>
      <c r="BP158" s="1107"/>
      <c r="BQ158" s="1107"/>
      <c r="BR158" s="1107"/>
      <c r="BS158" s="1107"/>
      <c r="BT158" s="1107"/>
    </row>
    <row r="159" spans="1:72" ht="17.45" customHeight="1">
      <c r="A159" s="1133"/>
      <c r="B159" s="1133"/>
      <c r="C159" s="1133"/>
      <c r="D159" s="1133"/>
      <c r="E159" s="1133"/>
      <c r="F159" s="1133"/>
      <c r="G159" s="1133"/>
      <c r="H159" s="1133"/>
      <c r="I159" s="1133"/>
      <c r="J159" s="1133"/>
      <c r="K159" s="1133"/>
      <c r="L159" s="1133"/>
      <c r="M159" s="1133"/>
      <c r="N159" s="1133"/>
      <c r="O159" s="1133"/>
      <c r="P159" s="1133"/>
      <c r="Q159" s="1133"/>
      <c r="R159" s="1133"/>
      <c r="S159" s="1133"/>
      <c r="T159" s="1133"/>
      <c r="U159" s="1133"/>
      <c r="V159" s="1133"/>
      <c r="W159" s="1133"/>
      <c r="X159" s="1133"/>
      <c r="Y159" s="1133"/>
      <c r="Z159" s="1133"/>
      <c r="AA159" s="1133"/>
      <c r="AB159" s="1133"/>
      <c r="AC159" s="1133"/>
      <c r="AD159" s="1133"/>
      <c r="AE159" s="1133"/>
      <c r="AF159" s="1133"/>
      <c r="AG159" s="1133"/>
      <c r="AH159" s="1133"/>
      <c r="AI159" s="1133"/>
      <c r="AJ159" s="1048"/>
      <c r="AK159" s="1048"/>
      <c r="AL159" s="1048"/>
      <c r="AM159" s="1048"/>
      <c r="AN159" s="1048"/>
      <c r="AO159" s="1048"/>
      <c r="AP159" s="1048"/>
      <c r="AQ159" s="1048"/>
      <c r="AR159" s="1048"/>
      <c r="AS159" s="1133"/>
      <c r="AT159" s="1048"/>
      <c r="AU159" s="1048"/>
      <c r="AV159" s="1048"/>
      <c r="AW159" s="1048"/>
      <c r="AX159" s="1048"/>
      <c r="AY159" s="1048"/>
      <c r="AZ159" s="1048"/>
      <c r="BA159" s="1048"/>
      <c r="BB159" s="1048"/>
      <c r="BC159" s="1048"/>
      <c r="BD159" s="1048"/>
      <c r="BE159" s="1048"/>
      <c r="BF159" s="1048"/>
      <c r="BG159" s="1048"/>
      <c r="BH159" s="1048"/>
      <c r="BI159" s="1048"/>
      <c r="BJ159" s="1048"/>
      <c r="BK159" s="1048"/>
      <c r="BL159" s="1048"/>
      <c r="BM159" s="1107"/>
      <c r="BN159" s="1107"/>
      <c r="BO159" s="1107"/>
      <c r="BP159" s="1107"/>
      <c r="BQ159" s="1107"/>
      <c r="BR159" s="1107"/>
      <c r="BS159" s="1107"/>
      <c r="BT159" s="1107"/>
    </row>
    <row r="160" spans="1:72" ht="17.45" customHeight="1">
      <c r="A160" s="1133"/>
      <c r="B160" s="1133"/>
      <c r="C160" s="1133"/>
      <c r="D160" s="1133"/>
      <c r="E160" s="1133"/>
      <c r="F160" s="1133"/>
      <c r="G160" s="1133"/>
      <c r="H160" s="1133"/>
      <c r="I160" s="1133"/>
      <c r="J160" s="1133"/>
      <c r="K160" s="1133"/>
      <c r="L160" s="1133"/>
      <c r="M160" s="1133"/>
      <c r="N160" s="1133"/>
      <c r="O160" s="1133"/>
      <c r="P160" s="1133"/>
      <c r="Q160" s="1133"/>
      <c r="R160" s="1133"/>
      <c r="S160" s="1133"/>
      <c r="T160" s="1133"/>
      <c r="U160" s="1133"/>
      <c r="V160" s="1133"/>
      <c r="W160" s="1133"/>
      <c r="X160" s="1133"/>
      <c r="Y160" s="1133"/>
      <c r="Z160" s="1133"/>
      <c r="AA160" s="1133"/>
      <c r="AB160" s="1133"/>
      <c r="AC160" s="1133"/>
      <c r="AD160" s="1133"/>
      <c r="AE160" s="1133"/>
      <c r="AF160" s="1133"/>
      <c r="AG160" s="1133"/>
      <c r="AH160" s="1133"/>
      <c r="AI160" s="1133"/>
      <c r="AJ160" s="1048"/>
      <c r="AK160" s="1048"/>
      <c r="AL160" s="1048"/>
      <c r="AM160" s="1048"/>
      <c r="AN160" s="1048"/>
      <c r="AO160" s="1048"/>
      <c r="AP160" s="1048"/>
      <c r="AQ160" s="1048"/>
      <c r="AR160" s="1048"/>
      <c r="AS160" s="1133"/>
      <c r="AT160" s="1048"/>
      <c r="AU160" s="1048"/>
      <c r="AV160" s="1048"/>
      <c r="AW160" s="1048"/>
      <c r="AX160" s="1048"/>
      <c r="AY160" s="1048"/>
      <c r="AZ160" s="1048"/>
      <c r="BA160" s="1048"/>
      <c r="BB160" s="1048"/>
      <c r="BC160" s="1048"/>
      <c r="BD160" s="1048"/>
      <c r="BE160" s="1048"/>
      <c r="BF160" s="1048"/>
      <c r="BG160" s="1048"/>
      <c r="BH160" s="1048"/>
      <c r="BI160" s="1048"/>
      <c r="BJ160" s="1048"/>
      <c r="BK160" s="1048"/>
      <c r="BL160" s="1048"/>
      <c r="BM160" s="1107"/>
      <c r="BN160" s="1107"/>
      <c r="BO160" s="1107"/>
      <c r="BP160" s="1107"/>
      <c r="BQ160" s="1107"/>
      <c r="BR160" s="1107"/>
      <c r="BS160" s="1107"/>
      <c r="BT160" s="1107"/>
    </row>
    <row r="161" spans="1:22" ht="18">
      <c r="A161" s="1133"/>
      <c r="B161" s="1133"/>
      <c r="C161" s="1133"/>
      <c r="D161" s="1133"/>
      <c r="E161" s="1133"/>
      <c r="F161" s="1133"/>
      <c r="G161" s="1133"/>
      <c r="H161" s="1133"/>
      <c r="I161" s="1133"/>
      <c r="J161" s="1133"/>
      <c r="K161" s="1133"/>
      <c r="L161" s="1133"/>
      <c r="M161" s="1133"/>
      <c r="N161" s="1133"/>
      <c r="O161" s="1133"/>
      <c r="P161" s="1133"/>
      <c r="Q161" s="1133"/>
      <c r="R161" s="1133"/>
      <c r="S161" s="1133"/>
      <c r="T161" s="1133"/>
      <c r="U161" s="1133"/>
      <c r="V161" s="1133"/>
    </row>
    <row r="162" spans="1:22" ht="18">
      <c r="A162" s="1133"/>
      <c r="B162" s="1133"/>
      <c r="C162" s="1133"/>
      <c r="D162" s="1133"/>
      <c r="E162" s="1133"/>
      <c r="F162" s="1133"/>
      <c r="G162" s="1133"/>
      <c r="H162" s="1133"/>
      <c r="I162" s="1133"/>
      <c r="J162" s="1133"/>
      <c r="K162" s="1133"/>
      <c r="L162" s="1133"/>
      <c r="M162" s="1133"/>
      <c r="N162" s="1133"/>
      <c r="O162" s="1133"/>
      <c r="P162" s="1133"/>
      <c r="Q162" s="1133"/>
      <c r="R162" s="1133"/>
      <c r="S162" s="1133"/>
      <c r="T162" s="1133"/>
      <c r="U162" s="1133"/>
      <c r="V162" s="1133"/>
    </row>
    <row r="163" spans="1:22" ht="18">
      <c r="A163" s="1133"/>
      <c r="B163" s="1133"/>
      <c r="C163" s="1133"/>
      <c r="D163" s="1133"/>
      <c r="E163" s="1133"/>
      <c r="F163" s="1133"/>
      <c r="G163" s="1133"/>
      <c r="H163" s="1133"/>
      <c r="I163" s="1133"/>
    </row>
    <row r="164" spans="1:22" ht="18">
      <c r="A164" s="1133"/>
      <c r="B164" s="1133"/>
      <c r="C164" s="1133"/>
      <c r="D164" s="1133"/>
      <c r="E164" s="1133"/>
      <c r="F164" s="1133"/>
      <c r="G164" s="1133"/>
      <c r="H164" s="1133"/>
      <c r="I164" s="1133"/>
    </row>
    <row r="165" spans="1:22" ht="18">
      <c r="A165" s="1133"/>
      <c r="B165" s="1133"/>
      <c r="C165" s="1133"/>
      <c r="D165" s="1133"/>
      <c r="E165" s="1133"/>
      <c r="F165" s="1133"/>
      <c r="G165" s="1133"/>
      <c r="H165" s="1133"/>
      <c r="I165" s="1133"/>
    </row>
    <row r="166" spans="1:22" ht="18">
      <c r="A166" s="1133"/>
      <c r="B166" s="1133"/>
      <c r="C166" s="1133"/>
      <c r="D166" s="1133"/>
      <c r="E166" s="1133"/>
      <c r="F166" s="1133"/>
      <c r="G166" s="1133"/>
      <c r="H166" s="1133"/>
      <c r="I166" s="1133"/>
    </row>
    <row r="167" spans="1:22" ht="18">
      <c r="A167" s="1133"/>
      <c r="B167" s="1133"/>
      <c r="C167" s="1133"/>
      <c r="D167" s="1133"/>
      <c r="E167" s="1133"/>
      <c r="F167" s="1133"/>
      <c r="G167" s="1133"/>
      <c r="H167" s="1133"/>
      <c r="I167" s="1133"/>
    </row>
    <row r="168" spans="1:22" ht="18">
      <c r="A168" s="1133"/>
      <c r="B168" s="1133"/>
      <c r="C168" s="1133"/>
      <c r="D168" s="1133"/>
      <c r="E168" s="1133"/>
      <c r="F168" s="1133"/>
      <c r="G168" s="1133"/>
      <c r="H168" s="1133"/>
      <c r="I168" s="1133"/>
    </row>
    <row r="169" spans="1:22" ht="18">
      <c r="A169" s="1133"/>
      <c r="B169" s="1133"/>
      <c r="C169" s="1133"/>
      <c r="D169" s="1133"/>
      <c r="E169" s="1133"/>
      <c r="F169" s="1133"/>
      <c r="G169" s="1133"/>
      <c r="H169" s="1133"/>
    </row>
    <row r="170" spans="1:22" ht="18">
      <c r="A170" s="1133"/>
      <c r="B170" s="1133"/>
      <c r="C170" s="1133"/>
      <c r="D170" s="1133"/>
      <c r="E170" s="1133"/>
      <c r="F170" s="1133"/>
      <c r="G170" s="1133"/>
      <c r="H170" s="1133"/>
    </row>
  </sheetData>
  <sheetProtection sheet="1" objects="1" scenarios="1"/>
  <mergeCells count="8">
    <mergeCell ref="AZ3:AZ5"/>
    <mergeCell ref="BJ16:BL17"/>
    <mergeCell ref="AT1:BL1"/>
    <mergeCell ref="BM1:BT1"/>
    <mergeCell ref="H2:H3"/>
    <mergeCell ref="AJ1:AS1"/>
    <mergeCell ref="X1:AH1"/>
    <mergeCell ref="J1:U1"/>
  </mergeCells>
  <hyperlinks>
    <hyperlink ref="BN10" r:id="rId1"/>
    <hyperlink ref="BN6" r:id="rId2"/>
    <hyperlink ref="BN7" r:id="rId3"/>
    <hyperlink ref="BN9" r:id="rId4"/>
    <hyperlink ref="BN8" r:id="rId5"/>
    <hyperlink ref="BD14" r:id="rId6"/>
    <hyperlink ref="H2:H3" location="Kalkulation!A12:A100" display="Zurück"/>
    <hyperlink ref="Z5" r:id="rId7"/>
    <hyperlink ref="Y4" r:id="rId8"/>
    <hyperlink ref="K4" r:id="rId9"/>
    <hyperlink ref="M5" r:id="rId10"/>
  </hyperlinks>
  <pageMargins left="0.59055118110236227" right="0.59055118110236227" top="0.78740157480314965" bottom="0.78740157480314965" header="0.31496062992125984" footer="0.31496062992125984"/>
  <pageSetup paperSize="9" scale="81" fitToWidth="2" fitToHeight="2" orientation="portrait" r:id="rId11"/>
  <headerFooter>
    <oddFooter>&amp;L&amp;8LEL Schwäbisch Gmünd; Abt. IV; LLM (WS)&amp;C&amp;8&amp;F&amp;R&amp;8Stand: August 2014</oddFooter>
  </headerFooter>
  <rowBreaks count="1" manualBreakCount="1">
    <brk id="60" min="45" max="63" man="1"/>
  </rowBreaks>
  <drawing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O23"/>
  <sheetViews>
    <sheetView zoomScale="90" zoomScaleNormal="90" workbookViewId="0">
      <pane xSplit="3" topLeftCell="D1" activePane="topRight" state="frozen"/>
      <selection pane="topRight" activeCell="B1" sqref="B1"/>
    </sheetView>
  </sheetViews>
  <sheetFormatPr baseColWidth="10" defaultColWidth="11.42578125" defaultRowHeight="12.75"/>
  <cols>
    <col min="1" max="1" width="2.7109375" style="865" customWidth="1"/>
    <col min="2" max="2" width="12.7109375" style="865" customWidth="1"/>
    <col min="3" max="3" width="2.7109375" style="865" customWidth="1"/>
    <col min="4" max="16384" width="11.42578125" style="865"/>
  </cols>
  <sheetData>
    <row r="1" spans="2:67" ht="20.100000000000001" customHeight="1">
      <c r="B1" s="1242" t="s">
        <v>494</v>
      </c>
      <c r="D1" s="1045" t="s">
        <v>1352</v>
      </c>
      <c r="K1" s="1045" t="s">
        <v>1353</v>
      </c>
      <c r="R1" s="1045" t="s">
        <v>1354</v>
      </c>
      <c r="Y1" s="1045" t="s">
        <v>1355</v>
      </c>
      <c r="AF1" s="1045" t="s">
        <v>1356</v>
      </c>
      <c r="AM1" s="1045" t="s">
        <v>1357</v>
      </c>
      <c r="AT1" s="1045" t="s">
        <v>1358</v>
      </c>
      <c r="BA1" s="1045" t="s">
        <v>1359</v>
      </c>
      <c r="BH1" s="1045" t="s">
        <v>1360</v>
      </c>
      <c r="BO1" s="1045" t="s">
        <v>1361</v>
      </c>
    </row>
    <row r="3" spans="2:67">
      <c r="B3" s="865" t="s">
        <v>1362</v>
      </c>
    </row>
    <row r="5" spans="2:67">
      <c r="B5" s="1241" t="s">
        <v>1352</v>
      </c>
    </row>
    <row r="7" spans="2:67">
      <c r="B7" s="1241" t="s">
        <v>1353</v>
      </c>
    </row>
    <row r="9" spans="2:67">
      <c r="B9" s="1241" t="s">
        <v>1354</v>
      </c>
    </row>
    <row r="11" spans="2:67">
      <c r="B11" s="1241" t="s">
        <v>1355</v>
      </c>
    </row>
    <row r="13" spans="2:67">
      <c r="B13" s="1241" t="s">
        <v>1356</v>
      </c>
    </row>
    <row r="15" spans="2:67">
      <c r="B15" s="1241" t="s">
        <v>1357</v>
      </c>
    </row>
    <row r="17" spans="2:2">
      <c r="B17" s="1241" t="s">
        <v>1358</v>
      </c>
    </row>
    <row r="19" spans="2:2">
      <c r="B19" s="1241" t="s">
        <v>1359</v>
      </c>
    </row>
    <row r="21" spans="2:2">
      <c r="B21" s="1241" t="s">
        <v>1360</v>
      </c>
    </row>
    <row r="23" spans="2:2">
      <c r="B23" s="1241" t="s">
        <v>1361</v>
      </c>
    </row>
  </sheetData>
  <sheetProtection algorithmName="SHA-512" hashValue="oyXTWhZrvX6DrfDYtb+2WNPJHBnpVTzy2j18/cTGaXSrhRHA/JGjDZDPg7EkF0B6q7PD5SIMAMgOJFgW/dsAtA==" saltValue="fbNKO3K2RMY5po5SKQsVmA==" spinCount="100000" sheet="1" objects="1" scenarios="1"/>
  <hyperlinks>
    <hyperlink ref="B5" location="Artikel_Energiewende!D1:J1" display="Seite 1"/>
    <hyperlink ref="B7" location="Artikel_Energiewende!K1:Q1" display="Seite 2"/>
    <hyperlink ref="B9" location="Artikel_Energiewende!R1:X1" display="Seite 3"/>
    <hyperlink ref="B11" location="Artikel_Energiewende!Y1:AE1" display="Seite 4"/>
    <hyperlink ref="B13" location="Artikel_Energiewende!AF1:AL1" display="Seite 5"/>
    <hyperlink ref="B15" location="Artikel_Energiewende!AM1:AS1" display="Seite 6"/>
    <hyperlink ref="B17" location="Artikel_Energiewende!AT1:AZ1" display="Seite 7"/>
    <hyperlink ref="B19" location="Artikel_Energiewende!BA1:BG1" display="Seite 8"/>
    <hyperlink ref="B21" location="Artikel_Energiewende!BH1:BN1" display="Seite 9"/>
    <hyperlink ref="B23" location="Artikel_Energiewende!BO1:BU1" display="Seite 10"/>
    <hyperlink ref="B1" location="Programmbeschreibung!A8" display="Zurück"/>
  </hyperlink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>
    <pageSetUpPr fitToPage="1"/>
  </sheetPr>
  <dimension ref="A1:CB240"/>
  <sheetViews>
    <sheetView zoomScale="80" zoomScaleNormal="80" workbookViewId="0">
      <pane ySplit="16" topLeftCell="A157" activePane="bottomLeft" state="frozen"/>
      <selection pane="bottomLeft" activeCell="C190" sqref="C190"/>
    </sheetView>
  </sheetViews>
  <sheetFormatPr baseColWidth="10" defaultRowHeight="12.75"/>
  <cols>
    <col min="1" max="1" width="2.5703125" style="215" customWidth="1"/>
    <col min="2" max="2" width="2.28515625" style="215" customWidth="1"/>
    <col min="3" max="3" width="18.7109375" customWidth="1"/>
    <col min="4" max="4" width="4.5703125" customWidth="1"/>
    <col min="5" max="6" width="8.5703125" customWidth="1"/>
    <col min="7" max="7" width="4.5703125" customWidth="1"/>
    <col min="8" max="9" width="8.5703125" customWidth="1"/>
    <col min="10" max="10" width="4.5703125" customWidth="1"/>
    <col min="11" max="12" width="8.5703125" customWidth="1"/>
    <col min="13" max="13" width="4.5703125" customWidth="1"/>
    <col min="14" max="15" width="8.5703125" customWidth="1"/>
    <col min="16" max="16" width="1.5703125" customWidth="1"/>
    <col min="17" max="17" width="8.5703125" customWidth="1"/>
    <col min="18" max="18" width="1.5703125" customWidth="1"/>
    <col min="19" max="19" width="4.5703125" customWidth="1"/>
    <col min="20" max="21" width="8.5703125" customWidth="1"/>
    <col min="22" max="22" width="1.5703125" customWidth="1"/>
    <col min="23" max="23" width="4.5703125" customWidth="1"/>
    <col min="24" max="24" width="8.5703125" customWidth="1"/>
    <col min="25" max="25" width="1.5703125" customWidth="1"/>
    <col min="26" max="26" width="8.5703125" style="896" customWidth="1"/>
    <col min="27" max="27" width="6.5703125" customWidth="1"/>
    <col min="28" max="30" width="8.5703125" customWidth="1"/>
    <col min="31" max="36" width="6.5703125" customWidth="1"/>
    <col min="37" max="37" width="1.7109375" customWidth="1"/>
    <col min="38" max="39" width="10.7109375" customWidth="1"/>
    <col min="40" max="40" width="1.7109375" customWidth="1"/>
    <col min="41" max="43" width="10.7109375" customWidth="1"/>
    <col min="44" max="44" width="1.7109375" customWidth="1"/>
    <col min="45" max="48" width="7.7109375" customWidth="1"/>
    <col min="49" max="49" width="1.7109375" customWidth="1"/>
    <col min="64" max="64" width="12.7109375" customWidth="1"/>
  </cols>
  <sheetData>
    <row r="1" spans="1:80" ht="12.2" customHeight="1" thickBot="1">
      <c r="A1" s="550">
        <f>COLUMN()</f>
        <v>1</v>
      </c>
      <c r="B1" s="550">
        <f>COLUMN()</f>
        <v>2</v>
      </c>
      <c r="C1" s="550">
        <f>COLUMN()</f>
        <v>3</v>
      </c>
      <c r="D1" s="550">
        <f>COLUMN()</f>
        <v>4</v>
      </c>
      <c r="E1" s="550">
        <f>COLUMN()</f>
        <v>5</v>
      </c>
      <c r="F1" s="550">
        <f>COLUMN()</f>
        <v>6</v>
      </c>
      <c r="G1" s="550">
        <f>COLUMN()</f>
        <v>7</v>
      </c>
      <c r="H1" s="550">
        <f>COLUMN()</f>
        <v>8</v>
      </c>
      <c r="I1" s="550">
        <f>COLUMN()</f>
        <v>9</v>
      </c>
      <c r="J1" s="550">
        <f>COLUMN()</f>
        <v>10</v>
      </c>
      <c r="K1" s="550">
        <f>COLUMN()</f>
        <v>11</v>
      </c>
      <c r="L1" s="550">
        <f>COLUMN()</f>
        <v>12</v>
      </c>
      <c r="M1" s="550">
        <f>COLUMN()</f>
        <v>13</v>
      </c>
      <c r="N1" s="550">
        <f>COLUMN()</f>
        <v>14</v>
      </c>
      <c r="O1" s="550">
        <f>COLUMN()</f>
        <v>15</v>
      </c>
      <c r="P1" s="550">
        <f>COLUMN()</f>
        <v>16</v>
      </c>
      <c r="Q1" s="550">
        <f>COLUMN()</f>
        <v>17</v>
      </c>
      <c r="R1" s="550">
        <f>COLUMN()</f>
        <v>18</v>
      </c>
      <c r="S1" s="550">
        <f>COLUMN()</f>
        <v>19</v>
      </c>
      <c r="T1" s="550">
        <f>COLUMN()</f>
        <v>20</v>
      </c>
      <c r="U1" s="550">
        <f>COLUMN()</f>
        <v>21</v>
      </c>
      <c r="V1" s="550">
        <f>COLUMN()</f>
        <v>22</v>
      </c>
      <c r="W1" s="550">
        <f>COLUMN()</f>
        <v>23</v>
      </c>
      <c r="X1" s="550">
        <f>COLUMN()</f>
        <v>24</v>
      </c>
      <c r="Y1" s="550">
        <f>COLUMN()</f>
        <v>25</v>
      </c>
      <c r="Z1" s="550">
        <f>COLUMN()</f>
        <v>26</v>
      </c>
      <c r="AA1" s="550">
        <f>COLUMN()</f>
        <v>27</v>
      </c>
      <c r="AB1" s="550">
        <f>COLUMN()</f>
        <v>28</v>
      </c>
      <c r="AC1" s="550">
        <f>COLUMN()</f>
        <v>29</v>
      </c>
      <c r="AD1" s="550">
        <f>COLUMN()</f>
        <v>30</v>
      </c>
      <c r="AE1" s="550">
        <f>COLUMN()</f>
        <v>31</v>
      </c>
      <c r="AF1" s="550">
        <f>COLUMN()</f>
        <v>32</v>
      </c>
      <c r="AG1" s="550">
        <f>COLUMN()</f>
        <v>33</v>
      </c>
      <c r="AH1" s="550">
        <f>COLUMN()</f>
        <v>34</v>
      </c>
      <c r="AI1" s="550">
        <f>COLUMN()</f>
        <v>35</v>
      </c>
      <c r="AJ1" s="550">
        <f>COLUMN()</f>
        <v>36</v>
      </c>
      <c r="AK1" s="550">
        <f>COLUMN()</f>
        <v>37</v>
      </c>
      <c r="AL1" s="550">
        <f>COLUMN()</f>
        <v>38</v>
      </c>
      <c r="AM1" s="550">
        <f>COLUMN()</f>
        <v>39</v>
      </c>
      <c r="AN1" s="550">
        <f>COLUMN()</f>
        <v>40</v>
      </c>
      <c r="AO1" s="550">
        <f>COLUMN()</f>
        <v>41</v>
      </c>
      <c r="AP1" s="550">
        <f>COLUMN()</f>
        <v>42</v>
      </c>
      <c r="AQ1" s="550">
        <f>COLUMN()</f>
        <v>43</v>
      </c>
      <c r="AR1" s="550">
        <f>COLUMN()</f>
        <v>44</v>
      </c>
      <c r="AS1" s="550">
        <f>COLUMN()</f>
        <v>45</v>
      </c>
      <c r="AT1" s="550">
        <f>COLUMN()</f>
        <v>46</v>
      </c>
      <c r="AU1" s="550">
        <f>COLUMN()</f>
        <v>47</v>
      </c>
      <c r="AV1" s="550">
        <f>COLUMN()</f>
        <v>48</v>
      </c>
      <c r="AW1" s="550">
        <f>COLUMN()</f>
        <v>49</v>
      </c>
      <c r="AX1" s="550">
        <f>COLUMN()</f>
        <v>50</v>
      </c>
      <c r="AY1" s="550">
        <f>COLUMN()</f>
        <v>51</v>
      </c>
      <c r="AZ1" s="550">
        <f>COLUMN()</f>
        <v>52</v>
      </c>
      <c r="BA1" s="550">
        <f>COLUMN()</f>
        <v>53</v>
      </c>
      <c r="BB1" s="550">
        <f>COLUMN()</f>
        <v>54</v>
      </c>
      <c r="BC1" s="550">
        <f>COLUMN()</f>
        <v>55</v>
      </c>
      <c r="BD1" s="550"/>
      <c r="BE1" s="550"/>
      <c r="BF1" s="550">
        <f>COLUMN()</f>
        <v>58</v>
      </c>
      <c r="BG1" s="550">
        <f>COLUMN()</f>
        <v>59</v>
      </c>
      <c r="BH1" s="550">
        <f>COLUMN()</f>
        <v>60</v>
      </c>
      <c r="BI1" s="550">
        <f>COLUMN()</f>
        <v>61</v>
      </c>
      <c r="BJ1" s="550">
        <f>COLUMN()</f>
        <v>62</v>
      </c>
      <c r="BK1" s="550">
        <f>COLUMN()</f>
        <v>63</v>
      </c>
      <c r="BL1" s="550">
        <f>COLUMN()</f>
        <v>64</v>
      </c>
      <c r="BM1" s="550">
        <f>COLUMN()</f>
        <v>65</v>
      </c>
      <c r="BN1" s="550">
        <f>COLUMN()</f>
        <v>66</v>
      </c>
      <c r="BO1" s="550">
        <f>COLUMN()</f>
        <v>67</v>
      </c>
      <c r="BP1" s="550">
        <f>COLUMN()</f>
        <v>68</v>
      </c>
      <c r="BQ1" s="550">
        <f>COLUMN()</f>
        <v>69</v>
      </c>
      <c r="BR1" s="550">
        <f>COLUMN()</f>
        <v>70</v>
      </c>
      <c r="BS1" s="550">
        <f>COLUMN()</f>
        <v>71</v>
      </c>
      <c r="BT1" s="550">
        <f>COLUMN()</f>
        <v>72</v>
      </c>
      <c r="BU1" s="550">
        <f>COLUMN()</f>
        <v>73</v>
      </c>
      <c r="BV1" s="550">
        <f>COLUMN()</f>
        <v>74</v>
      </c>
      <c r="BW1" s="550">
        <f>COLUMN()</f>
        <v>75</v>
      </c>
      <c r="BX1" s="550">
        <f>COLUMN()</f>
        <v>76</v>
      </c>
      <c r="BY1" s="550">
        <f>COLUMN()</f>
        <v>77</v>
      </c>
      <c r="BZ1" s="550">
        <f>COLUMN()</f>
        <v>78</v>
      </c>
      <c r="CA1" s="550">
        <f>COLUMN()</f>
        <v>79</v>
      </c>
      <c r="CB1" s="550">
        <f>COLUMN()</f>
        <v>80</v>
      </c>
    </row>
    <row r="2" spans="1:80" ht="18.75" thickBot="1">
      <c r="A2" s="214"/>
      <c r="B2" s="214"/>
      <c r="C2" s="210" t="s">
        <v>238</v>
      </c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10" t="s">
        <v>1067</v>
      </c>
      <c r="W2" s="2011"/>
      <c r="X2" s="2011"/>
      <c r="Y2" s="2011"/>
      <c r="Z2" s="2012"/>
      <c r="AA2" s="214"/>
      <c r="AB2" s="214"/>
      <c r="AC2" s="206"/>
      <c r="AD2" s="206"/>
      <c r="AE2" s="206"/>
      <c r="AF2" s="206"/>
      <c r="AG2" s="206"/>
      <c r="AH2" s="206"/>
      <c r="AI2" s="206"/>
      <c r="AJ2" s="206"/>
      <c r="AK2" s="206"/>
      <c r="AL2" s="206"/>
      <c r="AM2" s="206"/>
      <c r="AN2" s="206"/>
      <c r="AO2" s="206"/>
      <c r="AP2" s="633" t="s">
        <v>1149</v>
      </c>
      <c r="AQ2" s="206"/>
      <c r="AR2" s="206"/>
      <c r="AS2" s="214"/>
      <c r="AT2" s="214"/>
      <c r="AU2" s="214"/>
      <c r="AV2" s="214"/>
      <c r="AW2" s="206"/>
      <c r="AX2" s="206"/>
      <c r="AY2" s="206"/>
      <c r="AZ2" s="206"/>
      <c r="BA2" s="206"/>
      <c r="BB2" s="206"/>
      <c r="BC2" s="206"/>
      <c r="BD2" s="206"/>
      <c r="BE2" s="206"/>
      <c r="BF2" s="206"/>
      <c r="BG2" s="206"/>
      <c r="BH2" s="206"/>
      <c r="BI2" s="206"/>
      <c r="BJ2" s="206"/>
      <c r="BK2" s="865"/>
      <c r="BL2" s="865"/>
      <c r="BM2" s="865"/>
      <c r="BN2" s="865"/>
      <c r="BO2" s="865"/>
      <c r="BP2" s="865"/>
      <c r="BQ2" s="865"/>
      <c r="BR2" s="865"/>
      <c r="BS2" s="865"/>
      <c r="BT2" s="865"/>
      <c r="BU2" s="865"/>
      <c r="BV2" s="865"/>
      <c r="BW2" s="865"/>
      <c r="BX2" s="865"/>
      <c r="BY2" s="865"/>
      <c r="BZ2" s="865"/>
      <c r="CA2" s="865"/>
      <c r="CB2" s="865"/>
    </row>
    <row r="3" spans="1:80" ht="12.95" customHeight="1">
      <c r="A3" s="214"/>
      <c r="B3" s="214"/>
      <c r="C3" s="633"/>
      <c r="D3" s="633"/>
      <c r="E3" s="633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633" t="s">
        <v>1150</v>
      </c>
      <c r="AQ3" s="206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865"/>
      <c r="BL3" s="865"/>
      <c r="BM3" s="865"/>
      <c r="BN3" s="865"/>
      <c r="BO3" s="865"/>
      <c r="BP3" s="865"/>
      <c r="BQ3" s="865"/>
      <c r="BR3" s="865"/>
      <c r="BS3" s="865"/>
      <c r="BT3" s="865"/>
      <c r="BU3" s="865"/>
      <c r="BV3" s="865"/>
      <c r="BW3" s="865"/>
      <c r="BX3" s="865"/>
      <c r="BY3" s="865"/>
      <c r="BZ3" s="865"/>
      <c r="CA3" s="865"/>
      <c r="CB3" s="865"/>
    </row>
    <row r="4" spans="1:80" ht="12.95" customHeight="1">
      <c r="A4" s="214"/>
      <c r="B4" s="214"/>
      <c r="C4" s="633" t="s">
        <v>590</v>
      </c>
      <c r="D4" s="633" t="s">
        <v>867</v>
      </c>
      <c r="E4" s="633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  <c r="AC4" s="206"/>
      <c r="AD4" s="206"/>
      <c r="AE4" s="206"/>
      <c r="AF4" s="206"/>
      <c r="AG4" s="206"/>
      <c r="AH4" s="206"/>
      <c r="AI4" s="206"/>
      <c r="AJ4" s="206"/>
      <c r="AK4" s="206"/>
      <c r="AL4" s="206"/>
      <c r="AM4" s="206"/>
      <c r="AN4" s="206"/>
      <c r="AO4" s="206"/>
      <c r="AP4" s="633" t="s">
        <v>1151</v>
      </c>
      <c r="AQ4" s="206"/>
      <c r="AR4" s="206"/>
      <c r="AS4" s="206"/>
      <c r="AT4" s="206"/>
      <c r="AU4" s="206"/>
      <c r="AV4" s="206"/>
      <c r="AW4" s="206"/>
      <c r="AX4" s="206"/>
      <c r="AY4" s="206"/>
      <c r="AZ4" s="206"/>
      <c r="BA4" s="206"/>
      <c r="BB4" s="206"/>
      <c r="BC4" s="206"/>
      <c r="BD4" s="206"/>
      <c r="BE4" s="206"/>
      <c r="BF4" s="206"/>
      <c r="BG4" s="206"/>
      <c r="BH4" s="206"/>
      <c r="BI4" s="206"/>
      <c r="BJ4" s="206"/>
      <c r="BK4" s="865"/>
      <c r="BL4" s="865"/>
      <c r="BM4" s="865"/>
      <c r="BN4" s="865"/>
      <c r="BO4" s="865"/>
      <c r="BP4" s="865"/>
      <c r="BQ4" s="865"/>
      <c r="BR4" s="865"/>
      <c r="BS4" s="865"/>
      <c r="BT4" s="865"/>
      <c r="BU4" s="865"/>
      <c r="BV4" s="865"/>
      <c r="BW4" s="865"/>
      <c r="BX4" s="865"/>
      <c r="BY4" s="865"/>
      <c r="BZ4" s="865"/>
      <c r="CA4" s="865"/>
      <c r="CB4" s="865"/>
    </row>
    <row r="5" spans="1:80">
      <c r="A5" s="214"/>
      <c r="B5" s="214"/>
      <c r="C5" s="633"/>
      <c r="D5" s="633" t="s">
        <v>1223</v>
      </c>
      <c r="E5" s="633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894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  <c r="AL5" s="206"/>
      <c r="AM5" s="206"/>
      <c r="AN5" s="206"/>
      <c r="AO5" s="206"/>
      <c r="AP5" s="633" t="s">
        <v>1152</v>
      </c>
      <c r="AQ5" s="206"/>
      <c r="AR5" s="206"/>
      <c r="AS5" s="206"/>
      <c r="AT5" s="206"/>
      <c r="AU5" s="206"/>
      <c r="AV5" s="206"/>
      <c r="AW5" s="206"/>
      <c r="AX5" s="206"/>
      <c r="AY5" s="206"/>
      <c r="AZ5" s="206"/>
      <c r="BA5" s="206"/>
      <c r="BB5" s="206"/>
      <c r="BC5" s="206"/>
      <c r="BD5" s="206"/>
      <c r="BE5" s="206"/>
      <c r="BF5" s="206"/>
      <c r="BG5" s="206"/>
      <c r="BH5" s="206"/>
      <c r="BI5" s="206"/>
      <c r="BJ5" s="206"/>
      <c r="BK5" s="865"/>
      <c r="BL5" s="865"/>
      <c r="BM5" s="865"/>
      <c r="BN5" s="865"/>
      <c r="BO5" s="865"/>
      <c r="BP5" s="865"/>
      <c r="BQ5" s="865"/>
      <c r="BR5" s="865"/>
      <c r="BS5" s="865"/>
      <c r="BT5" s="865"/>
      <c r="BU5" s="865"/>
      <c r="BV5" s="865"/>
      <c r="BW5" s="865"/>
      <c r="BX5" s="865"/>
      <c r="BY5" s="865"/>
      <c r="BZ5" s="865"/>
      <c r="CA5" s="865"/>
      <c r="CB5" s="865"/>
    </row>
    <row r="6" spans="1:80" ht="8.1" customHeight="1" thickBot="1">
      <c r="A6" s="214"/>
      <c r="B6" s="214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894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865"/>
      <c r="BL6" s="865"/>
      <c r="BM6" s="865"/>
      <c r="BN6" s="865"/>
      <c r="BO6" s="865"/>
      <c r="BP6" s="865"/>
      <c r="BQ6" s="865"/>
      <c r="BR6" s="865"/>
      <c r="BS6" s="865"/>
      <c r="BT6" s="865"/>
      <c r="BU6" s="865"/>
      <c r="BV6" s="865"/>
      <c r="BW6" s="865"/>
      <c r="BX6" s="865"/>
      <c r="BY6" s="865"/>
      <c r="BZ6" s="865"/>
      <c r="CA6" s="865"/>
      <c r="CB6" s="865"/>
    </row>
    <row r="7" spans="1:80" ht="15.75" customHeight="1" thickBot="1">
      <c r="A7" s="1920" t="s">
        <v>623</v>
      </c>
      <c r="B7" s="1923" t="s">
        <v>402</v>
      </c>
      <c r="C7" s="544" t="s">
        <v>231</v>
      </c>
      <c r="D7" s="2016" t="s">
        <v>313</v>
      </c>
      <c r="E7" s="2017"/>
      <c r="F7" s="2017"/>
      <c r="G7" s="2017"/>
      <c r="H7" s="2017"/>
      <c r="I7" s="2017"/>
      <c r="J7" s="2017"/>
      <c r="K7" s="2017"/>
      <c r="L7" s="2017"/>
      <c r="M7" s="2017"/>
      <c r="N7" s="2017"/>
      <c r="O7" s="2018"/>
      <c r="P7" s="468"/>
      <c r="Q7" s="909"/>
      <c r="R7" s="468"/>
      <c r="S7" s="1991" t="s">
        <v>64</v>
      </c>
      <c r="T7" s="1992"/>
      <c r="U7" s="1993"/>
      <c r="V7" s="468"/>
      <c r="W7" s="2004" t="s">
        <v>236</v>
      </c>
      <c r="X7" s="2005"/>
      <c r="Y7" s="468"/>
      <c r="Z7" s="926"/>
      <c r="AA7" s="2002" t="s">
        <v>320</v>
      </c>
      <c r="AB7" s="2002"/>
      <c r="AC7" s="2002"/>
      <c r="AD7" s="2002"/>
      <c r="AE7" s="2002"/>
      <c r="AF7" s="2002"/>
      <c r="AG7" s="2002"/>
      <c r="AH7" s="2002"/>
      <c r="AI7" s="2002"/>
      <c r="AJ7" s="2003"/>
      <c r="AK7" s="206"/>
      <c r="AL7" s="633"/>
      <c r="AM7" s="206"/>
      <c r="AN7" s="206"/>
      <c r="AO7" s="1056" t="s">
        <v>1145</v>
      </c>
      <c r="AP7" s="1056"/>
      <c r="AQ7" s="1057"/>
      <c r="AR7" s="206"/>
      <c r="AS7" s="1207" t="s">
        <v>1396</v>
      </c>
      <c r="AT7" s="1208"/>
      <c r="AU7" s="1208"/>
      <c r="AV7" s="1209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865"/>
      <c r="BL7" s="865"/>
      <c r="BM7" s="865"/>
      <c r="BN7" s="865"/>
      <c r="BO7" s="865"/>
      <c r="BP7" s="865"/>
      <c r="BQ7" s="865"/>
      <c r="BR7" s="865"/>
      <c r="BS7" s="865"/>
      <c r="BT7" s="865"/>
      <c r="BU7" s="865"/>
      <c r="BV7" s="865"/>
      <c r="BW7" s="865"/>
      <c r="BX7" s="865"/>
      <c r="BY7" s="865"/>
      <c r="BZ7" s="865"/>
      <c r="CA7" s="865"/>
      <c r="CB7" s="865"/>
    </row>
    <row r="8" spans="1:80" ht="15.75" thickTop="1" thickBot="1">
      <c r="A8" s="1921"/>
      <c r="B8" s="1924"/>
      <c r="C8" s="678" t="s">
        <v>13</v>
      </c>
      <c r="D8" s="1917" t="s">
        <v>232</v>
      </c>
      <c r="E8" s="1918"/>
      <c r="F8" s="1919"/>
      <c r="G8" s="1945" t="s">
        <v>176</v>
      </c>
      <c r="H8" s="1946"/>
      <c r="I8" s="1947"/>
      <c r="J8" s="1948" t="s">
        <v>235</v>
      </c>
      <c r="K8" s="1949"/>
      <c r="L8" s="1950"/>
      <c r="M8" s="1988" t="s">
        <v>309</v>
      </c>
      <c r="N8" s="1989"/>
      <c r="O8" s="1990"/>
      <c r="P8" s="468"/>
      <c r="Q8" s="910"/>
      <c r="R8" s="468"/>
      <c r="S8" s="1994"/>
      <c r="T8" s="1995"/>
      <c r="U8" s="1996"/>
      <c r="V8" s="468"/>
      <c r="W8" s="1998" t="s">
        <v>237</v>
      </c>
      <c r="X8" s="1999"/>
      <c r="Y8" s="468"/>
      <c r="Z8" s="927"/>
      <c r="AA8" s="545"/>
      <c r="AB8" s="545"/>
      <c r="AC8" s="545"/>
      <c r="AD8" s="545"/>
      <c r="AE8" s="1983" t="s">
        <v>232</v>
      </c>
      <c r="AF8" s="1984"/>
      <c r="AG8" s="1983" t="s">
        <v>176</v>
      </c>
      <c r="AH8" s="1984"/>
      <c r="AI8" s="1983" t="s">
        <v>322</v>
      </c>
      <c r="AJ8" s="1984"/>
      <c r="AK8" s="206"/>
      <c r="AL8" s="633"/>
      <c r="AM8" s="206"/>
      <c r="AN8" s="206"/>
      <c r="AO8" s="1060" t="s">
        <v>1146</v>
      </c>
      <c r="AP8" s="1060" t="s">
        <v>1147</v>
      </c>
      <c r="AQ8" s="1058"/>
      <c r="AR8" s="206"/>
      <c r="AS8" s="1985" t="s">
        <v>1292</v>
      </c>
      <c r="AT8" s="1986"/>
      <c r="AU8" s="2013" t="s">
        <v>983</v>
      </c>
      <c r="AV8" s="2014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865"/>
      <c r="BL8" s="865"/>
      <c r="BM8" s="865"/>
      <c r="BN8" s="865"/>
      <c r="BO8" s="865"/>
      <c r="BP8" s="865"/>
      <c r="BQ8" s="865"/>
      <c r="BR8" s="865"/>
      <c r="BS8" s="865"/>
      <c r="BT8" s="865"/>
      <c r="BU8" s="865"/>
      <c r="BV8" s="865"/>
      <c r="BW8" s="865"/>
      <c r="BX8" s="865"/>
      <c r="BY8" s="865"/>
      <c r="BZ8" s="865"/>
      <c r="CA8" s="865"/>
      <c r="CB8" s="865"/>
    </row>
    <row r="9" spans="1:80" ht="15.75" thickTop="1" thickBot="1">
      <c r="A9" s="1921"/>
      <c r="B9" s="1924"/>
      <c r="C9" s="1255" t="s">
        <v>624</v>
      </c>
      <c r="D9" s="1926" t="s">
        <v>14</v>
      </c>
      <c r="E9" s="1926"/>
      <c r="F9" s="1927"/>
      <c r="G9" s="1928" t="s">
        <v>612</v>
      </c>
      <c r="H9" s="1929"/>
      <c r="I9" s="1930"/>
      <c r="J9" s="1951" t="s">
        <v>613</v>
      </c>
      <c r="K9" s="1932"/>
      <c r="L9" s="1933"/>
      <c r="M9" s="1997" t="s">
        <v>18</v>
      </c>
      <c r="N9" s="1912"/>
      <c r="O9" s="1913"/>
      <c r="P9" s="468"/>
      <c r="Q9" s="911"/>
      <c r="R9" s="468"/>
      <c r="S9" s="1987" t="s">
        <v>15</v>
      </c>
      <c r="T9" s="1915"/>
      <c r="U9" s="1916"/>
      <c r="V9" s="468"/>
      <c r="W9" s="636"/>
      <c r="X9" s="637"/>
      <c r="Y9" s="468"/>
      <c r="Z9" s="895"/>
      <c r="AA9" s="897" t="s">
        <v>315</v>
      </c>
      <c r="AB9" s="472" t="s">
        <v>318</v>
      </c>
      <c r="AC9" s="472" t="s">
        <v>325</v>
      </c>
      <c r="AD9" s="472" t="s">
        <v>325</v>
      </c>
      <c r="AE9" s="2000" t="s">
        <v>321</v>
      </c>
      <c r="AF9" s="2001"/>
      <c r="AG9" s="2000" t="s">
        <v>321</v>
      </c>
      <c r="AH9" s="2001"/>
      <c r="AI9" s="2000" t="s">
        <v>321</v>
      </c>
      <c r="AJ9" s="2001"/>
      <c r="AK9" s="206"/>
      <c r="AL9" s="638" t="s">
        <v>17</v>
      </c>
      <c r="AM9" s="643"/>
      <c r="AN9" s="206"/>
      <c r="AO9" s="1061" t="s">
        <v>379</v>
      </c>
      <c r="AP9" s="1061" t="s">
        <v>1148</v>
      </c>
      <c r="AQ9" s="1059"/>
      <c r="AR9" s="206"/>
      <c r="AS9" s="1210" t="s">
        <v>1293</v>
      </c>
      <c r="AT9" s="1210" t="s">
        <v>381</v>
      </c>
      <c r="AU9" s="1210" t="s">
        <v>379</v>
      </c>
      <c r="AV9" s="1210" t="s">
        <v>60</v>
      </c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865"/>
      <c r="BL9" s="865"/>
      <c r="BM9" s="865"/>
      <c r="BN9" s="865"/>
      <c r="BO9" s="865"/>
      <c r="BP9" s="865"/>
      <c r="BQ9" s="865"/>
      <c r="BR9" s="865"/>
      <c r="BS9" s="865"/>
      <c r="BT9" s="865"/>
      <c r="BU9" s="865"/>
      <c r="BV9" s="865"/>
      <c r="BW9" s="865"/>
      <c r="BX9" s="865"/>
      <c r="BY9" s="865"/>
      <c r="BZ9" s="865"/>
      <c r="CA9" s="865"/>
      <c r="CB9" s="865"/>
    </row>
    <row r="10" spans="1:80" ht="15.75" thickTop="1" thickBot="1">
      <c r="A10" s="1921"/>
      <c r="B10" s="1924"/>
      <c r="C10" s="1255" t="s">
        <v>1400</v>
      </c>
      <c r="D10" s="1926" t="s">
        <v>14</v>
      </c>
      <c r="E10" s="1926"/>
      <c r="F10" s="1927"/>
      <c r="G10" s="1928" t="s">
        <v>612</v>
      </c>
      <c r="H10" s="1929"/>
      <c r="I10" s="1930"/>
      <c r="J10" s="1931" t="s">
        <v>1398</v>
      </c>
      <c r="K10" s="1932"/>
      <c r="L10" s="1933"/>
      <c r="M10" s="1911" t="s">
        <v>1042</v>
      </c>
      <c r="N10" s="1912"/>
      <c r="O10" s="1913"/>
      <c r="P10" s="468"/>
      <c r="Q10" s="911"/>
      <c r="R10" s="468"/>
      <c r="S10" s="1914" t="s">
        <v>1401</v>
      </c>
      <c r="T10" s="1915"/>
      <c r="U10" s="1916"/>
      <c r="V10" s="468"/>
      <c r="W10" s="470"/>
      <c r="X10" s="470"/>
      <c r="Y10" s="468"/>
      <c r="Z10" s="895"/>
      <c r="AA10" s="897"/>
      <c r="AB10" s="472"/>
      <c r="AC10" s="472"/>
      <c r="AD10" s="475"/>
      <c r="AE10" s="1247"/>
      <c r="AF10" s="1248"/>
      <c r="AG10" s="1247"/>
      <c r="AH10" s="1248"/>
      <c r="AI10" s="1247"/>
      <c r="AJ10" s="1248"/>
      <c r="AK10" s="206"/>
      <c r="AL10" s="1252"/>
      <c r="AM10" s="644"/>
      <c r="AN10" s="206"/>
      <c r="AO10" s="1253"/>
      <c r="AP10" s="1253"/>
      <c r="AQ10" s="1058"/>
      <c r="AR10" s="206"/>
      <c r="AS10" s="1254"/>
      <c r="AT10" s="1254"/>
      <c r="AU10" s="1254"/>
      <c r="AV10" s="1254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865"/>
      <c r="BL10" s="865"/>
      <c r="BM10" s="865"/>
      <c r="BN10" s="865"/>
      <c r="BO10" s="865"/>
      <c r="BP10" s="865"/>
      <c r="BQ10" s="865"/>
      <c r="BR10" s="865"/>
      <c r="BS10" s="865"/>
      <c r="BT10" s="865"/>
      <c r="BU10" s="865"/>
      <c r="BV10" s="865"/>
      <c r="BW10" s="865"/>
      <c r="BX10" s="865"/>
      <c r="BY10" s="865"/>
      <c r="BZ10" s="865"/>
      <c r="CA10" s="865"/>
      <c r="CB10" s="865"/>
    </row>
    <row r="11" spans="1:80" ht="15.75" thickTop="1" thickBot="1">
      <c r="A11" s="1921"/>
      <c r="B11" s="1924"/>
      <c r="C11" s="1255" t="s">
        <v>1402</v>
      </c>
      <c r="D11" s="1926" t="s">
        <v>14</v>
      </c>
      <c r="E11" s="1926"/>
      <c r="F11" s="1927"/>
      <c r="G11" s="1928" t="s">
        <v>612</v>
      </c>
      <c r="H11" s="1929"/>
      <c r="I11" s="1930"/>
      <c r="J11" s="1951" t="s">
        <v>1398</v>
      </c>
      <c r="K11" s="1932"/>
      <c r="L11" s="1933"/>
      <c r="M11" s="1997" t="s">
        <v>1042</v>
      </c>
      <c r="N11" s="1912"/>
      <c r="O11" s="1913"/>
      <c r="P11" s="468"/>
      <c r="Q11" s="911"/>
      <c r="R11" s="468"/>
      <c r="S11" s="1987" t="s">
        <v>1401</v>
      </c>
      <c r="T11" s="1915"/>
      <c r="U11" s="1916"/>
      <c r="V11" s="468"/>
      <c r="W11" s="470"/>
      <c r="X11" s="470"/>
      <c r="Y11" s="468"/>
      <c r="Z11" s="895"/>
      <c r="AA11" s="897"/>
      <c r="AB11" s="472"/>
      <c r="AC11" s="472"/>
      <c r="AD11" s="475"/>
      <c r="AE11" s="1247"/>
      <c r="AF11" s="1248"/>
      <c r="AG11" s="1247"/>
      <c r="AH11" s="1248"/>
      <c r="AI11" s="1247"/>
      <c r="AJ11" s="1248"/>
      <c r="AK11" s="206"/>
      <c r="AL11" s="1252"/>
      <c r="AM11" s="644"/>
      <c r="AN11" s="206"/>
      <c r="AO11" s="1253"/>
      <c r="AP11" s="1253"/>
      <c r="AQ11" s="1058"/>
      <c r="AR11" s="206"/>
      <c r="AS11" s="1254"/>
      <c r="AT11" s="1254"/>
      <c r="AU11" s="1254"/>
      <c r="AV11" s="1254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865"/>
      <c r="BL11" s="865"/>
      <c r="BM11" s="865"/>
      <c r="BN11" s="865"/>
      <c r="BO11" s="865"/>
      <c r="BP11" s="865"/>
      <c r="BQ11" s="865"/>
      <c r="BR11" s="865"/>
      <c r="BS11" s="865"/>
      <c r="BT11" s="865"/>
      <c r="BU11" s="865"/>
      <c r="BV11" s="865"/>
      <c r="BW11" s="865"/>
      <c r="BX11" s="865"/>
      <c r="BY11" s="865"/>
      <c r="BZ11" s="865"/>
      <c r="CA11" s="865"/>
      <c r="CB11" s="865"/>
    </row>
    <row r="12" spans="1:80" ht="15.75" thickTop="1" thickBot="1">
      <c r="A12" s="1921"/>
      <c r="B12" s="1924"/>
      <c r="C12" s="1304" t="s">
        <v>1404</v>
      </c>
      <c r="D12" s="1314">
        <f>D158</f>
        <v>0</v>
      </c>
      <c r="E12" s="1309">
        <f>E158</f>
        <v>10</v>
      </c>
      <c r="F12" s="1306" t="s">
        <v>379</v>
      </c>
      <c r="G12" s="1310">
        <f>G158</f>
        <v>10</v>
      </c>
      <c r="H12" s="1311">
        <f>H158</f>
        <v>40</v>
      </c>
      <c r="I12" s="1302" t="s">
        <v>379</v>
      </c>
      <c r="J12" s="1313">
        <f>J158</f>
        <v>40</v>
      </c>
      <c r="K12" s="1312">
        <f>K158</f>
        <v>750</v>
      </c>
      <c r="L12" s="1303" t="s">
        <v>379</v>
      </c>
      <c r="M12" s="1317"/>
      <c r="N12" s="1318">
        <f>N158</f>
        <v>0</v>
      </c>
      <c r="O12" s="1307" t="s">
        <v>379</v>
      </c>
      <c r="P12" s="468"/>
      <c r="Q12" s="911"/>
      <c r="R12" s="468"/>
      <c r="S12" s="1320">
        <f>S158</f>
        <v>0</v>
      </c>
      <c r="T12" s="1323">
        <f>T158</f>
        <v>750</v>
      </c>
      <c r="U12" s="1321" t="s">
        <v>379</v>
      </c>
      <c r="V12" s="468"/>
      <c r="W12" s="470"/>
      <c r="X12" s="470"/>
      <c r="Y12" s="468"/>
      <c r="Z12" s="895"/>
      <c r="AA12" s="897"/>
      <c r="AB12" s="472"/>
      <c r="AC12" s="472"/>
      <c r="AD12" s="475"/>
      <c r="AE12" s="1247"/>
      <c r="AF12" s="1248"/>
      <c r="AG12" s="1247"/>
      <c r="AH12" s="1248"/>
      <c r="AI12" s="1247"/>
      <c r="AJ12" s="1248"/>
      <c r="AK12" s="206"/>
      <c r="AL12" s="1252"/>
      <c r="AM12" s="644"/>
      <c r="AN12" s="206"/>
      <c r="AO12" s="1253"/>
      <c r="AP12" s="1253"/>
      <c r="AQ12" s="1058"/>
      <c r="AR12" s="206"/>
      <c r="AS12" s="1254"/>
      <c r="AT12" s="1254"/>
      <c r="AU12" s="1254"/>
      <c r="AV12" s="1254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865"/>
      <c r="BL12" s="865"/>
      <c r="BM12" s="865"/>
      <c r="BN12" s="865"/>
      <c r="BO12" s="865"/>
      <c r="BP12" s="865"/>
      <c r="BQ12" s="865"/>
      <c r="BR12" s="865"/>
      <c r="BS12" s="865"/>
      <c r="BT12" s="865"/>
      <c r="BU12" s="865"/>
      <c r="BV12" s="865"/>
      <c r="BW12" s="865"/>
      <c r="BX12" s="865"/>
      <c r="BY12" s="865"/>
      <c r="BZ12" s="865"/>
      <c r="CA12" s="865"/>
      <c r="CB12" s="865"/>
    </row>
    <row r="13" spans="1:80" ht="14.25" thickTop="1" thickBot="1">
      <c r="A13" s="1921"/>
      <c r="B13" s="1924"/>
      <c r="C13" s="1305"/>
      <c r="D13" s="1934" t="str">
        <f>D159</f>
        <v>Eigenverbrauchsanlage</v>
      </c>
      <c r="E13" s="1935"/>
      <c r="F13" s="1936"/>
      <c r="G13" s="1937" t="str">
        <f>G159</f>
        <v>Eigenverbrauchsanlage</v>
      </c>
      <c r="H13" s="1938"/>
      <c r="I13" s="1939"/>
      <c r="J13" s="1940" t="str">
        <f>J159</f>
        <v>Eigenverbrauchsanlage</v>
      </c>
      <c r="K13" s="1941"/>
      <c r="L13" s="1942"/>
      <c r="M13" s="1943"/>
      <c r="N13" s="1943"/>
      <c r="O13" s="1944"/>
      <c r="P13" s="468"/>
      <c r="Q13" s="911"/>
      <c r="R13" s="468"/>
      <c r="S13" s="2009" t="str">
        <f>S159</f>
        <v>Eigenverbrauchsanlage</v>
      </c>
      <c r="T13" s="2007"/>
      <c r="U13" s="2008"/>
      <c r="V13" s="468"/>
      <c r="W13" s="470"/>
      <c r="X13" s="470"/>
      <c r="Y13" s="468"/>
      <c r="Z13" s="895"/>
      <c r="AA13" s="897"/>
      <c r="AB13" s="472"/>
      <c r="AC13" s="472"/>
      <c r="AD13" s="475"/>
      <c r="AE13" s="1250"/>
      <c r="AF13" s="1251"/>
      <c r="AG13" s="1250"/>
      <c r="AH13" s="1251"/>
      <c r="AI13" s="1250"/>
      <c r="AJ13" s="1251"/>
      <c r="AK13" s="206"/>
      <c r="AL13" s="1252"/>
      <c r="AM13" s="644"/>
      <c r="AN13" s="206"/>
      <c r="AO13" s="1253"/>
      <c r="AP13" s="1253"/>
      <c r="AQ13" s="1058"/>
      <c r="AR13" s="206"/>
      <c r="AS13" s="1254"/>
      <c r="AT13" s="1254"/>
      <c r="AU13" s="1254"/>
      <c r="AV13" s="1254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865"/>
      <c r="BL13" s="865"/>
      <c r="BM13" s="865"/>
      <c r="BN13" s="865"/>
      <c r="BO13" s="865"/>
      <c r="BP13" s="865"/>
      <c r="BQ13" s="865"/>
      <c r="BR13" s="865"/>
      <c r="BS13" s="865"/>
      <c r="BT13" s="865"/>
      <c r="BU13" s="865"/>
      <c r="BV13" s="865"/>
      <c r="BW13" s="865"/>
      <c r="BX13" s="865"/>
      <c r="BY13" s="865"/>
      <c r="BZ13" s="865"/>
      <c r="CA13" s="865"/>
      <c r="CB13" s="865"/>
    </row>
    <row r="14" spans="1:80" ht="15.75" thickTop="1" thickBot="1">
      <c r="A14" s="1921"/>
      <c r="B14" s="1924"/>
      <c r="C14" s="1304" t="s">
        <v>1406</v>
      </c>
      <c r="D14" s="1314">
        <f>D160</f>
        <v>0</v>
      </c>
      <c r="E14" s="1309">
        <f>E165</f>
        <v>10</v>
      </c>
      <c r="F14" s="1306" t="s">
        <v>379</v>
      </c>
      <c r="G14" s="1310">
        <f>E14</f>
        <v>10</v>
      </c>
      <c r="H14" s="1311">
        <f>H165</f>
        <v>40</v>
      </c>
      <c r="I14" s="1302" t="s">
        <v>379</v>
      </c>
      <c r="J14" s="1313">
        <f>H14</f>
        <v>40</v>
      </c>
      <c r="K14" s="1312">
        <f>K165</f>
        <v>1000</v>
      </c>
      <c r="L14" s="1303" t="s">
        <v>379</v>
      </c>
      <c r="M14" s="1317">
        <f>M165</f>
        <v>0</v>
      </c>
      <c r="N14" s="1326">
        <f>N165</f>
        <v>0</v>
      </c>
      <c r="O14" s="1307" t="s">
        <v>379</v>
      </c>
      <c r="P14" s="468"/>
      <c r="Q14" s="911"/>
      <c r="R14" s="468"/>
      <c r="S14" s="1325">
        <f>S165</f>
        <v>0</v>
      </c>
      <c r="T14" s="1323">
        <f>T165</f>
        <v>1000</v>
      </c>
      <c r="U14" s="1321" t="s">
        <v>379</v>
      </c>
      <c r="V14" s="468"/>
      <c r="W14" s="470"/>
      <c r="X14" s="470"/>
      <c r="Y14" s="468"/>
      <c r="Z14" s="895"/>
      <c r="AA14" s="897"/>
      <c r="AB14" s="472"/>
      <c r="AC14" s="472"/>
      <c r="AD14" s="475"/>
      <c r="AE14" s="1250"/>
      <c r="AF14" s="1251"/>
      <c r="AG14" s="1250"/>
      <c r="AH14" s="1251"/>
      <c r="AI14" s="1250"/>
      <c r="AJ14" s="1251"/>
      <c r="AK14" s="206"/>
      <c r="AL14" s="1252"/>
      <c r="AM14" s="644"/>
      <c r="AN14" s="206"/>
      <c r="AO14" s="1253"/>
      <c r="AP14" s="1253"/>
      <c r="AQ14" s="1058"/>
      <c r="AR14" s="206"/>
      <c r="AS14" s="1254"/>
      <c r="AT14" s="1254"/>
      <c r="AU14" s="1254"/>
      <c r="AV14" s="1254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865"/>
      <c r="BL14" s="865"/>
      <c r="BM14" s="865"/>
      <c r="BN14" s="865"/>
      <c r="BO14" s="865"/>
      <c r="BP14" s="865"/>
      <c r="BQ14" s="865"/>
      <c r="BR14" s="865"/>
      <c r="BS14" s="865"/>
      <c r="BT14" s="865"/>
      <c r="BU14" s="865"/>
      <c r="BV14" s="865"/>
      <c r="BW14" s="865"/>
      <c r="BX14" s="865"/>
      <c r="BY14" s="865"/>
      <c r="BZ14" s="865"/>
      <c r="CA14" s="865"/>
      <c r="CB14" s="865"/>
    </row>
    <row r="15" spans="1:80" ht="14.25" thickTop="1" thickBot="1">
      <c r="A15" s="1922"/>
      <c r="B15" s="1925"/>
      <c r="C15" s="1305"/>
      <c r="D15" s="1934" t="str">
        <f>D166</f>
        <v>Eigenverbrauchsanlage</v>
      </c>
      <c r="E15" s="1935"/>
      <c r="F15" s="1936"/>
      <c r="G15" s="1937" t="str">
        <f>G166</f>
        <v>Eigenverbrauchsanlage</v>
      </c>
      <c r="H15" s="1938"/>
      <c r="I15" s="1939"/>
      <c r="J15" s="1940" t="str">
        <f>J166</f>
        <v>Eigenverbrauchsanlage</v>
      </c>
      <c r="K15" s="1941"/>
      <c r="L15" s="1942"/>
      <c r="M15" s="1943" t="str">
        <f>M166</f>
        <v>Eigenverbrauchsanlage</v>
      </c>
      <c r="N15" s="1943"/>
      <c r="O15" s="1944"/>
      <c r="P15" s="468"/>
      <c r="Q15" s="911"/>
      <c r="R15" s="468"/>
      <c r="S15" s="2006" t="str">
        <f>S166</f>
        <v>Eigenverbrauchsanlage</v>
      </c>
      <c r="T15" s="2007"/>
      <c r="U15" s="2008"/>
      <c r="V15" s="468"/>
      <c r="W15" s="470"/>
      <c r="X15" s="470"/>
      <c r="Y15" s="468"/>
      <c r="Z15" s="895"/>
      <c r="AA15" s="897"/>
      <c r="AB15" s="472"/>
      <c r="AC15" s="472"/>
      <c r="AD15" s="475"/>
      <c r="AE15" s="1247"/>
      <c r="AF15" s="1248"/>
      <c r="AG15" s="1247"/>
      <c r="AH15" s="1248"/>
      <c r="AI15" s="1247"/>
      <c r="AJ15" s="1248"/>
      <c r="AK15" s="206"/>
      <c r="AL15" s="1252"/>
      <c r="AM15" s="644"/>
      <c r="AN15" s="206"/>
      <c r="AO15" s="1253"/>
      <c r="AP15" s="1253"/>
      <c r="AQ15" s="1058"/>
      <c r="AR15" s="206"/>
      <c r="AS15" s="1254"/>
      <c r="AT15" s="1254"/>
      <c r="AU15" s="1254"/>
      <c r="AV15" s="1254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865"/>
      <c r="BL15" s="865"/>
      <c r="BM15" s="865"/>
      <c r="BN15" s="865"/>
      <c r="BO15" s="865"/>
      <c r="BP15" s="865"/>
      <c r="BQ15" s="865"/>
      <c r="BR15" s="865"/>
      <c r="BS15" s="865"/>
      <c r="BT15" s="865"/>
      <c r="BU15" s="865"/>
      <c r="BV15" s="865"/>
      <c r="BW15" s="865"/>
      <c r="BX15" s="865"/>
      <c r="BY15" s="865"/>
      <c r="BZ15" s="865"/>
      <c r="CA15" s="865"/>
      <c r="CB15" s="865"/>
    </row>
    <row r="16" spans="1:80" ht="14.25" thickTop="1" thickBot="1">
      <c r="A16" s="1338"/>
      <c r="B16" s="1338"/>
      <c r="C16" s="1331"/>
      <c r="D16" s="1332"/>
      <c r="E16" s="1332"/>
      <c r="F16" s="1332"/>
      <c r="G16" s="1332"/>
      <c r="H16" s="1332"/>
      <c r="I16" s="1332"/>
      <c r="J16" s="1332"/>
      <c r="K16" s="1332"/>
      <c r="L16" s="1332"/>
      <c r="M16" s="1332"/>
      <c r="N16" s="1332"/>
      <c r="O16" s="1332"/>
      <c r="P16" s="1339"/>
      <c r="Q16" s="1340"/>
      <c r="R16" s="1339"/>
      <c r="S16" s="1333"/>
      <c r="T16" s="1334"/>
      <c r="U16" s="1334"/>
      <c r="V16" s="1339"/>
      <c r="W16" s="1335"/>
      <c r="X16" s="1335"/>
      <c r="Y16" s="1339"/>
      <c r="Z16" s="1340"/>
      <c r="AA16" s="1341"/>
      <c r="AB16" s="1341"/>
      <c r="AC16" s="1341"/>
      <c r="AD16" s="1341"/>
      <c r="AE16" s="1342"/>
      <c r="AF16" s="1342"/>
      <c r="AG16" s="1342"/>
      <c r="AH16" s="1342"/>
      <c r="AI16" s="1342"/>
      <c r="AJ16" s="1342"/>
      <c r="AK16" s="1343"/>
      <c r="AL16" s="1343"/>
      <c r="AM16" s="1343"/>
      <c r="AN16" s="1343"/>
      <c r="AO16" s="1336"/>
      <c r="AP16" s="1336"/>
      <c r="AQ16" s="1343"/>
      <c r="AR16" s="1343"/>
      <c r="AS16" s="1337"/>
      <c r="AT16" s="1337"/>
      <c r="AU16" s="1337"/>
      <c r="AV16" s="1337"/>
      <c r="AW16" s="1343"/>
      <c r="AX16" s="1343"/>
      <c r="AY16" s="1343"/>
      <c r="AZ16" s="1343"/>
      <c r="BA16" s="1343"/>
      <c r="BB16" s="1343"/>
      <c r="BC16" s="1343"/>
      <c r="BD16" s="1343"/>
      <c r="BE16" s="1343"/>
      <c r="BF16" s="1343"/>
      <c r="BG16" s="1343"/>
      <c r="BH16" s="1343"/>
      <c r="BI16" s="1343"/>
      <c r="BJ16" s="1343"/>
      <c r="BK16" s="1343"/>
      <c r="BL16" s="1343"/>
      <c r="BM16" s="1343"/>
      <c r="BN16" s="1343"/>
      <c r="BO16" s="1343"/>
      <c r="BP16" s="1343"/>
      <c r="BQ16" s="1343"/>
      <c r="BR16" s="1343"/>
      <c r="BS16" s="1343"/>
      <c r="BT16" s="1343"/>
      <c r="BU16" s="1343"/>
      <c r="BV16" s="1343"/>
      <c r="BW16" s="1343"/>
      <c r="BX16" s="1343"/>
      <c r="BY16" s="1343"/>
      <c r="BZ16" s="1343"/>
      <c r="CA16" s="1343"/>
      <c r="CB16" s="1343"/>
    </row>
    <row r="17" spans="1:80" ht="14.25" thickTop="1" thickBot="1">
      <c r="A17" s="669"/>
      <c r="B17" s="670"/>
      <c r="C17" s="546"/>
      <c r="D17" s="463" t="s">
        <v>233</v>
      </c>
      <c r="E17" s="463"/>
      <c r="F17" s="463" t="s">
        <v>382</v>
      </c>
      <c r="G17" s="464" t="s">
        <v>233</v>
      </c>
      <c r="H17" s="464"/>
      <c r="I17" s="464" t="s">
        <v>382</v>
      </c>
      <c r="J17" s="465" t="s">
        <v>233</v>
      </c>
      <c r="K17" s="465"/>
      <c r="L17" s="465" t="s">
        <v>382</v>
      </c>
      <c r="M17" s="466" t="s">
        <v>233</v>
      </c>
      <c r="N17" s="466"/>
      <c r="O17" s="467" t="s">
        <v>382</v>
      </c>
      <c r="P17" s="468"/>
      <c r="Q17" s="911"/>
      <c r="R17" s="468"/>
      <c r="S17" s="469" t="s">
        <v>233</v>
      </c>
      <c r="T17" s="677"/>
      <c r="U17" s="677" t="s">
        <v>382</v>
      </c>
      <c r="V17" s="468"/>
      <c r="W17" s="470" t="s">
        <v>233</v>
      </c>
      <c r="X17" s="471" t="s">
        <v>382</v>
      </c>
      <c r="Y17" s="468"/>
      <c r="Z17" s="895"/>
      <c r="AA17" s="898" t="s">
        <v>314</v>
      </c>
      <c r="AB17" s="472" t="s">
        <v>319</v>
      </c>
      <c r="AC17" s="472" t="s">
        <v>382</v>
      </c>
      <c r="AD17" s="475" t="s">
        <v>382</v>
      </c>
      <c r="AE17" s="2000" t="s">
        <v>382</v>
      </c>
      <c r="AF17" s="2001"/>
      <c r="AG17" s="2000" t="s">
        <v>382</v>
      </c>
      <c r="AH17" s="2001"/>
      <c r="AI17" s="2000" t="s">
        <v>382</v>
      </c>
      <c r="AJ17" s="2001"/>
      <c r="AK17" s="206"/>
      <c r="AL17" s="640" t="s">
        <v>21</v>
      </c>
      <c r="AM17" s="644"/>
      <c r="AN17" s="206"/>
      <c r="AO17" s="640"/>
      <c r="AP17" s="1055"/>
      <c r="AQ17" s="644"/>
      <c r="AR17" s="206"/>
      <c r="AS17" s="499">
        <v>10000</v>
      </c>
      <c r="AT17" s="499">
        <v>100</v>
      </c>
      <c r="AU17" s="499">
        <v>10</v>
      </c>
      <c r="AV17" s="499">
        <v>10000</v>
      </c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865"/>
      <c r="BL17" s="865"/>
      <c r="BM17" s="865"/>
      <c r="BN17" s="865"/>
      <c r="BO17" s="865"/>
      <c r="BP17" s="865"/>
      <c r="BQ17" s="865"/>
      <c r="BR17" s="865"/>
      <c r="BS17" s="865"/>
      <c r="BT17" s="865"/>
      <c r="BU17" s="865"/>
      <c r="BV17" s="865"/>
      <c r="BW17" s="865"/>
      <c r="BX17" s="865"/>
      <c r="BY17" s="865"/>
      <c r="BZ17" s="865"/>
      <c r="CA17" s="865"/>
      <c r="CB17" s="865"/>
    </row>
    <row r="18" spans="1:80" ht="14.25" thickTop="1" thickBot="1">
      <c r="A18" s="671"/>
      <c r="B18" s="672"/>
      <c r="C18" s="547"/>
      <c r="D18" s="463" t="s">
        <v>413</v>
      </c>
      <c r="E18" s="463"/>
      <c r="F18" s="463" t="s">
        <v>234</v>
      </c>
      <c r="G18" s="464" t="s">
        <v>413</v>
      </c>
      <c r="H18" s="464"/>
      <c r="I18" s="464" t="s">
        <v>234</v>
      </c>
      <c r="J18" s="465" t="s">
        <v>413</v>
      </c>
      <c r="K18" s="465"/>
      <c r="L18" s="465" t="s">
        <v>234</v>
      </c>
      <c r="M18" s="466" t="s">
        <v>413</v>
      </c>
      <c r="N18" s="466"/>
      <c r="O18" s="467" t="s">
        <v>234</v>
      </c>
      <c r="P18" s="468"/>
      <c r="Q18" s="912"/>
      <c r="R18" s="468"/>
      <c r="S18" s="469" t="s">
        <v>413</v>
      </c>
      <c r="T18" s="476"/>
      <c r="U18" s="476" t="s">
        <v>234</v>
      </c>
      <c r="V18" s="468"/>
      <c r="W18" s="473" t="s">
        <v>413</v>
      </c>
      <c r="X18" s="477" t="s">
        <v>234</v>
      </c>
      <c r="Y18" s="468"/>
      <c r="Z18" s="928"/>
      <c r="AA18" s="899" t="s">
        <v>316</v>
      </c>
      <c r="AB18" s="474" t="s">
        <v>317</v>
      </c>
      <c r="AC18" s="478">
        <v>30</v>
      </c>
      <c r="AD18" s="479">
        <f>AC18</f>
        <v>30</v>
      </c>
      <c r="AE18" s="480">
        <f>AC18</f>
        <v>30</v>
      </c>
      <c r="AF18" s="479">
        <f>AC18</f>
        <v>30</v>
      </c>
      <c r="AG18" s="480">
        <f>AC18</f>
        <v>30</v>
      </c>
      <c r="AH18" s="479">
        <f>AC18</f>
        <v>30</v>
      </c>
      <c r="AI18" s="480">
        <f>AC18</f>
        <v>30</v>
      </c>
      <c r="AJ18" s="479">
        <f>AC18</f>
        <v>30</v>
      </c>
      <c r="AK18" s="206"/>
      <c r="AL18" s="640" t="s">
        <v>22</v>
      </c>
      <c r="AM18" s="658" t="s">
        <v>622</v>
      </c>
      <c r="AN18" s="206"/>
      <c r="AO18" s="640"/>
      <c r="AP18" s="1055"/>
      <c r="AQ18" s="658"/>
      <c r="AR18" s="206"/>
      <c r="AS18" s="499">
        <v>10000</v>
      </c>
      <c r="AT18" s="499">
        <v>100</v>
      </c>
      <c r="AU18" s="499">
        <v>10</v>
      </c>
      <c r="AV18" s="499">
        <v>10000</v>
      </c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865"/>
      <c r="BL18" s="865"/>
      <c r="BM18" s="865"/>
      <c r="BN18" s="865"/>
      <c r="BO18" s="865"/>
      <c r="BP18" s="865"/>
      <c r="BQ18" s="865"/>
      <c r="BR18" s="865"/>
      <c r="BS18" s="865"/>
      <c r="BT18" s="865"/>
      <c r="BU18" s="865"/>
      <c r="BV18" s="865"/>
      <c r="BW18" s="865"/>
      <c r="BX18" s="865"/>
      <c r="BY18" s="865"/>
      <c r="BZ18" s="865"/>
      <c r="CA18" s="865"/>
      <c r="CB18" s="865"/>
    </row>
    <row r="19" spans="1:80" ht="14.25" thickTop="1" thickBot="1">
      <c r="A19" s="671">
        <v>1</v>
      </c>
      <c r="B19" s="672"/>
      <c r="C19" s="548">
        <v>2004</v>
      </c>
      <c r="D19" s="481"/>
      <c r="E19" s="481"/>
      <c r="F19" s="482">
        <v>0.57399999999999995</v>
      </c>
      <c r="G19" s="483"/>
      <c r="H19" s="483"/>
      <c r="I19" s="484">
        <v>0.54600000000000004</v>
      </c>
      <c r="J19" s="485"/>
      <c r="K19" s="485"/>
      <c r="L19" s="486">
        <v>0.54</v>
      </c>
      <c r="M19" s="487"/>
      <c r="N19" s="487"/>
      <c r="O19" s="488">
        <v>0.54</v>
      </c>
      <c r="P19" s="468"/>
      <c r="Q19" s="895"/>
      <c r="R19" s="468"/>
      <c r="S19" s="489"/>
      <c r="T19" s="476"/>
      <c r="U19" s="490">
        <v>0.45700000000000002</v>
      </c>
      <c r="V19" s="468"/>
      <c r="W19" s="491"/>
      <c r="X19" s="492">
        <v>0.45700000000000002</v>
      </c>
      <c r="Y19" s="468"/>
      <c r="Z19" s="895"/>
      <c r="AA19" s="493">
        <v>0</v>
      </c>
      <c r="AB19" s="494"/>
      <c r="AC19" s="494"/>
      <c r="AD19" s="495"/>
      <c r="AE19" s="496"/>
      <c r="AF19" s="497"/>
      <c r="AG19" s="496"/>
      <c r="AH19" s="497"/>
      <c r="AI19" s="496"/>
      <c r="AJ19" s="497"/>
      <c r="AK19" s="206"/>
      <c r="AL19" s="641"/>
      <c r="AM19" s="641"/>
      <c r="AN19" s="206"/>
      <c r="AO19" s="640"/>
      <c r="AP19" s="1055"/>
      <c r="AQ19" s="658"/>
      <c r="AR19" s="206"/>
      <c r="AS19" s="499">
        <v>10000</v>
      </c>
      <c r="AT19" s="499">
        <v>100</v>
      </c>
      <c r="AU19" s="499">
        <v>10</v>
      </c>
      <c r="AV19" s="499">
        <v>10000</v>
      </c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865"/>
      <c r="BL19" s="865"/>
      <c r="BM19" s="865"/>
      <c r="BN19" s="865"/>
      <c r="BO19" s="865"/>
      <c r="BP19" s="865"/>
      <c r="BQ19" s="865"/>
      <c r="BR19" s="865"/>
      <c r="BS19" s="865"/>
      <c r="BT19" s="865"/>
      <c r="BU19" s="865"/>
      <c r="BV19" s="865"/>
      <c r="BW19" s="865"/>
      <c r="BX19" s="865"/>
      <c r="BY19" s="865"/>
      <c r="BZ19" s="865"/>
      <c r="CA19" s="865"/>
      <c r="CB19" s="865"/>
    </row>
    <row r="20" spans="1:80" ht="14.25" thickTop="1" thickBot="1">
      <c r="A20" s="671">
        <v>2</v>
      </c>
      <c r="B20" s="672"/>
      <c r="C20" s="548">
        <v>2005</v>
      </c>
      <c r="D20" s="481">
        <v>0.05</v>
      </c>
      <c r="E20" s="481"/>
      <c r="F20" s="482">
        <f>ROUND(F19*(1-D20),4)</f>
        <v>0.54530000000000001</v>
      </c>
      <c r="G20" s="483">
        <v>0.05</v>
      </c>
      <c r="H20" s="483"/>
      <c r="I20" s="482">
        <f>ROUND(I19*(1-G20),4)</f>
        <v>0.51870000000000005</v>
      </c>
      <c r="J20" s="485">
        <v>0.05</v>
      </c>
      <c r="K20" s="485"/>
      <c r="L20" s="486">
        <f>ROUND(L19*(1-J20),4)</f>
        <v>0.51300000000000001</v>
      </c>
      <c r="M20" s="487">
        <v>0.05</v>
      </c>
      <c r="N20" s="487"/>
      <c r="O20" s="488">
        <f>ROUND(O19*(1-M20),4)</f>
        <v>0.51300000000000001</v>
      </c>
      <c r="P20" s="468"/>
      <c r="Q20" s="895"/>
      <c r="R20" s="468"/>
      <c r="S20" s="489">
        <v>0.05</v>
      </c>
      <c r="T20" s="476"/>
      <c r="U20" s="490">
        <f>ROUND(U19*(1-S20),4)</f>
        <v>0.43419999999999997</v>
      </c>
      <c r="V20" s="468"/>
      <c r="W20" s="491">
        <v>0.05</v>
      </c>
      <c r="X20" s="492">
        <f>ROUND(X19*(1-W20),4)</f>
        <v>0.43419999999999997</v>
      </c>
      <c r="Y20" s="468"/>
      <c r="Z20" s="895"/>
      <c r="AA20" s="493">
        <v>0</v>
      </c>
      <c r="AB20" s="494"/>
      <c r="AC20" s="494"/>
      <c r="AD20" s="495"/>
      <c r="AE20" s="496"/>
      <c r="AF20" s="497"/>
      <c r="AG20" s="496"/>
      <c r="AH20" s="497"/>
      <c r="AI20" s="496"/>
      <c r="AJ20" s="497"/>
      <c r="AK20" s="206"/>
      <c r="AL20" s="641"/>
      <c r="AM20" s="641"/>
      <c r="AN20" s="206"/>
      <c r="AO20" s="640"/>
      <c r="AP20" s="1055"/>
      <c r="AQ20" s="658"/>
      <c r="AR20" s="206"/>
      <c r="AS20" s="499">
        <v>10000</v>
      </c>
      <c r="AT20" s="499">
        <v>100</v>
      </c>
      <c r="AU20" s="499">
        <v>10</v>
      </c>
      <c r="AV20" s="499">
        <v>10000</v>
      </c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865"/>
      <c r="BL20" s="865"/>
      <c r="BM20" s="865"/>
      <c r="BN20" s="865"/>
      <c r="BO20" s="865"/>
      <c r="BP20" s="865"/>
      <c r="BQ20" s="865"/>
      <c r="BR20" s="865"/>
      <c r="BS20" s="865"/>
      <c r="BT20" s="865"/>
      <c r="BU20" s="865"/>
      <c r="BV20" s="865"/>
      <c r="BW20" s="865"/>
      <c r="BX20" s="865"/>
      <c r="BY20" s="865"/>
      <c r="BZ20" s="865"/>
      <c r="CA20" s="865"/>
      <c r="CB20" s="865"/>
    </row>
    <row r="21" spans="1:80" ht="14.25" thickTop="1" thickBot="1">
      <c r="A21" s="671">
        <v>3</v>
      </c>
      <c r="B21" s="672"/>
      <c r="C21" s="548">
        <v>2006</v>
      </c>
      <c r="D21" s="481">
        <v>0.05</v>
      </c>
      <c r="E21" s="481"/>
      <c r="F21" s="482">
        <f t="shared" ref="F21:F29" si="0">ROUND(F20*(1-D21),4)</f>
        <v>0.51800000000000002</v>
      </c>
      <c r="G21" s="483">
        <v>0.05</v>
      </c>
      <c r="H21" s="483"/>
      <c r="I21" s="482">
        <f t="shared" ref="I21:I29" si="1">ROUND(I20*(1-G21),4)</f>
        <v>0.49280000000000002</v>
      </c>
      <c r="J21" s="485">
        <v>0.05</v>
      </c>
      <c r="K21" s="485"/>
      <c r="L21" s="486">
        <f t="shared" ref="L21:L27" si="2">ROUND(L20*(1-J21),4)</f>
        <v>0.4874</v>
      </c>
      <c r="M21" s="487">
        <v>0.05</v>
      </c>
      <c r="N21" s="487"/>
      <c r="O21" s="488">
        <f t="shared" ref="O21:O29" si="3">ROUND(O20*(1-M21),4)</f>
        <v>0.4874</v>
      </c>
      <c r="P21" s="468"/>
      <c r="Q21" s="895"/>
      <c r="R21" s="468"/>
      <c r="S21" s="489">
        <v>6.5000000000000002E-2</v>
      </c>
      <c r="T21" s="476"/>
      <c r="U21" s="490">
        <f>ROUND(U20*(1-S21),4)</f>
        <v>0.40600000000000003</v>
      </c>
      <c r="V21" s="468"/>
      <c r="W21" s="491">
        <v>6.5000000000000002E-2</v>
      </c>
      <c r="X21" s="492">
        <f t="shared" ref="X21:X27" si="4">ROUND(X20*(1-W21),4)</f>
        <v>0.40600000000000003</v>
      </c>
      <c r="Y21" s="468"/>
      <c r="Z21" s="895"/>
      <c r="AA21" s="493">
        <v>0</v>
      </c>
      <c r="AB21" s="494"/>
      <c r="AC21" s="494"/>
      <c r="AD21" s="495"/>
      <c r="AE21" s="496"/>
      <c r="AF21" s="497"/>
      <c r="AG21" s="496"/>
      <c r="AH21" s="497"/>
      <c r="AI21" s="496"/>
      <c r="AJ21" s="497"/>
      <c r="AK21" s="206"/>
      <c r="AL21" s="641"/>
      <c r="AM21" s="641"/>
      <c r="AN21" s="206"/>
      <c r="AO21" s="640"/>
      <c r="AP21" s="1055"/>
      <c r="AQ21" s="658"/>
      <c r="AR21" s="206"/>
      <c r="AS21" s="499">
        <v>10000</v>
      </c>
      <c r="AT21" s="499">
        <v>100</v>
      </c>
      <c r="AU21" s="499">
        <v>10</v>
      </c>
      <c r="AV21" s="499">
        <v>10000</v>
      </c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865"/>
      <c r="BL21" s="865"/>
      <c r="BM21" s="865"/>
      <c r="BN21" s="865"/>
      <c r="BO21" s="865"/>
      <c r="BP21" s="865"/>
      <c r="BQ21" s="865"/>
      <c r="BR21" s="865"/>
      <c r="BS21" s="865"/>
      <c r="BT21" s="865"/>
      <c r="BU21" s="865"/>
      <c r="BV21" s="865"/>
      <c r="BW21" s="865"/>
      <c r="BX21" s="865"/>
      <c r="BY21" s="865"/>
      <c r="BZ21" s="865"/>
      <c r="CA21" s="865"/>
      <c r="CB21" s="865"/>
    </row>
    <row r="22" spans="1:80" ht="14.25" thickTop="1" thickBot="1">
      <c r="A22" s="671">
        <v>4</v>
      </c>
      <c r="B22" s="672"/>
      <c r="C22" s="548">
        <v>2007</v>
      </c>
      <c r="D22" s="481">
        <v>0.05</v>
      </c>
      <c r="E22" s="481"/>
      <c r="F22" s="482">
        <f t="shared" si="0"/>
        <v>0.49209999999999998</v>
      </c>
      <c r="G22" s="483">
        <v>0.05</v>
      </c>
      <c r="H22" s="483"/>
      <c r="I22" s="482">
        <f t="shared" si="1"/>
        <v>0.46820000000000001</v>
      </c>
      <c r="J22" s="485">
        <v>0.05</v>
      </c>
      <c r="K22" s="485"/>
      <c r="L22" s="486">
        <f t="shared" si="2"/>
        <v>0.46300000000000002</v>
      </c>
      <c r="M22" s="487">
        <v>0.05</v>
      </c>
      <c r="N22" s="487"/>
      <c r="O22" s="488">
        <f t="shared" si="3"/>
        <v>0.46300000000000002</v>
      </c>
      <c r="P22" s="468"/>
      <c r="Q22" s="895"/>
      <c r="R22" s="468"/>
      <c r="S22" s="489">
        <v>6.5000000000000002E-2</v>
      </c>
      <c r="T22" s="476"/>
      <c r="U22" s="490">
        <f>ROUND(U21*(1-S22),4)</f>
        <v>0.37959999999999999</v>
      </c>
      <c r="V22" s="468"/>
      <c r="W22" s="491">
        <v>6.5000000000000002E-2</v>
      </c>
      <c r="X22" s="492">
        <f t="shared" si="4"/>
        <v>0.37959999999999999</v>
      </c>
      <c r="Y22" s="468"/>
      <c r="Z22" s="895"/>
      <c r="AA22" s="493">
        <v>0</v>
      </c>
      <c r="AB22" s="494"/>
      <c r="AC22" s="494"/>
      <c r="AD22" s="495"/>
      <c r="AE22" s="496"/>
      <c r="AF22" s="497"/>
      <c r="AG22" s="496"/>
      <c r="AH22" s="497"/>
      <c r="AI22" s="496"/>
      <c r="AJ22" s="497"/>
      <c r="AK22" s="206"/>
      <c r="AL22" s="641"/>
      <c r="AM22" s="641"/>
      <c r="AN22" s="206"/>
      <c r="AO22" s="640"/>
      <c r="AP22" s="1055"/>
      <c r="AQ22" s="658"/>
      <c r="AR22" s="206"/>
      <c r="AS22" s="499">
        <v>10000</v>
      </c>
      <c r="AT22" s="499">
        <v>100</v>
      </c>
      <c r="AU22" s="499">
        <v>10</v>
      </c>
      <c r="AV22" s="499">
        <v>10000</v>
      </c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865"/>
      <c r="BL22" s="865"/>
      <c r="BM22" s="865"/>
      <c r="BN22" s="865"/>
      <c r="BO22" s="865"/>
      <c r="BP22" s="865"/>
      <c r="BQ22" s="865"/>
      <c r="BR22" s="865"/>
      <c r="BS22" s="865"/>
      <c r="BT22" s="865"/>
      <c r="BU22" s="865"/>
      <c r="BV22" s="865"/>
      <c r="BW22" s="865"/>
      <c r="BX22" s="865"/>
      <c r="BY22" s="865"/>
      <c r="BZ22" s="865"/>
      <c r="CA22" s="865"/>
      <c r="CB22" s="865"/>
    </row>
    <row r="23" spans="1:80" ht="14.25" thickTop="1" thickBot="1">
      <c r="A23" s="671">
        <v>5</v>
      </c>
      <c r="B23" s="672"/>
      <c r="C23" s="548">
        <v>2008</v>
      </c>
      <c r="D23" s="481">
        <v>0.05</v>
      </c>
      <c r="E23" s="481"/>
      <c r="F23" s="482">
        <f t="shared" si="0"/>
        <v>0.46750000000000003</v>
      </c>
      <c r="G23" s="483">
        <v>0.05</v>
      </c>
      <c r="H23" s="483"/>
      <c r="I23" s="482">
        <f t="shared" si="1"/>
        <v>0.44479999999999997</v>
      </c>
      <c r="J23" s="485">
        <v>0.05</v>
      </c>
      <c r="K23" s="485"/>
      <c r="L23" s="486">
        <f t="shared" si="2"/>
        <v>0.43990000000000001</v>
      </c>
      <c r="M23" s="487">
        <v>0.05</v>
      </c>
      <c r="N23" s="487"/>
      <c r="O23" s="488">
        <f t="shared" si="3"/>
        <v>0.43990000000000001</v>
      </c>
      <c r="P23" s="468"/>
      <c r="Q23" s="895"/>
      <c r="R23" s="468"/>
      <c r="S23" s="489">
        <v>6.5000000000000002E-2</v>
      </c>
      <c r="T23" s="476"/>
      <c r="U23" s="490">
        <f>ROUND(U22*(1-S23),4)</f>
        <v>0.35489999999999999</v>
      </c>
      <c r="V23" s="468"/>
      <c r="W23" s="491">
        <v>6.5000000000000002E-2</v>
      </c>
      <c r="X23" s="492">
        <f t="shared" si="4"/>
        <v>0.35489999999999999</v>
      </c>
      <c r="Y23" s="468"/>
      <c r="Z23" s="895"/>
      <c r="AA23" s="493">
        <v>0</v>
      </c>
      <c r="AB23" s="494"/>
      <c r="AC23" s="494"/>
      <c r="AD23" s="495"/>
      <c r="AE23" s="496"/>
      <c r="AF23" s="497"/>
      <c r="AG23" s="496"/>
      <c r="AH23" s="497"/>
      <c r="AI23" s="496"/>
      <c r="AJ23" s="497"/>
      <c r="AK23" s="206"/>
      <c r="AL23" s="641"/>
      <c r="AM23" s="641"/>
      <c r="AN23" s="206"/>
      <c r="AO23" s="640"/>
      <c r="AP23" s="1055"/>
      <c r="AQ23" s="658"/>
      <c r="AR23" s="206"/>
      <c r="AS23" s="499">
        <v>10000</v>
      </c>
      <c r="AT23" s="499">
        <v>100</v>
      </c>
      <c r="AU23" s="499">
        <v>10</v>
      </c>
      <c r="AV23" s="499">
        <v>10000</v>
      </c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865"/>
      <c r="BL23" s="865"/>
      <c r="BM23" s="865"/>
      <c r="BN23" s="865"/>
      <c r="BO23" s="865"/>
      <c r="BP23" s="865"/>
      <c r="BQ23" s="865"/>
      <c r="BR23" s="865"/>
      <c r="BS23" s="865"/>
      <c r="BT23" s="865"/>
      <c r="BU23" s="865"/>
      <c r="BV23" s="865"/>
      <c r="BW23" s="865"/>
      <c r="BX23" s="865"/>
      <c r="BY23" s="865"/>
      <c r="BZ23" s="865"/>
      <c r="CA23" s="865"/>
      <c r="CB23" s="865"/>
    </row>
    <row r="24" spans="1:80" ht="14.25" thickTop="1" thickBot="1">
      <c r="A24" s="671">
        <v>6</v>
      </c>
      <c r="B24" s="672"/>
      <c r="C24" s="548">
        <v>2009</v>
      </c>
      <c r="D24" s="481">
        <v>0.08</v>
      </c>
      <c r="E24" s="481"/>
      <c r="F24" s="482">
        <v>0.43009999999999998</v>
      </c>
      <c r="G24" s="483">
        <v>0.08</v>
      </c>
      <c r="H24" s="483"/>
      <c r="I24" s="482">
        <v>0.40910000000000002</v>
      </c>
      <c r="J24" s="485">
        <v>0.1</v>
      </c>
      <c r="K24" s="485"/>
      <c r="L24" s="486">
        <v>0.39579999999999999</v>
      </c>
      <c r="M24" s="487">
        <v>0.25</v>
      </c>
      <c r="N24" s="487"/>
      <c r="O24" s="498">
        <v>0.33</v>
      </c>
      <c r="P24" s="468"/>
      <c r="Q24" s="895"/>
      <c r="R24" s="468"/>
      <c r="S24" s="489">
        <v>0.1</v>
      </c>
      <c r="T24" s="476"/>
      <c r="U24" s="490">
        <v>0.31940000000000002</v>
      </c>
      <c r="V24" s="468"/>
      <c r="W24" s="491">
        <v>0.1</v>
      </c>
      <c r="X24" s="492">
        <f t="shared" si="4"/>
        <v>0.31940000000000002</v>
      </c>
      <c r="Y24" s="468"/>
      <c r="Z24" s="895"/>
      <c r="AA24" s="499">
        <v>30</v>
      </c>
      <c r="AB24" s="500">
        <v>0.2</v>
      </c>
      <c r="AC24" s="501">
        <f>AF24-F24</f>
        <v>-0.18</v>
      </c>
      <c r="AD24" s="502">
        <f>AF24-F24</f>
        <v>-0.18</v>
      </c>
      <c r="AE24" s="503">
        <v>0.25009999999999999</v>
      </c>
      <c r="AF24" s="504">
        <v>0.25009999999999999</v>
      </c>
      <c r="AG24" s="496"/>
      <c r="AH24" s="497"/>
      <c r="AI24" s="496"/>
      <c r="AJ24" s="497"/>
      <c r="AK24" s="206"/>
      <c r="AL24" s="641"/>
      <c r="AM24" s="641"/>
      <c r="AN24" s="206"/>
      <c r="AO24" s="640"/>
      <c r="AP24" s="1055"/>
      <c r="AQ24" s="658"/>
      <c r="AR24" s="206"/>
      <c r="AS24" s="499">
        <v>10000</v>
      </c>
      <c r="AT24" s="499">
        <v>100</v>
      </c>
      <c r="AU24" s="499">
        <v>10</v>
      </c>
      <c r="AV24" s="499">
        <v>10000</v>
      </c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865"/>
      <c r="BL24" s="865"/>
      <c r="BM24" s="865"/>
      <c r="BN24" s="865"/>
      <c r="BO24" s="865"/>
      <c r="BP24" s="865"/>
      <c r="BQ24" s="865"/>
      <c r="BR24" s="865"/>
      <c r="BS24" s="865"/>
      <c r="BT24" s="865"/>
      <c r="BU24" s="865"/>
      <c r="BV24" s="865"/>
      <c r="BW24" s="865"/>
      <c r="BX24" s="865"/>
      <c r="BY24" s="865"/>
      <c r="BZ24" s="865"/>
      <c r="CA24" s="865"/>
      <c r="CB24" s="865"/>
    </row>
    <row r="25" spans="1:80" ht="14.25" thickTop="1" thickBot="1">
      <c r="A25" s="671">
        <v>7</v>
      </c>
      <c r="B25" s="672"/>
      <c r="C25" s="548" t="s">
        <v>342</v>
      </c>
      <c r="D25" s="481">
        <v>0.09</v>
      </c>
      <c r="E25" s="481"/>
      <c r="F25" s="482">
        <f t="shared" si="0"/>
        <v>0.39140000000000003</v>
      </c>
      <c r="G25" s="483">
        <v>0.09</v>
      </c>
      <c r="H25" s="483"/>
      <c r="I25" s="482">
        <f t="shared" si="1"/>
        <v>0.37230000000000002</v>
      </c>
      <c r="J25" s="485">
        <v>0.11</v>
      </c>
      <c r="K25" s="485"/>
      <c r="L25" s="486">
        <f t="shared" si="2"/>
        <v>0.3523</v>
      </c>
      <c r="M25" s="487">
        <v>0.11</v>
      </c>
      <c r="N25" s="487"/>
      <c r="O25" s="498">
        <f t="shared" si="3"/>
        <v>0.29370000000000002</v>
      </c>
      <c r="P25" s="468"/>
      <c r="Q25" s="895"/>
      <c r="R25" s="468"/>
      <c r="S25" s="489">
        <v>0.11</v>
      </c>
      <c r="T25" s="476"/>
      <c r="U25" s="490">
        <f>ROUND(U24*(1-S25),4)</f>
        <v>0.2843</v>
      </c>
      <c r="V25" s="468"/>
      <c r="W25" s="491">
        <v>0.11</v>
      </c>
      <c r="X25" s="492">
        <f t="shared" si="4"/>
        <v>0.2843</v>
      </c>
      <c r="Y25" s="468"/>
      <c r="Z25" s="895"/>
      <c r="AA25" s="499">
        <v>30</v>
      </c>
      <c r="AB25" s="500">
        <v>0.2</v>
      </c>
      <c r="AC25" s="501">
        <f>AF25-F25</f>
        <v>-0.16380000000000003</v>
      </c>
      <c r="AD25" s="502">
        <f>AF25-F25</f>
        <v>-0.16380000000000003</v>
      </c>
      <c r="AE25" s="503">
        <v>0.2276</v>
      </c>
      <c r="AF25" s="504">
        <v>0.2276</v>
      </c>
      <c r="AG25" s="496"/>
      <c r="AH25" s="497"/>
      <c r="AI25" s="496"/>
      <c r="AJ25" s="497"/>
      <c r="AK25" s="206"/>
      <c r="AL25" s="641"/>
      <c r="AM25" s="641"/>
      <c r="AN25" s="206"/>
      <c r="AO25" s="640"/>
      <c r="AP25" s="1055"/>
      <c r="AQ25" s="658"/>
      <c r="AR25" s="206"/>
      <c r="AS25" s="499">
        <v>10000</v>
      </c>
      <c r="AT25" s="499">
        <v>100</v>
      </c>
      <c r="AU25" s="499">
        <v>10</v>
      </c>
      <c r="AV25" s="499">
        <v>10000</v>
      </c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865"/>
      <c r="BL25" s="865"/>
      <c r="BM25" s="865"/>
      <c r="BN25" s="865"/>
      <c r="BO25" s="865"/>
      <c r="BP25" s="865"/>
      <c r="BQ25" s="865"/>
      <c r="BR25" s="865"/>
      <c r="BS25" s="865"/>
      <c r="BT25" s="865"/>
      <c r="BU25" s="865"/>
      <c r="BV25" s="865"/>
      <c r="BW25" s="865"/>
      <c r="BX25" s="865"/>
      <c r="BY25" s="865"/>
      <c r="BZ25" s="865"/>
      <c r="CA25" s="865"/>
      <c r="CB25" s="865"/>
    </row>
    <row r="26" spans="1:80" ht="14.25" thickTop="1" thickBot="1">
      <c r="A26" s="671">
        <v>8</v>
      </c>
      <c r="B26" s="672"/>
      <c r="C26" s="548" t="s">
        <v>311</v>
      </c>
      <c r="D26" s="481">
        <v>0.13</v>
      </c>
      <c r="E26" s="481"/>
      <c r="F26" s="482">
        <f t="shared" si="0"/>
        <v>0.34050000000000002</v>
      </c>
      <c r="G26" s="483">
        <v>0.13</v>
      </c>
      <c r="H26" s="483"/>
      <c r="I26" s="482">
        <f t="shared" si="1"/>
        <v>0.32390000000000002</v>
      </c>
      <c r="J26" s="485">
        <v>0.13</v>
      </c>
      <c r="K26" s="485"/>
      <c r="L26" s="486">
        <f t="shared" si="2"/>
        <v>0.30649999999999999</v>
      </c>
      <c r="M26" s="487">
        <v>0.13</v>
      </c>
      <c r="N26" s="487"/>
      <c r="O26" s="498">
        <f t="shared" si="3"/>
        <v>0.2555</v>
      </c>
      <c r="P26" s="468"/>
      <c r="Q26" s="895"/>
      <c r="R26" s="468"/>
      <c r="S26" s="489">
        <v>0.12</v>
      </c>
      <c r="T26" s="476"/>
      <c r="U26" s="490">
        <f>ROUND(U25*(1-S26),4)</f>
        <v>0.25019999999999998</v>
      </c>
      <c r="V26" s="468"/>
      <c r="W26" s="491">
        <v>0.08</v>
      </c>
      <c r="X26" s="505">
        <f t="shared" si="4"/>
        <v>0.2616</v>
      </c>
      <c r="Y26" s="468"/>
      <c r="Z26" s="895"/>
      <c r="AA26" s="499">
        <v>500</v>
      </c>
      <c r="AB26" s="500">
        <v>0.2</v>
      </c>
      <c r="AC26" s="506">
        <v>-0.1638</v>
      </c>
      <c r="AD26" s="507">
        <v>-0.12</v>
      </c>
      <c r="AE26" s="508">
        <f>F26+AC26</f>
        <v>0.17670000000000002</v>
      </c>
      <c r="AF26" s="509">
        <f>F26+AD26</f>
        <v>0.22050000000000003</v>
      </c>
      <c r="AG26" s="508">
        <f>I26+AC26</f>
        <v>0.16010000000000002</v>
      </c>
      <c r="AH26" s="509">
        <f>I26+AD26</f>
        <v>0.20390000000000003</v>
      </c>
      <c r="AI26" s="508">
        <f>L26+AC26</f>
        <v>0.14269999999999999</v>
      </c>
      <c r="AJ26" s="509">
        <f>L26+AD26</f>
        <v>0.1865</v>
      </c>
      <c r="AK26" s="206"/>
      <c r="AL26" s="641"/>
      <c r="AM26" s="641"/>
      <c r="AN26" s="206"/>
      <c r="AO26" s="640"/>
      <c r="AP26" s="1055"/>
      <c r="AQ26" s="658"/>
      <c r="AR26" s="206"/>
      <c r="AS26" s="499">
        <v>10000</v>
      </c>
      <c r="AT26" s="499">
        <v>100</v>
      </c>
      <c r="AU26" s="499">
        <v>10</v>
      </c>
      <c r="AV26" s="499">
        <v>10000</v>
      </c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865"/>
      <c r="BL26" s="865"/>
      <c r="BM26" s="865"/>
      <c r="BN26" s="865"/>
      <c r="BO26" s="865"/>
      <c r="BP26" s="865"/>
      <c r="BQ26" s="865"/>
      <c r="BR26" s="865"/>
      <c r="BS26" s="865"/>
      <c r="BT26" s="865"/>
      <c r="BU26" s="865"/>
      <c r="BV26" s="865"/>
      <c r="BW26" s="865"/>
      <c r="BX26" s="865"/>
      <c r="BY26" s="865"/>
      <c r="BZ26" s="865"/>
      <c r="CA26" s="865"/>
      <c r="CB26" s="865"/>
    </row>
    <row r="27" spans="1:80" ht="14.25" thickTop="1" thickBot="1">
      <c r="A27" s="671">
        <v>9</v>
      </c>
      <c r="B27" s="672"/>
      <c r="C27" s="548" t="s">
        <v>312</v>
      </c>
      <c r="D27" s="481">
        <v>0.03</v>
      </c>
      <c r="E27" s="481"/>
      <c r="F27" s="482">
        <f t="shared" si="0"/>
        <v>0.33029999999999998</v>
      </c>
      <c r="G27" s="483">
        <v>0.03</v>
      </c>
      <c r="H27" s="483"/>
      <c r="I27" s="482">
        <f t="shared" si="1"/>
        <v>0.31419999999999998</v>
      </c>
      <c r="J27" s="485">
        <v>0.03</v>
      </c>
      <c r="K27" s="485"/>
      <c r="L27" s="486">
        <f t="shared" si="2"/>
        <v>0.29730000000000001</v>
      </c>
      <c r="M27" s="487">
        <v>0.03</v>
      </c>
      <c r="N27" s="487"/>
      <c r="O27" s="498">
        <f t="shared" si="3"/>
        <v>0.24779999999999999</v>
      </c>
      <c r="P27" s="468"/>
      <c r="Q27" s="895"/>
      <c r="R27" s="468"/>
      <c r="S27" s="489">
        <v>0.03</v>
      </c>
      <c r="T27" s="476"/>
      <c r="U27" s="490">
        <f>ROUND(U26*(1-S27),4)</f>
        <v>0.2427</v>
      </c>
      <c r="V27" s="468"/>
      <c r="W27" s="491">
        <v>0.03</v>
      </c>
      <c r="X27" s="505">
        <f t="shared" si="4"/>
        <v>0.25380000000000003</v>
      </c>
      <c r="Y27" s="468"/>
      <c r="Z27" s="895"/>
      <c r="AA27" s="499">
        <v>500</v>
      </c>
      <c r="AB27" s="500">
        <v>0.2</v>
      </c>
      <c r="AC27" s="506">
        <v>-0.1638</v>
      </c>
      <c r="AD27" s="507">
        <v>-0.12</v>
      </c>
      <c r="AE27" s="508">
        <f>F27+AC27</f>
        <v>0.16649999999999998</v>
      </c>
      <c r="AF27" s="509">
        <f>F27+AD27</f>
        <v>0.21029999999999999</v>
      </c>
      <c r="AG27" s="508">
        <f>I27+AC27</f>
        <v>0.15039999999999998</v>
      </c>
      <c r="AH27" s="509">
        <f>I27+AD27</f>
        <v>0.19419999999999998</v>
      </c>
      <c r="AI27" s="508">
        <f>L27+AC27</f>
        <v>0.13350000000000001</v>
      </c>
      <c r="AJ27" s="509">
        <f>L27+AD27</f>
        <v>0.17730000000000001</v>
      </c>
      <c r="AK27" s="206"/>
      <c r="AL27" s="641"/>
      <c r="AM27" s="641"/>
      <c r="AN27" s="206"/>
      <c r="AO27" s="640"/>
      <c r="AP27" s="1055"/>
      <c r="AQ27" s="658"/>
      <c r="AR27" s="206"/>
      <c r="AS27" s="499">
        <v>10000</v>
      </c>
      <c r="AT27" s="499">
        <v>100</v>
      </c>
      <c r="AU27" s="499">
        <v>10</v>
      </c>
      <c r="AV27" s="499">
        <v>10000</v>
      </c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865"/>
      <c r="BL27" s="865"/>
      <c r="BM27" s="865"/>
      <c r="BN27" s="865"/>
      <c r="BO27" s="865"/>
      <c r="BP27" s="865"/>
      <c r="BQ27" s="865"/>
      <c r="BR27" s="865"/>
      <c r="BS27" s="865"/>
      <c r="BT27" s="865"/>
      <c r="BU27" s="865"/>
      <c r="BV27" s="865"/>
      <c r="BW27" s="865"/>
      <c r="BX27" s="865"/>
      <c r="BY27" s="865"/>
      <c r="BZ27" s="865"/>
      <c r="CA27" s="865"/>
      <c r="CB27" s="865"/>
    </row>
    <row r="28" spans="1:80" ht="14.25" thickTop="1" thickBot="1">
      <c r="A28" s="671">
        <v>10</v>
      </c>
      <c r="B28" s="672"/>
      <c r="C28" s="548" t="s">
        <v>578</v>
      </c>
      <c r="D28" s="481">
        <v>0.13</v>
      </c>
      <c r="E28" s="481"/>
      <c r="F28" s="609">
        <v>0.28739999999999999</v>
      </c>
      <c r="G28" s="483">
        <v>0.13</v>
      </c>
      <c r="H28" s="483"/>
      <c r="I28" s="609">
        <v>0.27329999999999999</v>
      </c>
      <c r="J28" s="485">
        <v>0.13</v>
      </c>
      <c r="K28" s="485"/>
      <c r="L28" s="610">
        <v>0.2586</v>
      </c>
      <c r="M28" s="487">
        <v>0.13</v>
      </c>
      <c r="N28" s="487"/>
      <c r="O28" s="611">
        <v>0.21560000000000001</v>
      </c>
      <c r="P28" s="468"/>
      <c r="Q28" s="895"/>
      <c r="R28" s="468"/>
      <c r="S28" s="489">
        <v>0.13</v>
      </c>
      <c r="T28" s="476"/>
      <c r="U28" s="612">
        <f>ROUND(U27*(1-S28),4)</f>
        <v>0.21110000000000001</v>
      </c>
      <c r="V28" s="468"/>
      <c r="W28" s="491">
        <v>0.13</v>
      </c>
      <c r="X28" s="613">
        <v>0.22070000000000001</v>
      </c>
      <c r="Y28" s="468"/>
      <c r="Z28" s="895"/>
      <c r="AA28" s="499">
        <v>500</v>
      </c>
      <c r="AB28" s="500">
        <v>0.2</v>
      </c>
      <c r="AC28" s="506">
        <v>-0.1638</v>
      </c>
      <c r="AD28" s="507">
        <v>-0.12</v>
      </c>
      <c r="AE28" s="508">
        <f>F28+AC28</f>
        <v>0.12359999999999999</v>
      </c>
      <c r="AF28" s="509">
        <f>F28+AD28</f>
        <v>0.16739999999999999</v>
      </c>
      <c r="AG28" s="508">
        <f>I28+AC28</f>
        <v>0.10949999999999999</v>
      </c>
      <c r="AH28" s="509">
        <f>I28+AD28</f>
        <v>0.15329999999999999</v>
      </c>
      <c r="AI28" s="508">
        <f>L28+AC28</f>
        <v>9.4799999999999995E-2</v>
      </c>
      <c r="AJ28" s="509">
        <f>L28+AD28</f>
        <v>0.1386</v>
      </c>
      <c r="AK28" s="206"/>
      <c r="AL28" s="641"/>
      <c r="AM28" s="641"/>
      <c r="AN28" s="206"/>
      <c r="AO28" s="640"/>
      <c r="AP28" s="1055"/>
      <c r="AQ28" s="658"/>
      <c r="AR28" s="206"/>
      <c r="AS28" s="499">
        <v>10000</v>
      </c>
      <c r="AT28" s="499">
        <v>100</v>
      </c>
      <c r="AU28" s="499">
        <v>10</v>
      </c>
      <c r="AV28" s="499">
        <v>10000</v>
      </c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865"/>
      <c r="BL28" s="865"/>
      <c r="BM28" s="865"/>
      <c r="BN28" s="865"/>
      <c r="BO28" s="865"/>
      <c r="BP28" s="865"/>
      <c r="BQ28" s="865"/>
      <c r="BR28" s="865"/>
      <c r="BS28" s="865"/>
      <c r="BT28" s="865"/>
      <c r="BU28" s="865"/>
      <c r="BV28" s="865"/>
      <c r="BW28" s="865"/>
      <c r="BX28" s="865"/>
      <c r="BY28" s="865"/>
      <c r="BZ28" s="865"/>
      <c r="CA28" s="865"/>
      <c r="CB28" s="865"/>
    </row>
    <row r="29" spans="1:80" ht="14.25" thickTop="1" thickBot="1">
      <c r="A29" s="673">
        <v>11</v>
      </c>
      <c r="B29" s="674"/>
      <c r="C29" s="548" t="s">
        <v>579</v>
      </c>
      <c r="D29" s="627">
        <v>0</v>
      </c>
      <c r="E29" s="627"/>
      <c r="F29" s="609">
        <f t="shared" si="0"/>
        <v>0.28739999999999999</v>
      </c>
      <c r="G29" s="628">
        <v>0</v>
      </c>
      <c r="H29" s="628"/>
      <c r="I29" s="609">
        <f t="shared" si="1"/>
        <v>0.27329999999999999</v>
      </c>
      <c r="J29" s="622">
        <v>0</v>
      </c>
      <c r="K29" s="622"/>
      <c r="L29" s="486">
        <f>ROUND(L28*(1-J29),4)</f>
        <v>0.2586</v>
      </c>
      <c r="M29" s="629">
        <v>0</v>
      </c>
      <c r="N29" s="629"/>
      <c r="O29" s="611">
        <f t="shared" si="3"/>
        <v>0.21560000000000001</v>
      </c>
      <c r="P29" s="468"/>
      <c r="Q29" s="895"/>
      <c r="R29" s="468"/>
      <c r="S29" s="630">
        <v>0</v>
      </c>
      <c r="T29" s="476"/>
      <c r="U29" s="612">
        <f>ROUND(U28*(1-S29),4)</f>
        <v>0.21110000000000001</v>
      </c>
      <c r="V29" s="468"/>
      <c r="W29" s="631">
        <v>0</v>
      </c>
      <c r="X29" s="613">
        <f>ROUND(X28*(1-W29),4)</f>
        <v>0.22070000000000001</v>
      </c>
      <c r="Y29" s="468"/>
      <c r="Z29" s="895"/>
      <c r="AA29" s="499">
        <v>500</v>
      </c>
      <c r="AB29" s="500">
        <v>0.2</v>
      </c>
      <c r="AC29" s="506">
        <v>-0.1638</v>
      </c>
      <c r="AD29" s="507">
        <v>-0.12</v>
      </c>
      <c r="AE29" s="508">
        <f>F29+AC29</f>
        <v>0.12359999999999999</v>
      </c>
      <c r="AF29" s="509">
        <f>F29+AD29</f>
        <v>0.16739999999999999</v>
      </c>
      <c r="AG29" s="508">
        <f>I29+AC29</f>
        <v>0.10949999999999999</v>
      </c>
      <c r="AH29" s="509">
        <f>I29+AD29</f>
        <v>0.15329999999999999</v>
      </c>
      <c r="AI29" s="508">
        <f>L29+AC29</f>
        <v>9.4799999999999995E-2</v>
      </c>
      <c r="AJ29" s="509">
        <f>L29+AD29</f>
        <v>0.1386</v>
      </c>
      <c r="AK29" s="206"/>
      <c r="AL29" s="641"/>
      <c r="AM29" s="641"/>
      <c r="AN29" s="206"/>
      <c r="AO29" s="640"/>
      <c r="AP29" s="1055"/>
      <c r="AQ29" s="658"/>
      <c r="AR29" s="206"/>
      <c r="AS29" s="499">
        <v>10000</v>
      </c>
      <c r="AT29" s="499">
        <v>100</v>
      </c>
      <c r="AU29" s="499">
        <v>10</v>
      </c>
      <c r="AV29" s="499">
        <v>10000</v>
      </c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865"/>
      <c r="BL29" s="865"/>
      <c r="BM29" s="865"/>
      <c r="BN29" s="865"/>
      <c r="BO29" s="865"/>
      <c r="BP29" s="865"/>
      <c r="BQ29" s="865"/>
      <c r="BR29" s="865"/>
      <c r="BS29" s="865"/>
      <c r="BT29" s="865"/>
      <c r="BU29" s="865"/>
      <c r="BV29" s="865"/>
      <c r="BW29" s="865"/>
      <c r="BX29" s="865"/>
      <c r="BY29" s="865"/>
      <c r="BZ29" s="865"/>
      <c r="CA29" s="865"/>
      <c r="CB29" s="865"/>
    </row>
    <row r="30" spans="1:80" ht="14.25" thickTop="1" thickBot="1">
      <c r="A30" s="671">
        <v>12</v>
      </c>
      <c r="B30" s="672"/>
      <c r="C30" s="634" t="s">
        <v>16</v>
      </c>
      <c r="D30" s="481">
        <v>0.15</v>
      </c>
      <c r="E30" s="481"/>
      <c r="F30" s="609">
        <v>0.24429999999999999</v>
      </c>
      <c r="G30" s="483">
        <v>0.15</v>
      </c>
      <c r="H30" s="483"/>
      <c r="I30" s="609">
        <v>0.23230000000000001</v>
      </c>
      <c r="J30" s="485">
        <v>0.15</v>
      </c>
      <c r="K30" s="485"/>
      <c r="L30" s="610">
        <v>0.2198</v>
      </c>
      <c r="M30" s="487">
        <v>0.15</v>
      </c>
      <c r="N30" s="487"/>
      <c r="O30" s="611">
        <v>0.18329999999999999</v>
      </c>
      <c r="P30" s="468"/>
      <c r="Q30" s="895"/>
      <c r="R30" s="468"/>
      <c r="S30" s="489">
        <v>0.15</v>
      </c>
      <c r="T30" s="476"/>
      <c r="U30" s="612">
        <v>0.1794</v>
      </c>
      <c r="V30" s="468"/>
      <c r="W30" s="491">
        <v>0.15</v>
      </c>
      <c r="X30" s="613">
        <v>0.18759999999999999</v>
      </c>
      <c r="Y30" s="468"/>
      <c r="Z30" s="895"/>
      <c r="AA30" s="499">
        <v>500</v>
      </c>
      <c r="AB30" s="500">
        <v>0.2</v>
      </c>
      <c r="AC30" s="506">
        <v>-0.1638</v>
      </c>
      <c r="AD30" s="507">
        <v>-0.12</v>
      </c>
      <c r="AE30" s="508">
        <f>F30+AC30</f>
        <v>8.0499999999999988E-2</v>
      </c>
      <c r="AF30" s="509">
        <f>F30+AD30</f>
        <v>0.12429999999999999</v>
      </c>
      <c r="AG30" s="508">
        <f>I30+AC30</f>
        <v>6.8500000000000005E-2</v>
      </c>
      <c r="AH30" s="509">
        <f>I30+AD30</f>
        <v>0.11230000000000001</v>
      </c>
      <c r="AI30" s="508">
        <f>L30+AC30</f>
        <v>5.5999999999999994E-2</v>
      </c>
      <c r="AJ30" s="509">
        <f>L30+AD30</f>
        <v>9.98E-2</v>
      </c>
      <c r="AK30" s="206"/>
      <c r="AL30" s="641"/>
      <c r="AM30" s="641"/>
      <c r="AN30" s="206"/>
      <c r="AO30" s="640"/>
      <c r="AP30" s="1055"/>
      <c r="AQ30" s="658"/>
      <c r="AR30" s="206"/>
      <c r="AS30" s="499">
        <v>10000</v>
      </c>
      <c r="AT30" s="499">
        <v>100</v>
      </c>
      <c r="AU30" s="499">
        <v>10</v>
      </c>
      <c r="AV30" s="499">
        <v>10000</v>
      </c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865"/>
      <c r="BL30" s="865"/>
      <c r="BM30" s="865"/>
      <c r="BN30" s="865"/>
      <c r="BO30" s="865"/>
      <c r="BP30" s="865"/>
      <c r="BQ30" s="865"/>
      <c r="BR30" s="865"/>
      <c r="BS30" s="865"/>
      <c r="BT30" s="865"/>
      <c r="BU30" s="865"/>
      <c r="BV30" s="865"/>
      <c r="BW30" s="865"/>
      <c r="BX30" s="865"/>
      <c r="BY30" s="865"/>
      <c r="BZ30" s="865"/>
      <c r="CA30" s="865"/>
      <c r="CB30" s="865"/>
    </row>
    <row r="31" spans="1:80" ht="15.75" thickTop="1" thickBot="1">
      <c r="A31" s="671"/>
      <c r="B31" s="672"/>
      <c r="C31" s="1330" t="s">
        <v>624</v>
      </c>
      <c r="D31" s="2015" t="s">
        <v>14</v>
      </c>
      <c r="E31" s="1926"/>
      <c r="F31" s="1927"/>
      <c r="G31" s="1928" t="s">
        <v>612</v>
      </c>
      <c r="H31" s="1929"/>
      <c r="I31" s="1930"/>
      <c r="J31" s="1951" t="s">
        <v>613</v>
      </c>
      <c r="K31" s="1932"/>
      <c r="L31" s="1933"/>
      <c r="M31" s="1997" t="s">
        <v>18</v>
      </c>
      <c r="N31" s="1912"/>
      <c r="O31" s="1913"/>
      <c r="P31" s="468"/>
      <c r="Q31" s="895"/>
      <c r="R31" s="468"/>
      <c r="S31" s="1987" t="s">
        <v>15</v>
      </c>
      <c r="T31" s="1915"/>
      <c r="U31" s="1916"/>
      <c r="V31" s="468"/>
      <c r="W31" s="491"/>
      <c r="X31" s="613"/>
      <c r="Y31" s="468"/>
      <c r="Z31" s="1256"/>
      <c r="AA31" s="1257"/>
      <c r="AB31" s="1258"/>
      <c r="AC31" s="1259"/>
      <c r="AD31" s="1259"/>
      <c r="AE31" s="1259"/>
      <c r="AF31" s="1259"/>
      <c r="AG31" s="1259"/>
      <c r="AH31" s="1259"/>
      <c r="AI31" s="1259"/>
      <c r="AJ31" s="1259"/>
      <c r="AK31" s="1260"/>
      <c r="AL31" s="1261"/>
      <c r="AM31" s="1261"/>
      <c r="AN31" s="1260"/>
      <c r="AO31" s="1257"/>
      <c r="AP31" s="1257"/>
      <c r="AQ31" s="1261"/>
      <c r="AR31" s="1260"/>
      <c r="AS31" s="1257"/>
      <c r="AT31" s="1257"/>
      <c r="AU31" s="1257"/>
      <c r="AV31" s="1262"/>
      <c r="AW31" s="1260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865"/>
      <c r="BL31" s="865"/>
      <c r="BM31" s="865"/>
      <c r="BN31" s="865"/>
      <c r="BO31" s="865"/>
      <c r="BP31" s="865"/>
      <c r="BQ31" s="865"/>
      <c r="BR31" s="865"/>
      <c r="BS31" s="865"/>
      <c r="BT31" s="865"/>
      <c r="BU31" s="865"/>
      <c r="BV31" s="865"/>
      <c r="BW31" s="865"/>
      <c r="BX31" s="865"/>
      <c r="BY31" s="865"/>
      <c r="BZ31" s="865"/>
      <c r="CA31" s="865"/>
      <c r="CB31" s="865"/>
    </row>
    <row r="32" spans="1:80" ht="14.25" thickTop="1" thickBot="1">
      <c r="A32" s="673">
        <v>13</v>
      </c>
      <c r="B32" s="674">
        <v>4</v>
      </c>
      <c r="C32" s="659" t="s">
        <v>619</v>
      </c>
      <c r="D32" s="1150"/>
      <c r="E32" s="481"/>
      <c r="F32" s="660">
        <v>0.19500000000000001</v>
      </c>
      <c r="G32" s="483"/>
      <c r="H32" s="483"/>
      <c r="I32" s="662">
        <v>0.185</v>
      </c>
      <c r="J32" s="465"/>
      <c r="K32" s="465"/>
      <c r="L32" s="663">
        <v>0.16500000000000001</v>
      </c>
      <c r="M32" s="487"/>
      <c r="N32" s="487"/>
      <c r="O32" s="665">
        <v>0.13500000000000001</v>
      </c>
      <c r="P32" s="468"/>
      <c r="Q32" s="895"/>
      <c r="R32" s="468"/>
      <c r="S32" s="489"/>
      <c r="T32" s="476"/>
      <c r="U32" s="667">
        <v>0.13500000000000001</v>
      </c>
      <c r="V32" s="468"/>
      <c r="W32" s="491"/>
      <c r="X32" s="613"/>
      <c r="Y32" s="468"/>
      <c r="Z32" s="907">
        <v>10000</v>
      </c>
      <c r="AA32" s="499">
        <v>10000</v>
      </c>
      <c r="AB32" s="500">
        <v>0.2</v>
      </c>
      <c r="AC32" s="496"/>
      <c r="AD32" s="497"/>
      <c r="AE32" s="496"/>
      <c r="AF32" s="497"/>
      <c r="AG32" s="496"/>
      <c r="AH32" s="497"/>
      <c r="AI32" s="496"/>
      <c r="AJ32" s="497"/>
      <c r="AK32" s="206"/>
      <c r="AL32" s="642">
        <v>100</v>
      </c>
      <c r="AM32" s="642">
        <v>90</v>
      </c>
      <c r="AN32" s="206"/>
      <c r="AO32" s="640"/>
      <c r="AP32" s="1055"/>
      <c r="AQ32" s="658"/>
      <c r="AR32" s="206"/>
      <c r="AS32" s="499">
        <v>10000</v>
      </c>
      <c r="AT32" s="499">
        <v>100</v>
      </c>
      <c r="AU32" s="499">
        <v>10</v>
      </c>
      <c r="AV32" s="499">
        <v>10000</v>
      </c>
      <c r="AW32" s="206"/>
      <c r="AX32" s="1280">
        <v>10</v>
      </c>
      <c r="AY32" s="1281"/>
      <c r="AZ32" s="1282">
        <v>40</v>
      </c>
      <c r="BA32" s="1281"/>
      <c r="BB32" s="1283">
        <v>1000</v>
      </c>
      <c r="BC32" s="1281"/>
      <c r="BD32" s="1349">
        <v>10000</v>
      </c>
      <c r="BE32" s="1281"/>
      <c r="BF32" s="206"/>
      <c r="BG32" s="206"/>
      <c r="BH32" s="206"/>
      <c r="BI32" s="206"/>
      <c r="BJ32" s="206"/>
      <c r="BK32" s="865"/>
      <c r="BL32" s="865"/>
      <c r="BM32" s="865"/>
      <c r="BN32" s="865"/>
      <c r="BO32" s="865"/>
      <c r="BP32" s="865"/>
      <c r="BQ32" s="865"/>
      <c r="BR32" s="865"/>
      <c r="BS32" s="865"/>
      <c r="BT32" s="865"/>
      <c r="BU32" s="865"/>
      <c r="BV32" s="865"/>
      <c r="BW32" s="865"/>
      <c r="BX32" s="865"/>
      <c r="BY32" s="865"/>
      <c r="BZ32" s="865"/>
      <c r="CA32" s="865"/>
      <c r="CB32" s="865"/>
    </row>
    <row r="33" spans="1:80" ht="14.25" thickTop="1" thickBot="1">
      <c r="A33" s="671">
        <v>14</v>
      </c>
      <c r="B33" s="672">
        <v>5</v>
      </c>
      <c r="C33" s="659" t="s">
        <v>615</v>
      </c>
      <c r="D33" s="1151">
        <v>0.01</v>
      </c>
      <c r="E33" s="481"/>
      <c r="F33" s="661">
        <v>0.19309999999999999</v>
      </c>
      <c r="G33" s="483">
        <v>0.01</v>
      </c>
      <c r="H33" s="483"/>
      <c r="I33" s="661">
        <v>0.1832</v>
      </c>
      <c r="J33" s="851">
        <v>0.01</v>
      </c>
      <c r="K33" s="851"/>
      <c r="L33" s="664">
        <v>0.16339999999999999</v>
      </c>
      <c r="M33" s="487">
        <v>0.01</v>
      </c>
      <c r="N33" s="487"/>
      <c r="O33" s="666">
        <v>0.13370000000000001</v>
      </c>
      <c r="P33" s="468"/>
      <c r="Q33" s="895"/>
      <c r="R33" s="468"/>
      <c r="S33" s="489">
        <v>0.01</v>
      </c>
      <c r="T33" s="476"/>
      <c r="U33" s="668">
        <v>0.13370000000000001</v>
      </c>
      <c r="V33" s="468"/>
      <c r="W33" s="491"/>
      <c r="X33" s="613"/>
      <c r="Y33" s="468"/>
      <c r="Z33" s="907">
        <v>10000</v>
      </c>
      <c r="AA33" s="499">
        <v>10000</v>
      </c>
      <c r="AB33" s="500">
        <v>0.2</v>
      </c>
      <c r="AC33" s="496"/>
      <c r="AD33" s="497"/>
      <c r="AE33" s="496"/>
      <c r="AF33" s="497"/>
      <c r="AG33" s="496"/>
      <c r="AH33" s="497"/>
      <c r="AI33" s="496"/>
      <c r="AJ33" s="497"/>
      <c r="AK33" s="206"/>
      <c r="AL33" s="642">
        <v>100</v>
      </c>
      <c r="AM33" s="642">
        <v>90</v>
      </c>
      <c r="AN33" s="206"/>
      <c r="AO33" s="640"/>
      <c r="AP33" s="1055"/>
      <c r="AQ33" s="658"/>
      <c r="AR33" s="206"/>
      <c r="AS33" s="499">
        <v>10000</v>
      </c>
      <c r="AT33" s="499">
        <v>100</v>
      </c>
      <c r="AU33" s="499">
        <v>10</v>
      </c>
      <c r="AV33" s="499">
        <v>10000</v>
      </c>
      <c r="AW33" s="206"/>
      <c r="AX33" s="1280">
        <v>10</v>
      </c>
      <c r="AY33" s="1281"/>
      <c r="AZ33" s="1282">
        <v>40</v>
      </c>
      <c r="BA33" s="1281"/>
      <c r="BB33" s="1283">
        <v>1000</v>
      </c>
      <c r="BC33" s="1281"/>
      <c r="BD33" s="1349">
        <v>10000</v>
      </c>
      <c r="BE33" s="1281"/>
      <c r="BF33" s="206"/>
      <c r="BG33" s="206"/>
      <c r="BH33" s="206"/>
      <c r="BI33" s="206"/>
      <c r="BJ33" s="206"/>
      <c r="BK33" s="865"/>
      <c r="BL33" s="865"/>
      <c r="BM33" s="865"/>
      <c r="BN33" s="865"/>
      <c r="BO33" s="865"/>
      <c r="BP33" s="865"/>
      <c r="BQ33" s="865"/>
      <c r="BR33" s="865"/>
      <c r="BS33" s="865"/>
      <c r="BT33" s="865"/>
      <c r="BU33" s="865"/>
      <c r="BV33" s="865"/>
      <c r="BW33" s="865"/>
      <c r="BX33" s="865"/>
      <c r="BY33" s="865"/>
      <c r="BZ33" s="865"/>
      <c r="CA33" s="865"/>
      <c r="CB33" s="865"/>
    </row>
    <row r="34" spans="1:80" ht="14.25" thickTop="1" thickBot="1">
      <c r="A34" s="673">
        <v>15</v>
      </c>
      <c r="B34" s="674">
        <v>6</v>
      </c>
      <c r="C34" s="659" t="s">
        <v>616</v>
      </c>
      <c r="D34" s="1151">
        <v>0.01</v>
      </c>
      <c r="E34" s="481"/>
      <c r="F34" s="661">
        <v>0.19109999999999999</v>
      </c>
      <c r="G34" s="483">
        <v>0.01</v>
      </c>
      <c r="H34" s="483"/>
      <c r="I34" s="661">
        <v>0.18129999999999999</v>
      </c>
      <c r="J34" s="851">
        <v>0.01</v>
      </c>
      <c r="K34" s="851"/>
      <c r="L34" s="664">
        <v>0.16170000000000001</v>
      </c>
      <c r="M34" s="487">
        <v>0.01</v>
      </c>
      <c r="N34" s="487"/>
      <c r="O34" s="666">
        <v>0.1323</v>
      </c>
      <c r="P34" s="468"/>
      <c r="Q34" s="895"/>
      <c r="R34" s="468"/>
      <c r="S34" s="489">
        <v>0.01</v>
      </c>
      <c r="T34" s="476"/>
      <c r="U34" s="668">
        <v>0.1323</v>
      </c>
      <c r="V34" s="468"/>
      <c r="W34" s="491"/>
      <c r="X34" s="613"/>
      <c r="Y34" s="468"/>
      <c r="Z34" s="907">
        <v>10000</v>
      </c>
      <c r="AA34" s="499">
        <v>10000</v>
      </c>
      <c r="AB34" s="500">
        <v>0.2</v>
      </c>
      <c r="AC34" s="496"/>
      <c r="AD34" s="497"/>
      <c r="AE34" s="496"/>
      <c r="AF34" s="497"/>
      <c r="AG34" s="496"/>
      <c r="AH34" s="497"/>
      <c r="AI34" s="496"/>
      <c r="AJ34" s="497"/>
      <c r="AK34" s="206"/>
      <c r="AL34" s="642">
        <v>100</v>
      </c>
      <c r="AM34" s="642">
        <v>90</v>
      </c>
      <c r="AN34" s="206"/>
      <c r="AO34" s="640"/>
      <c r="AP34" s="1055"/>
      <c r="AQ34" s="658"/>
      <c r="AR34" s="206"/>
      <c r="AS34" s="499">
        <v>10000</v>
      </c>
      <c r="AT34" s="499">
        <v>100</v>
      </c>
      <c r="AU34" s="499">
        <v>10</v>
      </c>
      <c r="AV34" s="499">
        <v>10000</v>
      </c>
      <c r="AW34" s="206"/>
      <c r="AX34" s="1280">
        <v>10</v>
      </c>
      <c r="AY34" s="1281"/>
      <c r="AZ34" s="1282">
        <v>40</v>
      </c>
      <c r="BA34" s="1281"/>
      <c r="BB34" s="1283">
        <v>1000</v>
      </c>
      <c r="BC34" s="1281"/>
      <c r="BD34" s="1349">
        <v>10000</v>
      </c>
      <c r="BE34" s="1281"/>
      <c r="BF34" s="206"/>
      <c r="BG34" s="206"/>
      <c r="BH34" s="206"/>
      <c r="BI34" s="206"/>
      <c r="BJ34" s="206"/>
      <c r="BK34" s="865"/>
      <c r="BL34" s="865"/>
      <c r="BM34" s="865"/>
      <c r="BN34" s="865"/>
      <c r="BO34" s="865"/>
      <c r="BP34" s="865"/>
      <c r="BQ34" s="865"/>
      <c r="BR34" s="865"/>
      <c r="BS34" s="865"/>
      <c r="BT34" s="865"/>
      <c r="BU34" s="865"/>
      <c r="BV34" s="865"/>
      <c r="BW34" s="865"/>
      <c r="BX34" s="865"/>
      <c r="BY34" s="865"/>
      <c r="BZ34" s="865"/>
      <c r="CA34" s="865"/>
      <c r="CB34" s="865"/>
    </row>
    <row r="35" spans="1:80" ht="14.25" thickTop="1" thickBot="1">
      <c r="A35" s="671">
        <v>16</v>
      </c>
      <c r="B35" s="672">
        <v>7</v>
      </c>
      <c r="C35" s="659" t="s">
        <v>617</v>
      </c>
      <c r="D35" s="1151">
        <v>0.01</v>
      </c>
      <c r="E35" s="481"/>
      <c r="F35" s="661">
        <v>0.18920000000000001</v>
      </c>
      <c r="G35" s="483">
        <v>0.01</v>
      </c>
      <c r="H35" s="483"/>
      <c r="I35" s="661">
        <v>0.17949999999999999</v>
      </c>
      <c r="J35" s="851">
        <v>0.01</v>
      </c>
      <c r="K35" s="851"/>
      <c r="L35" s="664">
        <v>0.16009999999999999</v>
      </c>
      <c r="M35" s="487">
        <v>0.01</v>
      </c>
      <c r="N35" s="487"/>
      <c r="O35" s="666">
        <v>0.13100000000000001</v>
      </c>
      <c r="P35" s="468"/>
      <c r="Q35" s="895"/>
      <c r="R35" s="468"/>
      <c r="S35" s="489">
        <v>0.01</v>
      </c>
      <c r="T35" s="476"/>
      <c r="U35" s="668">
        <v>0.13100000000000001</v>
      </c>
      <c r="V35" s="468"/>
      <c r="W35" s="491"/>
      <c r="X35" s="613"/>
      <c r="Y35" s="468"/>
      <c r="Z35" s="907">
        <v>10000</v>
      </c>
      <c r="AA35" s="499">
        <v>10000</v>
      </c>
      <c r="AB35" s="500">
        <v>0.2</v>
      </c>
      <c r="AC35" s="496"/>
      <c r="AD35" s="497"/>
      <c r="AE35" s="496"/>
      <c r="AF35" s="497"/>
      <c r="AG35" s="496"/>
      <c r="AH35" s="497"/>
      <c r="AI35" s="496"/>
      <c r="AJ35" s="497"/>
      <c r="AK35" s="206"/>
      <c r="AL35" s="642">
        <v>100</v>
      </c>
      <c r="AM35" s="642">
        <v>90</v>
      </c>
      <c r="AN35" s="206"/>
      <c r="AO35" s="640"/>
      <c r="AP35" s="1055"/>
      <c r="AQ35" s="658"/>
      <c r="AR35" s="206"/>
      <c r="AS35" s="499">
        <v>10000</v>
      </c>
      <c r="AT35" s="499">
        <v>100</v>
      </c>
      <c r="AU35" s="499">
        <v>10</v>
      </c>
      <c r="AV35" s="499">
        <v>10000</v>
      </c>
      <c r="AW35" s="206"/>
      <c r="AX35" s="1280">
        <v>10</v>
      </c>
      <c r="AY35" s="1281"/>
      <c r="AZ35" s="1282">
        <v>40</v>
      </c>
      <c r="BA35" s="1281"/>
      <c r="BB35" s="1283">
        <v>1000</v>
      </c>
      <c r="BC35" s="1281"/>
      <c r="BD35" s="1349">
        <v>10000</v>
      </c>
      <c r="BE35" s="1281"/>
      <c r="BF35" s="206"/>
      <c r="BG35" s="206"/>
      <c r="BH35" s="206"/>
      <c r="BI35" s="206"/>
      <c r="BJ35" s="206"/>
      <c r="BK35" s="865"/>
      <c r="BL35" s="865"/>
      <c r="BM35" s="865"/>
      <c r="BN35" s="865"/>
      <c r="BO35" s="865"/>
      <c r="BP35" s="865"/>
      <c r="BQ35" s="865"/>
      <c r="BR35" s="865"/>
      <c r="BS35" s="865"/>
      <c r="BT35" s="865"/>
      <c r="BU35" s="865"/>
      <c r="BV35" s="865"/>
      <c r="BW35" s="865"/>
      <c r="BX35" s="865"/>
      <c r="BY35" s="865"/>
      <c r="BZ35" s="865"/>
      <c r="CA35" s="865"/>
      <c r="CB35" s="865"/>
    </row>
    <row r="36" spans="1:80" ht="14.25" thickTop="1" thickBot="1">
      <c r="A36" s="673">
        <v>17</v>
      </c>
      <c r="B36" s="674">
        <v>8</v>
      </c>
      <c r="C36" s="659" t="s">
        <v>618</v>
      </c>
      <c r="D36" s="1151">
        <v>0.01</v>
      </c>
      <c r="E36" s="481"/>
      <c r="F36" s="661">
        <v>0.18729999999999999</v>
      </c>
      <c r="G36" s="483">
        <v>0.01</v>
      </c>
      <c r="H36" s="483"/>
      <c r="I36" s="661">
        <v>0.1777</v>
      </c>
      <c r="J36" s="851">
        <v>0.01</v>
      </c>
      <c r="K36" s="851"/>
      <c r="L36" s="664">
        <v>0.1585</v>
      </c>
      <c r="M36" s="487">
        <v>0.01</v>
      </c>
      <c r="N36" s="487"/>
      <c r="O36" s="666">
        <v>0.12970000000000001</v>
      </c>
      <c r="P36" s="468"/>
      <c r="Q36" s="895"/>
      <c r="R36" s="468"/>
      <c r="S36" s="489">
        <v>0.01</v>
      </c>
      <c r="T36" s="476"/>
      <c r="U36" s="668">
        <v>0.12970000000000001</v>
      </c>
      <c r="V36" s="468"/>
      <c r="W36" s="491"/>
      <c r="X36" s="613"/>
      <c r="Y36" s="468"/>
      <c r="Z36" s="907">
        <v>10000</v>
      </c>
      <c r="AA36" s="499">
        <v>10000</v>
      </c>
      <c r="AB36" s="500">
        <v>0.2</v>
      </c>
      <c r="AC36" s="496"/>
      <c r="AD36" s="497"/>
      <c r="AE36" s="496"/>
      <c r="AF36" s="497"/>
      <c r="AG36" s="496"/>
      <c r="AH36" s="497"/>
      <c r="AI36" s="496"/>
      <c r="AJ36" s="497"/>
      <c r="AK36" s="206"/>
      <c r="AL36" s="642">
        <v>100</v>
      </c>
      <c r="AM36" s="642">
        <v>90</v>
      </c>
      <c r="AN36" s="206"/>
      <c r="AO36" s="640"/>
      <c r="AP36" s="1055"/>
      <c r="AQ36" s="658"/>
      <c r="AR36" s="206"/>
      <c r="AS36" s="499">
        <v>10000</v>
      </c>
      <c r="AT36" s="499">
        <v>100</v>
      </c>
      <c r="AU36" s="499">
        <v>10</v>
      </c>
      <c r="AV36" s="499">
        <v>10000</v>
      </c>
      <c r="AW36" s="206"/>
      <c r="AX36" s="1280">
        <v>10</v>
      </c>
      <c r="AY36" s="1281"/>
      <c r="AZ36" s="1282">
        <v>40</v>
      </c>
      <c r="BA36" s="1281"/>
      <c r="BB36" s="1283">
        <v>1000</v>
      </c>
      <c r="BC36" s="1281"/>
      <c r="BD36" s="1349">
        <v>10000</v>
      </c>
      <c r="BE36" s="1281"/>
      <c r="BF36" s="206"/>
      <c r="BG36" s="206"/>
      <c r="BH36" s="206"/>
      <c r="BI36" s="206"/>
      <c r="BJ36" s="206"/>
      <c r="BK36" s="865"/>
      <c r="BL36" s="865"/>
      <c r="BM36" s="865"/>
      <c r="BN36" s="865"/>
      <c r="BO36" s="865"/>
      <c r="BP36" s="865"/>
      <c r="BQ36" s="865"/>
      <c r="BR36" s="865"/>
      <c r="BS36" s="865"/>
      <c r="BT36" s="865"/>
      <c r="BU36" s="865"/>
      <c r="BV36" s="865"/>
      <c r="BW36" s="865"/>
      <c r="BX36" s="865"/>
      <c r="BY36" s="865"/>
      <c r="BZ36" s="865"/>
      <c r="CA36" s="865"/>
      <c r="CB36" s="865"/>
    </row>
    <row r="37" spans="1:80" ht="14.25" thickTop="1" thickBot="1">
      <c r="A37" s="671">
        <v>18</v>
      </c>
      <c r="B37" s="672">
        <v>9</v>
      </c>
      <c r="C37" s="659" t="s">
        <v>620</v>
      </c>
      <c r="D37" s="1151">
        <v>0.01</v>
      </c>
      <c r="E37" s="481"/>
      <c r="F37" s="661">
        <v>0.18540000000000001</v>
      </c>
      <c r="G37" s="483">
        <v>0.01</v>
      </c>
      <c r="H37" s="483"/>
      <c r="I37" s="661">
        <v>0.1759</v>
      </c>
      <c r="J37" s="851">
        <v>0.01</v>
      </c>
      <c r="K37" s="851"/>
      <c r="L37" s="664">
        <v>0.15690000000000001</v>
      </c>
      <c r="M37" s="487">
        <v>0.01</v>
      </c>
      <c r="N37" s="487"/>
      <c r="O37" s="666">
        <v>0.12839999999999999</v>
      </c>
      <c r="P37" s="468"/>
      <c r="Q37" s="895"/>
      <c r="R37" s="468"/>
      <c r="S37" s="489">
        <v>0.01</v>
      </c>
      <c r="T37" s="476"/>
      <c r="U37" s="668">
        <v>0.12839999999999999</v>
      </c>
      <c r="V37" s="468"/>
      <c r="W37" s="491"/>
      <c r="X37" s="613"/>
      <c r="Y37" s="468"/>
      <c r="Z37" s="907">
        <v>10000</v>
      </c>
      <c r="AA37" s="499">
        <v>10000</v>
      </c>
      <c r="AB37" s="500">
        <v>0.2</v>
      </c>
      <c r="AC37" s="496"/>
      <c r="AD37" s="497"/>
      <c r="AE37" s="496"/>
      <c r="AF37" s="497"/>
      <c r="AG37" s="496"/>
      <c r="AH37" s="497"/>
      <c r="AI37" s="496"/>
      <c r="AJ37" s="497"/>
      <c r="AK37" s="206"/>
      <c r="AL37" s="642">
        <v>100</v>
      </c>
      <c r="AM37" s="642">
        <v>90</v>
      </c>
      <c r="AN37" s="206"/>
      <c r="AO37" s="640"/>
      <c r="AP37" s="1055"/>
      <c r="AQ37" s="658"/>
      <c r="AR37" s="206"/>
      <c r="AS37" s="499">
        <v>10000</v>
      </c>
      <c r="AT37" s="499">
        <v>100</v>
      </c>
      <c r="AU37" s="499">
        <v>10</v>
      </c>
      <c r="AV37" s="499">
        <v>10000</v>
      </c>
      <c r="AW37" s="206"/>
      <c r="AX37" s="1280">
        <v>10</v>
      </c>
      <c r="AY37" s="1281"/>
      <c r="AZ37" s="1282">
        <v>40</v>
      </c>
      <c r="BA37" s="1281"/>
      <c r="BB37" s="1283">
        <v>1000</v>
      </c>
      <c r="BC37" s="1281"/>
      <c r="BD37" s="1349">
        <v>10000</v>
      </c>
      <c r="BE37" s="1281"/>
      <c r="BF37" s="206"/>
      <c r="BG37" s="206"/>
      <c r="BH37" s="206"/>
      <c r="BI37" s="206"/>
      <c r="BJ37" s="206"/>
      <c r="BK37" s="865"/>
      <c r="BL37" s="865"/>
      <c r="BM37" s="865"/>
      <c r="BN37" s="865"/>
      <c r="BO37" s="865"/>
      <c r="BP37" s="865"/>
      <c r="BQ37" s="865"/>
      <c r="BR37" s="865"/>
      <c r="BS37" s="865"/>
      <c r="BT37" s="865"/>
      <c r="BU37" s="865"/>
      <c r="BV37" s="865"/>
      <c r="BW37" s="865"/>
      <c r="BX37" s="865"/>
      <c r="BY37" s="865"/>
      <c r="BZ37" s="865"/>
      <c r="CA37" s="865"/>
      <c r="CB37" s="865"/>
    </row>
    <row r="38" spans="1:80" ht="14.25" thickTop="1" thickBot="1">
      <c r="A38" s="673">
        <v>19</v>
      </c>
      <c r="B38" s="674">
        <v>10</v>
      </c>
      <c r="C38" s="659" t="s">
        <v>621</v>
      </c>
      <c r="D38" s="1151">
        <v>0.01</v>
      </c>
      <c r="E38" s="481"/>
      <c r="F38" s="661">
        <v>0.18360000000000001</v>
      </c>
      <c r="G38" s="483">
        <v>0.01</v>
      </c>
      <c r="H38" s="483"/>
      <c r="I38" s="661">
        <v>0.17419999999999999</v>
      </c>
      <c r="J38" s="851">
        <v>0.01</v>
      </c>
      <c r="K38" s="851"/>
      <c r="L38" s="664">
        <v>0.15529999999999999</v>
      </c>
      <c r="M38" s="487">
        <v>0.01</v>
      </c>
      <c r="N38" s="487"/>
      <c r="O38" s="666">
        <v>0.12709999999999999</v>
      </c>
      <c r="P38" s="468"/>
      <c r="Q38" s="895"/>
      <c r="R38" s="468"/>
      <c r="S38" s="489">
        <v>0.01</v>
      </c>
      <c r="T38" s="476"/>
      <c r="U38" s="668">
        <v>0.12709999999999999</v>
      </c>
      <c r="V38" s="468"/>
      <c r="W38" s="491"/>
      <c r="X38" s="613"/>
      <c r="Y38" s="468"/>
      <c r="Z38" s="907">
        <v>10000</v>
      </c>
      <c r="AA38" s="499">
        <v>10000</v>
      </c>
      <c r="AB38" s="500">
        <v>0.2</v>
      </c>
      <c r="AC38" s="496"/>
      <c r="AD38" s="497"/>
      <c r="AE38" s="496"/>
      <c r="AF38" s="497"/>
      <c r="AG38" s="496"/>
      <c r="AH38" s="497"/>
      <c r="AI38" s="496"/>
      <c r="AJ38" s="497"/>
      <c r="AK38" s="206"/>
      <c r="AL38" s="642">
        <v>100</v>
      </c>
      <c r="AM38" s="642">
        <v>90</v>
      </c>
      <c r="AN38" s="206"/>
      <c r="AO38" s="640"/>
      <c r="AP38" s="1055"/>
      <c r="AQ38" s="658"/>
      <c r="AR38" s="206"/>
      <c r="AS38" s="499">
        <v>10000</v>
      </c>
      <c r="AT38" s="499">
        <v>100</v>
      </c>
      <c r="AU38" s="499">
        <v>10</v>
      </c>
      <c r="AV38" s="499">
        <v>10000</v>
      </c>
      <c r="AW38" s="206"/>
      <c r="AX38" s="1280">
        <v>10</v>
      </c>
      <c r="AY38" s="1281"/>
      <c r="AZ38" s="1282">
        <v>40</v>
      </c>
      <c r="BA38" s="1281"/>
      <c r="BB38" s="1283">
        <v>1000</v>
      </c>
      <c r="BC38" s="1281"/>
      <c r="BD38" s="1349">
        <v>10000</v>
      </c>
      <c r="BE38" s="1281"/>
      <c r="BF38" s="206"/>
      <c r="BG38" s="206"/>
      <c r="BH38" s="206"/>
      <c r="BI38" s="206"/>
      <c r="BJ38" s="206"/>
      <c r="BK38" s="865"/>
      <c r="BL38" s="865"/>
      <c r="BM38" s="865"/>
      <c r="BN38" s="865"/>
      <c r="BO38" s="865"/>
      <c r="BP38" s="865"/>
      <c r="BQ38" s="865"/>
      <c r="BR38" s="865"/>
      <c r="BS38" s="865"/>
      <c r="BT38" s="865"/>
      <c r="BU38" s="865"/>
      <c r="BV38" s="865"/>
      <c r="BW38" s="865"/>
      <c r="BX38" s="865"/>
      <c r="BY38" s="865"/>
      <c r="BZ38" s="865"/>
      <c r="CA38" s="865"/>
      <c r="CB38" s="865"/>
    </row>
    <row r="39" spans="1:80" ht="14.25" thickTop="1" thickBot="1">
      <c r="A39" s="671">
        <v>20</v>
      </c>
      <c r="B39" s="672">
        <v>11</v>
      </c>
      <c r="C39" s="659" t="s">
        <v>743</v>
      </c>
      <c r="D39" s="1151">
        <v>2.5000000000000001E-2</v>
      </c>
      <c r="E39" s="481"/>
      <c r="F39" s="661">
        <v>0.17899999999999999</v>
      </c>
      <c r="G39" s="483">
        <v>2.5000000000000001E-2</v>
      </c>
      <c r="H39" s="483"/>
      <c r="I39" s="661">
        <v>0.16980000000000001</v>
      </c>
      <c r="J39" s="851">
        <v>2.5000000000000001E-2</v>
      </c>
      <c r="K39" s="851"/>
      <c r="L39" s="664">
        <v>0.1515</v>
      </c>
      <c r="M39" s="487">
        <v>2.5000000000000001E-2</v>
      </c>
      <c r="N39" s="487"/>
      <c r="O39" s="666">
        <v>0.1239</v>
      </c>
      <c r="P39" s="468"/>
      <c r="Q39" s="895"/>
      <c r="R39" s="468"/>
      <c r="S39" s="489">
        <v>2.5000000000000001E-2</v>
      </c>
      <c r="T39" s="476"/>
      <c r="U39" s="668">
        <v>0.1239</v>
      </c>
      <c r="V39" s="468"/>
      <c r="W39" s="491"/>
      <c r="X39" s="613"/>
      <c r="Y39" s="468"/>
      <c r="Z39" s="907">
        <v>10000</v>
      </c>
      <c r="AA39" s="499">
        <v>10000</v>
      </c>
      <c r="AB39" s="500">
        <v>0.2</v>
      </c>
      <c r="AC39" s="496"/>
      <c r="AD39" s="497"/>
      <c r="AE39" s="496"/>
      <c r="AF39" s="497"/>
      <c r="AG39" s="496"/>
      <c r="AH39" s="497"/>
      <c r="AI39" s="496"/>
      <c r="AJ39" s="497"/>
      <c r="AK39" s="206"/>
      <c r="AL39" s="642">
        <v>100</v>
      </c>
      <c r="AM39" s="642">
        <v>90</v>
      </c>
      <c r="AN39" s="206"/>
      <c r="AO39" s="640"/>
      <c r="AP39" s="1055"/>
      <c r="AQ39" s="658"/>
      <c r="AR39" s="206"/>
      <c r="AS39" s="499">
        <v>10000</v>
      </c>
      <c r="AT39" s="499">
        <v>100</v>
      </c>
      <c r="AU39" s="499">
        <v>10</v>
      </c>
      <c r="AV39" s="499">
        <v>10000</v>
      </c>
      <c r="AW39" s="206"/>
      <c r="AX39" s="1280">
        <v>10</v>
      </c>
      <c r="AY39" s="1281"/>
      <c r="AZ39" s="1282">
        <v>40</v>
      </c>
      <c r="BA39" s="1281"/>
      <c r="BB39" s="1283">
        <v>1000</v>
      </c>
      <c r="BC39" s="1281"/>
      <c r="BD39" s="1349">
        <v>10000</v>
      </c>
      <c r="BE39" s="1281"/>
      <c r="BF39" s="206"/>
      <c r="BG39" s="206"/>
      <c r="BH39" s="206"/>
      <c r="BI39" s="206"/>
      <c r="BJ39" s="206"/>
      <c r="BK39" s="865"/>
      <c r="BL39" s="865"/>
      <c r="BM39" s="865"/>
      <c r="BN39" s="865"/>
      <c r="BO39" s="865"/>
      <c r="BP39" s="865"/>
      <c r="BQ39" s="865"/>
      <c r="BR39" s="865"/>
      <c r="BS39" s="865"/>
      <c r="BT39" s="865"/>
      <c r="BU39" s="865"/>
      <c r="BV39" s="865"/>
      <c r="BW39" s="865"/>
      <c r="BX39" s="865"/>
      <c r="BY39" s="865"/>
      <c r="BZ39" s="865"/>
      <c r="CA39" s="865"/>
      <c r="CB39" s="865"/>
    </row>
    <row r="40" spans="1:80" ht="14.25" thickTop="1" thickBot="1">
      <c r="A40" s="673">
        <v>21</v>
      </c>
      <c r="B40" s="674">
        <v>12</v>
      </c>
      <c r="C40" s="659" t="s">
        <v>744</v>
      </c>
      <c r="D40" s="1151">
        <v>2.5000000000000001E-2</v>
      </c>
      <c r="E40" s="481"/>
      <c r="F40" s="661">
        <v>0.17449999999999999</v>
      </c>
      <c r="G40" s="483">
        <v>2.5000000000000001E-2</v>
      </c>
      <c r="H40" s="483"/>
      <c r="I40" s="661">
        <v>0.1656</v>
      </c>
      <c r="J40" s="851">
        <v>2.5000000000000001E-2</v>
      </c>
      <c r="K40" s="851"/>
      <c r="L40" s="664">
        <v>0.1477</v>
      </c>
      <c r="M40" s="487">
        <v>2.5000000000000001E-2</v>
      </c>
      <c r="N40" s="487"/>
      <c r="O40" s="666">
        <v>0.1208</v>
      </c>
      <c r="P40" s="468"/>
      <c r="Q40" s="895"/>
      <c r="R40" s="468"/>
      <c r="S40" s="489">
        <v>2.5000000000000001E-2</v>
      </c>
      <c r="T40" s="476"/>
      <c r="U40" s="668">
        <v>0.1208</v>
      </c>
      <c r="V40" s="468"/>
      <c r="W40" s="491"/>
      <c r="X40" s="613"/>
      <c r="Y40" s="468"/>
      <c r="Z40" s="907">
        <v>10000</v>
      </c>
      <c r="AA40" s="499">
        <v>10000</v>
      </c>
      <c r="AB40" s="500">
        <v>0.2</v>
      </c>
      <c r="AC40" s="496"/>
      <c r="AD40" s="497"/>
      <c r="AE40" s="496"/>
      <c r="AF40" s="497"/>
      <c r="AG40" s="496"/>
      <c r="AH40" s="497"/>
      <c r="AI40" s="496"/>
      <c r="AJ40" s="497"/>
      <c r="AK40" s="206"/>
      <c r="AL40" s="642">
        <v>100</v>
      </c>
      <c r="AM40" s="642">
        <v>90</v>
      </c>
      <c r="AN40" s="206"/>
      <c r="AO40" s="640"/>
      <c r="AP40" s="1055"/>
      <c r="AQ40" s="658"/>
      <c r="AR40" s="206"/>
      <c r="AS40" s="499">
        <v>10000</v>
      </c>
      <c r="AT40" s="499">
        <v>100</v>
      </c>
      <c r="AU40" s="499">
        <v>10</v>
      </c>
      <c r="AV40" s="499">
        <v>10000</v>
      </c>
      <c r="AW40" s="206"/>
      <c r="AX40" s="1280">
        <v>10</v>
      </c>
      <c r="AY40" s="1281"/>
      <c r="AZ40" s="1282">
        <v>40</v>
      </c>
      <c r="BA40" s="1281"/>
      <c r="BB40" s="1283">
        <v>1000</v>
      </c>
      <c r="BC40" s="1281"/>
      <c r="BD40" s="1349">
        <v>10000</v>
      </c>
      <c r="BE40" s="1281"/>
      <c r="BF40" s="206"/>
      <c r="BG40" s="206"/>
      <c r="BH40" s="206"/>
      <c r="BI40" s="206"/>
      <c r="BJ40" s="206"/>
      <c r="BK40" s="865"/>
      <c r="BL40" s="865"/>
      <c r="BM40" s="865"/>
      <c r="BN40" s="865"/>
      <c r="BO40" s="865"/>
      <c r="BP40" s="865"/>
      <c r="BQ40" s="865"/>
      <c r="BR40" s="865"/>
      <c r="BS40" s="865"/>
      <c r="BT40" s="865"/>
      <c r="BU40" s="865"/>
      <c r="BV40" s="865"/>
      <c r="BW40" s="865"/>
      <c r="BX40" s="865"/>
      <c r="BY40" s="865"/>
      <c r="BZ40" s="865"/>
      <c r="CA40" s="865"/>
      <c r="CB40" s="865"/>
    </row>
    <row r="41" spans="1:80" ht="14.25" thickTop="1" thickBot="1">
      <c r="A41" s="671">
        <v>22</v>
      </c>
      <c r="B41" s="672">
        <v>1</v>
      </c>
      <c r="C41" s="659" t="s">
        <v>745</v>
      </c>
      <c r="D41" s="1151">
        <v>2.5000000000000001E-2</v>
      </c>
      <c r="E41" s="481"/>
      <c r="F41" s="661">
        <v>0.17019999999999999</v>
      </c>
      <c r="G41" s="483">
        <v>2.5000000000000001E-2</v>
      </c>
      <c r="H41" s="483"/>
      <c r="I41" s="661">
        <v>0.16139999999999999</v>
      </c>
      <c r="J41" s="851">
        <v>2.5000000000000001E-2</v>
      </c>
      <c r="K41" s="851"/>
      <c r="L41" s="863">
        <v>0.14399999999999999</v>
      </c>
      <c r="M41" s="487">
        <v>2.5000000000000001E-2</v>
      </c>
      <c r="N41" s="487"/>
      <c r="O41" s="666">
        <v>0.1178</v>
      </c>
      <c r="P41" s="468"/>
      <c r="Q41" s="895"/>
      <c r="R41" s="468"/>
      <c r="S41" s="489">
        <v>2.5000000000000001E-2</v>
      </c>
      <c r="T41" s="476"/>
      <c r="U41" s="668">
        <v>0.1178</v>
      </c>
      <c r="V41" s="468"/>
      <c r="W41" s="491"/>
      <c r="X41" s="613"/>
      <c r="Y41" s="468"/>
      <c r="Z41" s="907">
        <v>10000</v>
      </c>
      <c r="AA41" s="499">
        <v>10000</v>
      </c>
      <c r="AB41" s="500">
        <v>0.2</v>
      </c>
      <c r="AC41" s="496"/>
      <c r="AD41" s="497"/>
      <c r="AE41" s="496"/>
      <c r="AF41" s="497"/>
      <c r="AG41" s="496"/>
      <c r="AH41" s="497"/>
      <c r="AI41" s="496"/>
      <c r="AJ41" s="497"/>
      <c r="AK41" s="206"/>
      <c r="AL41" s="642">
        <v>100</v>
      </c>
      <c r="AM41" s="642">
        <v>90</v>
      </c>
      <c r="AN41" s="206"/>
      <c r="AO41" s="640"/>
      <c r="AP41" s="1055"/>
      <c r="AQ41" s="658"/>
      <c r="AR41" s="206"/>
      <c r="AS41" s="499">
        <v>10000</v>
      </c>
      <c r="AT41" s="499">
        <v>100</v>
      </c>
      <c r="AU41" s="499">
        <v>10</v>
      </c>
      <c r="AV41" s="499">
        <v>10000</v>
      </c>
      <c r="AW41" s="206"/>
      <c r="AX41" s="1280">
        <v>10</v>
      </c>
      <c r="AY41" s="1281"/>
      <c r="AZ41" s="1282">
        <v>40</v>
      </c>
      <c r="BA41" s="1281"/>
      <c r="BB41" s="1283">
        <v>1000</v>
      </c>
      <c r="BC41" s="1281"/>
      <c r="BD41" s="1349">
        <v>10000</v>
      </c>
      <c r="BE41" s="1281"/>
      <c r="BF41" s="206"/>
      <c r="BG41" s="206"/>
      <c r="BH41" s="206"/>
      <c r="BI41" s="206"/>
      <c r="BJ41" s="206"/>
      <c r="BK41" s="865"/>
      <c r="BL41" s="865"/>
      <c r="BM41" s="865"/>
      <c r="BN41" s="865"/>
      <c r="BO41" s="865"/>
      <c r="BP41" s="865"/>
      <c r="BQ41" s="865"/>
      <c r="BR41" s="865"/>
      <c r="BS41" s="865"/>
      <c r="BT41" s="865"/>
      <c r="BU41" s="865"/>
      <c r="BV41" s="865"/>
      <c r="BW41" s="865"/>
      <c r="BX41" s="865"/>
      <c r="BY41" s="865"/>
      <c r="BZ41" s="865"/>
      <c r="CA41" s="865"/>
      <c r="CB41" s="865"/>
    </row>
    <row r="42" spans="1:80" ht="14.25" thickTop="1" thickBot="1">
      <c r="A42" s="673">
        <v>23</v>
      </c>
      <c r="B42" s="674">
        <v>2</v>
      </c>
      <c r="C42" s="659" t="s">
        <v>802</v>
      </c>
      <c r="D42" s="1151">
        <v>2.1999999999999999E-2</v>
      </c>
      <c r="E42" s="481"/>
      <c r="F42" s="661">
        <v>0.16639999999999999</v>
      </c>
      <c r="G42" s="483">
        <f>IF($D42&gt;0,$D42,"")</f>
        <v>2.1999999999999999E-2</v>
      </c>
      <c r="H42" s="483"/>
      <c r="I42" s="661">
        <v>0.15790000000000001</v>
      </c>
      <c r="J42" s="851">
        <f>IF($D42&gt;0,$D42,"")</f>
        <v>2.1999999999999999E-2</v>
      </c>
      <c r="K42" s="851"/>
      <c r="L42" s="863">
        <v>0.14080000000000001</v>
      </c>
      <c r="M42" s="487">
        <f>IF($D42&gt;0,$D42,"")</f>
        <v>2.1999999999999999E-2</v>
      </c>
      <c r="N42" s="487"/>
      <c r="O42" s="666">
        <v>0.1152</v>
      </c>
      <c r="P42" s="468"/>
      <c r="Q42" s="895"/>
      <c r="R42" s="468"/>
      <c r="S42" s="489">
        <f>IF($D42&gt;0,$D42,"")</f>
        <v>2.1999999999999999E-2</v>
      </c>
      <c r="T42" s="476"/>
      <c r="U42" s="668">
        <v>0.1152</v>
      </c>
      <c r="V42" s="468"/>
      <c r="W42" s="491"/>
      <c r="X42" s="613"/>
      <c r="Y42" s="468"/>
      <c r="Z42" s="907">
        <v>10000</v>
      </c>
      <c r="AA42" s="499">
        <v>10000</v>
      </c>
      <c r="AB42" s="500">
        <v>0.2</v>
      </c>
      <c r="AC42" s="496"/>
      <c r="AD42" s="497"/>
      <c r="AE42" s="496"/>
      <c r="AF42" s="497"/>
      <c r="AG42" s="496"/>
      <c r="AH42" s="497"/>
      <c r="AI42" s="496"/>
      <c r="AJ42" s="497"/>
      <c r="AK42" s="206"/>
      <c r="AL42" s="642">
        <v>100</v>
      </c>
      <c r="AM42" s="642">
        <v>90</v>
      </c>
      <c r="AN42" s="206"/>
      <c r="AO42" s="640"/>
      <c r="AP42" s="1055"/>
      <c r="AQ42" s="658"/>
      <c r="AR42" s="206"/>
      <c r="AS42" s="499">
        <v>10000</v>
      </c>
      <c r="AT42" s="499">
        <v>100</v>
      </c>
      <c r="AU42" s="499">
        <v>10</v>
      </c>
      <c r="AV42" s="499">
        <v>10000</v>
      </c>
      <c r="AW42" s="206"/>
      <c r="AX42" s="1280">
        <v>10</v>
      </c>
      <c r="AY42" s="1281"/>
      <c r="AZ42" s="1282">
        <v>40</v>
      </c>
      <c r="BA42" s="1281"/>
      <c r="BB42" s="1283">
        <v>1000</v>
      </c>
      <c r="BC42" s="1281"/>
      <c r="BD42" s="1349">
        <v>10000</v>
      </c>
      <c r="BE42" s="1281"/>
      <c r="BF42" s="206"/>
      <c r="BG42" s="206"/>
      <c r="BH42" s="206"/>
      <c r="BI42" s="206"/>
      <c r="BJ42" s="206"/>
      <c r="BK42" s="865"/>
      <c r="BL42" s="865"/>
      <c r="BM42" s="865"/>
      <c r="BN42" s="865"/>
      <c r="BO42" s="865"/>
      <c r="BP42" s="865"/>
      <c r="BQ42" s="865"/>
      <c r="BR42" s="865"/>
      <c r="BS42" s="865"/>
      <c r="BT42" s="865"/>
      <c r="BU42" s="865"/>
      <c r="BV42" s="865"/>
      <c r="BW42" s="865"/>
      <c r="BX42" s="865"/>
      <c r="BY42" s="865"/>
      <c r="BZ42" s="865"/>
      <c r="CA42" s="865"/>
      <c r="CB42" s="865"/>
    </row>
    <row r="43" spans="1:80" ht="14.25" thickTop="1" thickBot="1">
      <c r="A43" s="671">
        <v>24</v>
      </c>
      <c r="B43" s="672">
        <v>3</v>
      </c>
      <c r="C43" s="659" t="s">
        <v>803</v>
      </c>
      <c r="D43" s="1151">
        <v>2.1999999999999999E-2</v>
      </c>
      <c r="E43" s="481"/>
      <c r="F43" s="661">
        <v>0.1628</v>
      </c>
      <c r="G43" s="483">
        <f t="shared" ref="G43:G59" si="5">IF($D43&gt;0,$D43,"")</f>
        <v>2.1999999999999999E-2</v>
      </c>
      <c r="H43" s="483"/>
      <c r="I43" s="661">
        <v>0.15440000000000001</v>
      </c>
      <c r="J43" s="851">
        <f t="shared" ref="J43:J59" si="6">IF($D43&gt;0,$D43,"")</f>
        <v>2.1999999999999999E-2</v>
      </c>
      <c r="K43" s="851"/>
      <c r="L43" s="863">
        <v>0.13769999999999999</v>
      </c>
      <c r="M43" s="487">
        <f t="shared" ref="M43:M59" si="7">IF($D43&gt;0,$D43,"")</f>
        <v>2.1999999999999999E-2</v>
      </c>
      <c r="N43" s="487"/>
      <c r="O43" s="666">
        <v>0.11269999999999999</v>
      </c>
      <c r="P43" s="468"/>
      <c r="Q43" s="895"/>
      <c r="R43" s="468"/>
      <c r="S43" s="489">
        <f t="shared" ref="S43:S59" si="8">IF($D43&gt;0,$D43,"")</f>
        <v>2.1999999999999999E-2</v>
      </c>
      <c r="T43" s="476"/>
      <c r="U43" s="668">
        <v>0.11269999999999999</v>
      </c>
      <c r="V43" s="468"/>
      <c r="W43" s="491"/>
      <c r="X43" s="613"/>
      <c r="Y43" s="468"/>
      <c r="Z43" s="907">
        <v>10000</v>
      </c>
      <c r="AA43" s="499">
        <v>10000</v>
      </c>
      <c r="AB43" s="500">
        <v>0.2</v>
      </c>
      <c r="AC43" s="496"/>
      <c r="AD43" s="497"/>
      <c r="AE43" s="496"/>
      <c r="AF43" s="497"/>
      <c r="AG43" s="496"/>
      <c r="AH43" s="497"/>
      <c r="AI43" s="496"/>
      <c r="AJ43" s="497"/>
      <c r="AK43" s="206"/>
      <c r="AL43" s="642">
        <v>100</v>
      </c>
      <c r="AM43" s="642">
        <v>90</v>
      </c>
      <c r="AN43" s="206"/>
      <c r="AO43" s="640"/>
      <c r="AP43" s="1055"/>
      <c r="AQ43" s="658"/>
      <c r="AR43" s="206"/>
      <c r="AS43" s="499">
        <v>10000</v>
      </c>
      <c r="AT43" s="499">
        <v>100</v>
      </c>
      <c r="AU43" s="499">
        <v>10</v>
      </c>
      <c r="AV43" s="499">
        <v>10000</v>
      </c>
      <c r="AW43" s="206"/>
      <c r="AX43" s="1280">
        <v>10</v>
      </c>
      <c r="AY43" s="1281"/>
      <c r="AZ43" s="1282">
        <v>40</v>
      </c>
      <c r="BA43" s="1281"/>
      <c r="BB43" s="1283">
        <v>1000</v>
      </c>
      <c r="BC43" s="1281"/>
      <c r="BD43" s="1349">
        <v>10000</v>
      </c>
      <c r="BE43" s="1281"/>
      <c r="BF43" s="206"/>
      <c r="BG43" s="206"/>
      <c r="BH43" s="206"/>
      <c r="BI43" s="206"/>
      <c r="BJ43" s="206"/>
      <c r="BK43" s="865"/>
      <c r="BL43" s="865"/>
      <c r="BM43" s="865"/>
      <c r="BN43" s="865"/>
      <c r="BO43" s="865"/>
      <c r="BP43" s="865"/>
      <c r="BQ43" s="865"/>
      <c r="BR43" s="865"/>
      <c r="BS43" s="865"/>
      <c r="BT43" s="865"/>
      <c r="BU43" s="865"/>
      <c r="BV43" s="865"/>
      <c r="BW43" s="865"/>
      <c r="BX43" s="865"/>
      <c r="BY43" s="865"/>
      <c r="BZ43" s="865"/>
      <c r="CA43" s="865"/>
      <c r="CB43" s="865"/>
    </row>
    <row r="44" spans="1:80" ht="14.25" thickTop="1" thickBot="1">
      <c r="A44" s="673">
        <v>25</v>
      </c>
      <c r="B44" s="674">
        <v>4</v>
      </c>
      <c r="C44" s="659" t="s">
        <v>804</v>
      </c>
      <c r="D44" s="1151">
        <v>2.1999999999999999E-2</v>
      </c>
      <c r="E44" s="481"/>
      <c r="F44" s="661">
        <v>0.15920000000000001</v>
      </c>
      <c r="G44" s="483">
        <f t="shared" si="5"/>
        <v>2.1999999999999999E-2</v>
      </c>
      <c r="H44" s="483"/>
      <c r="I44" s="661">
        <v>0.151</v>
      </c>
      <c r="J44" s="851">
        <f t="shared" si="6"/>
        <v>2.1999999999999999E-2</v>
      </c>
      <c r="K44" s="851"/>
      <c r="L44" s="863">
        <v>0.13469999999999999</v>
      </c>
      <c r="M44" s="487">
        <f t="shared" si="7"/>
        <v>2.1999999999999999E-2</v>
      </c>
      <c r="N44" s="487"/>
      <c r="O44" s="666">
        <v>0.11020000000000001</v>
      </c>
      <c r="P44" s="468"/>
      <c r="Q44" s="895"/>
      <c r="R44" s="468"/>
      <c r="S44" s="489">
        <f t="shared" si="8"/>
        <v>2.1999999999999999E-2</v>
      </c>
      <c r="T44" s="476"/>
      <c r="U44" s="668">
        <v>0.11020000000000001</v>
      </c>
      <c r="V44" s="468"/>
      <c r="W44" s="491"/>
      <c r="X44" s="613"/>
      <c r="Y44" s="468"/>
      <c r="Z44" s="907">
        <v>10000</v>
      </c>
      <c r="AA44" s="499">
        <v>10000</v>
      </c>
      <c r="AB44" s="500">
        <v>0.2</v>
      </c>
      <c r="AC44" s="496"/>
      <c r="AD44" s="497"/>
      <c r="AE44" s="496"/>
      <c r="AF44" s="497"/>
      <c r="AG44" s="496"/>
      <c r="AH44" s="497"/>
      <c r="AI44" s="496"/>
      <c r="AJ44" s="497"/>
      <c r="AK44" s="206"/>
      <c r="AL44" s="642">
        <v>100</v>
      </c>
      <c r="AM44" s="642">
        <v>90</v>
      </c>
      <c r="AN44" s="206"/>
      <c r="AO44" s="640"/>
      <c r="AP44" s="1055"/>
      <c r="AQ44" s="658"/>
      <c r="AR44" s="206"/>
      <c r="AS44" s="499">
        <v>10000</v>
      </c>
      <c r="AT44" s="499">
        <v>100</v>
      </c>
      <c r="AU44" s="499">
        <v>10</v>
      </c>
      <c r="AV44" s="499">
        <v>10000</v>
      </c>
      <c r="AW44" s="206"/>
      <c r="AX44" s="1280">
        <v>10</v>
      </c>
      <c r="AY44" s="1281"/>
      <c r="AZ44" s="1282">
        <v>40</v>
      </c>
      <c r="BA44" s="1281"/>
      <c r="BB44" s="1283">
        <v>1000</v>
      </c>
      <c r="BC44" s="1281"/>
      <c r="BD44" s="1349">
        <v>10000</v>
      </c>
      <c r="BE44" s="1281"/>
      <c r="BF44" s="206"/>
      <c r="BG44" s="206"/>
      <c r="BH44" s="206"/>
      <c r="BI44" s="206"/>
      <c r="BJ44" s="206"/>
      <c r="BK44" s="865"/>
      <c r="BL44" s="865"/>
      <c r="BM44" s="865"/>
      <c r="BN44" s="865"/>
      <c r="BO44" s="865"/>
      <c r="BP44" s="865"/>
      <c r="BQ44" s="865"/>
      <c r="BR44" s="865"/>
      <c r="BS44" s="865"/>
      <c r="BT44" s="865"/>
      <c r="BU44" s="865"/>
      <c r="BV44" s="865"/>
      <c r="BW44" s="865"/>
      <c r="BX44" s="865"/>
      <c r="BY44" s="865"/>
      <c r="BZ44" s="865"/>
      <c r="CA44" s="865"/>
      <c r="CB44" s="865"/>
    </row>
    <row r="45" spans="1:80" ht="14.25" thickTop="1" thickBot="1">
      <c r="A45" s="671">
        <v>26</v>
      </c>
      <c r="B45" s="672">
        <v>5</v>
      </c>
      <c r="C45" s="659" t="s">
        <v>805</v>
      </c>
      <c r="D45" s="1151">
        <v>1.7999999999999999E-2</v>
      </c>
      <c r="E45" s="481"/>
      <c r="F45" s="661">
        <v>0.15629999999999999</v>
      </c>
      <c r="G45" s="483">
        <f t="shared" si="5"/>
        <v>1.7999999999999999E-2</v>
      </c>
      <c r="H45" s="483"/>
      <c r="I45" s="661">
        <v>0.14829999999999999</v>
      </c>
      <c r="J45" s="851">
        <f t="shared" si="6"/>
        <v>1.7999999999999999E-2</v>
      </c>
      <c r="K45" s="851"/>
      <c r="L45" s="863">
        <v>0.1323</v>
      </c>
      <c r="M45" s="487">
        <f t="shared" si="7"/>
        <v>1.7999999999999999E-2</v>
      </c>
      <c r="N45" s="487"/>
      <c r="O45" s="666">
        <v>0.1082</v>
      </c>
      <c r="P45" s="468"/>
      <c r="Q45" s="895"/>
      <c r="R45" s="468"/>
      <c r="S45" s="489">
        <f t="shared" si="8"/>
        <v>1.7999999999999999E-2</v>
      </c>
      <c r="T45" s="476"/>
      <c r="U45" s="666">
        <v>0.1082</v>
      </c>
      <c r="V45" s="468"/>
      <c r="W45" s="491"/>
      <c r="X45" s="613"/>
      <c r="Y45" s="468"/>
      <c r="Z45" s="907">
        <v>10000</v>
      </c>
      <c r="AA45" s="499">
        <v>10000</v>
      </c>
      <c r="AB45" s="500">
        <v>0.2</v>
      </c>
      <c r="AC45" s="496"/>
      <c r="AD45" s="497"/>
      <c r="AE45" s="496"/>
      <c r="AF45" s="497"/>
      <c r="AG45" s="496"/>
      <c r="AH45" s="497"/>
      <c r="AI45" s="496"/>
      <c r="AJ45" s="497"/>
      <c r="AK45" s="206"/>
      <c r="AL45" s="642">
        <v>100</v>
      </c>
      <c r="AM45" s="642">
        <v>90</v>
      </c>
      <c r="AN45" s="206"/>
      <c r="AO45" s="640"/>
      <c r="AP45" s="1055"/>
      <c r="AQ45" s="658"/>
      <c r="AR45" s="206"/>
      <c r="AS45" s="499">
        <v>10000</v>
      </c>
      <c r="AT45" s="499">
        <v>100</v>
      </c>
      <c r="AU45" s="499">
        <v>10</v>
      </c>
      <c r="AV45" s="499">
        <v>10000</v>
      </c>
      <c r="AW45" s="206"/>
      <c r="AX45" s="1280">
        <v>10</v>
      </c>
      <c r="AY45" s="1281"/>
      <c r="AZ45" s="1282">
        <v>40</v>
      </c>
      <c r="BA45" s="1281"/>
      <c r="BB45" s="1283">
        <v>1000</v>
      </c>
      <c r="BC45" s="1281"/>
      <c r="BD45" s="1349">
        <v>10000</v>
      </c>
      <c r="BE45" s="1281"/>
      <c r="BF45" s="206"/>
      <c r="BG45" s="206"/>
      <c r="BH45" s="206"/>
      <c r="BI45" s="206"/>
      <c r="BJ45" s="206"/>
      <c r="BK45" s="865"/>
      <c r="BL45" s="865"/>
      <c r="BM45" s="865"/>
      <c r="BN45" s="865"/>
      <c r="BO45" s="865"/>
      <c r="BP45" s="865"/>
      <c r="BQ45" s="865"/>
      <c r="BR45" s="865"/>
      <c r="BS45" s="865"/>
      <c r="BT45" s="865"/>
      <c r="BU45" s="865"/>
      <c r="BV45" s="865"/>
      <c r="BW45" s="865"/>
      <c r="BX45" s="865"/>
      <c r="BY45" s="865"/>
      <c r="BZ45" s="865"/>
      <c r="CA45" s="865"/>
      <c r="CB45" s="865"/>
    </row>
    <row r="46" spans="1:80" ht="14.25" thickTop="1" thickBot="1">
      <c r="A46" s="673">
        <v>27</v>
      </c>
      <c r="B46" s="674">
        <v>6</v>
      </c>
      <c r="C46" s="659" t="s">
        <v>806</v>
      </c>
      <c r="D46" s="1151">
        <v>1.7999999999999999E-2</v>
      </c>
      <c r="E46" s="481"/>
      <c r="F46" s="661">
        <v>0.1535</v>
      </c>
      <c r="G46" s="483">
        <f t="shared" si="5"/>
        <v>1.7999999999999999E-2</v>
      </c>
      <c r="H46" s="483"/>
      <c r="I46" s="661">
        <v>0.14560000000000001</v>
      </c>
      <c r="J46" s="851">
        <f t="shared" si="6"/>
        <v>1.7999999999999999E-2</v>
      </c>
      <c r="K46" s="851"/>
      <c r="L46" s="863">
        <v>0.12989999999999999</v>
      </c>
      <c r="M46" s="487">
        <f t="shared" si="7"/>
        <v>1.7999999999999999E-2</v>
      </c>
      <c r="N46" s="487"/>
      <c r="O46" s="666">
        <v>0.10630000000000001</v>
      </c>
      <c r="P46" s="468"/>
      <c r="Q46" s="895"/>
      <c r="R46" s="468"/>
      <c r="S46" s="489">
        <f t="shared" si="8"/>
        <v>1.7999999999999999E-2</v>
      </c>
      <c r="T46" s="476"/>
      <c r="U46" s="666">
        <v>0.10630000000000001</v>
      </c>
      <c r="V46" s="468"/>
      <c r="W46" s="491"/>
      <c r="X46" s="613"/>
      <c r="Y46" s="468"/>
      <c r="Z46" s="907">
        <v>10000</v>
      </c>
      <c r="AA46" s="499">
        <v>10000</v>
      </c>
      <c r="AB46" s="500">
        <v>0.2</v>
      </c>
      <c r="AC46" s="496"/>
      <c r="AD46" s="497"/>
      <c r="AE46" s="496"/>
      <c r="AF46" s="497"/>
      <c r="AG46" s="496"/>
      <c r="AH46" s="497"/>
      <c r="AI46" s="496"/>
      <c r="AJ46" s="497"/>
      <c r="AK46" s="206"/>
      <c r="AL46" s="642">
        <v>100</v>
      </c>
      <c r="AM46" s="642">
        <v>90</v>
      </c>
      <c r="AN46" s="206"/>
      <c r="AO46" s="640"/>
      <c r="AP46" s="1055"/>
      <c r="AQ46" s="658"/>
      <c r="AR46" s="206"/>
      <c r="AS46" s="499">
        <v>10000</v>
      </c>
      <c r="AT46" s="499">
        <v>100</v>
      </c>
      <c r="AU46" s="499">
        <v>10</v>
      </c>
      <c r="AV46" s="499">
        <v>10000</v>
      </c>
      <c r="AW46" s="206"/>
      <c r="AX46" s="1280">
        <v>10</v>
      </c>
      <c r="AY46" s="1281"/>
      <c r="AZ46" s="1282">
        <v>40</v>
      </c>
      <c r="BA46" s="1281"/>
      <c r="BB46" s="1283">
        <v>1000</v>
      </c>
      <c r="BC46" s="1281"/>
      <c r="BD46" s="1349">
        <v>10000</v>
      </c>
      <c r="BE46" s="1281"/>
      <c r="BF46" s="206"/>
      <c r="BG46" s="206"/>
      <c r="BH46" s="206"/>
      <c r="BI46" s="206"/>
      <c r="BJ46" s="206"/>
      <c r="BK46" s="865"/>
      <c r="BL46" s="865"/>
      <c r="BM46" s="865"/>
      <c r="BN46" s="865"/>
      <c r="BO46" s="865"/>
      <c r="BP46" s="865"/>
      <c r="BQ46" s="865"/>
      <c r="BR46" s="865"/>
      <c r="BS46" s="865"/>
      <c r="BT46" s="865"/>
      <c r="BU46" s="865"/>
      <c r="BV46" s="865"/>
      <c r="BW46" s="865"/>
      <c r="BX46" s="865"/>
      <c r="BY46" s="865"/>
      <c r="BZ46" s="865"/>
      <c r="CA46" s="865"/>
      <c r="CB46" s="865"/>
    </row>
    <row r="47" spans="1:80" ht="14.25" thickTop="1" thickBot="1">
      <c r="A47" s="671">
        <v>28</v>
      </c>
      <c r="B47" s="672">
        <v>7</v>
      </c>
      <c r="C47" s="659" t="s">
        <v>807</v>
      </c>
      <c r="D47" s="1151">
        <v>1.7999999999999999E-2</v>
      </c>
      <c r="E47" s="481"/>
      <c r="F47" s="661">
        <v>0.1507</v>
      </c>
      <c r="G47" s="483">
        <f t="shared" si="5"/>
        <v>1.7999999999999999E-2</v>
      </c>
      <c r="H47" s="483"/>
      <c r="I47" s="661">
        <v>0.14299999999999999</v>
      </c>
      <c r="J47" s="851">
        <f t="shared" si="6"/>
        <v>1.7999999999999999E-2</v>
      </c>
      <c r="K47" s="851"/>
      <c r="L47" s="863">
        <v>0.1275</v>
      </c>
      <c r="M47" s="487">
        <f t="shared" si="7"/>
        <v>1.7999999999999999E-2</v>
      </c>
      <c r="N47" s="487"/>
      <c r="O47" s="666">
        <v>0.10440000000000001</v>
      </c>
      <c r="P47" s="468"/>
      <c r="Q47" s="895"/>
      <c r="R47" s="468"/>
      <c r="S47" s="489">
        <f t="shared" si="8"/>
        <v>1.7999999999999999E-2</v>
      </c>
      <c r="T47" s="476"/>
      <c r="U47" s="666">
        <v>0.10440000000000001</v>
      </c>
      <c r="V47" s="468"/>
      <c r="W47" s="491"/>
      <c r="X47" s="613"/>
      <c r="Y47" s="468"/>
      <c r="Z47" s="907">
        <v>10000</v>
      </c>
      <c r="AA47" s="499">
        <v>10000</v>
      </c>
      <c r="AB47" s="500">
        <v>0.2</v>
      </c>
      <c r="AC47" s="496"/>
      <c r="AD47" s="497"/>
      <c r="AE47" s="496"/>
      <c r="AF47" s="497"/>
      <c r="AG47" s="496"/>
      <c r="AH47" s="497"/>
      <c r="AI47" s="496"/>
      <c r="AJ47" s="497"/>
      <c r="AK47" s="206"/>
      <c r="AL47" s="642">
        <v>100</v>
      </c>
      <c r="AM47" s="642">
        <v>90</v>
      </c>
      <c r="AN47" s="206"/>
      <c r="AO47" s="640"/>
      <c r="AP47" s="1055"/>
      <c r="AQ47" s="658"/>
      <c r="AR47" s="206"/>
      <c r="AS47" s="499">
        <v>10000</v>
      </c>
      <c r="AT47" s="499">
        <v>100</v>
      </c>
      <c r="AU47" s="499">
        <v>10</v>
      </c>
      <c r="AV47" s="499">
        <v>10000</v>
      </c>
      <c r="AW47" s="206"/>
      <c r="AX47" s="1280">
        <v>10</v>
      </c>
      <c r="AY47" s="1281"/>
      <c r="AZ47" s="1282">
        <v>40</v>
      </c>
      <c r="BA47" s="1281"/>
      <c r="BB47" s="1283">
        <v>1000</v>
      </c>
      <c r="BC47" s="1281"/>
      <c r="BD47" s="1349">
        <v>10000</v>
      </c>
      <c r="BE47" s="1281"/>
      <c r="BF47" s="206"/>
      <c r="BG47" s="206"/>
      <c r="BH47" s="206"/>
      <c r="BI47" s="206"/>
      <c r="BJ47" s="206"/>
      <c r="BK47" s="865"/>
      <c r="BL47" s="865"/>
      <c r="BM47" s="865"/>
      <c r="BN47" s="865"/>
      <c r="BO47" s="865"/>
      <c r="BP47" s="865"/>
      <c r="BQ47" s="865"/>
      <c r="BR47" s="865"/>
      <c r="BS47" s="865"/>
      <c r="BT47" s="865"/>
      <c r="BU47" s="865"/>
      <c r="BV47" s="865"/>
      <c r="BW47" s="865"/>
      <c r="BX47" s="865"/>
      <c r="BY47" s="865"/>
      <c r="BZ47" s="865"/>
      <c r="CA47" s="865"/>
      <c r="CB47" s="865"/>
    </row>
    <row r="48" spans="1:80" ht="14.25" thickTop="1" thickBot="1">
      <c r="A48" s="673">
        <v>29</v>
      </c>
      <c r="B48" s="674">
        <v>8</v>
      </c>
      <c r="C48" s="659" t="s">
        <v>808</v>
      </c>
      <c r="D48" s="1151">
        <v>1.7999999999999999E-2</v>
      </c>
      <c r="E48" s="481"/>
      <c r="F48" s="661">
        <v>0.14799999999999999</v>
      </c>
      <c r="G48" s="483">
        <f t="shared" si="5"/>
        <v>1.7999999999999999E-2</v>
      </c>
      <c r="H48" s="483"/>
      <c r="I48" s="661">
        <v>0.1404</v>
      </c>
      <c r="J48" s="851">
        <f t="shared" si="6"/>
        <v>1.7999999999999999E-2</v>
      </c>
      <c r="K48" s="851"/>
      <c r="L48" s="863">
        <v>0.12520000000000001</v>
      </c>
      <c r="M48" s="487">
        <f t="shared" si="7"/>
        <v>1.7999999999999999E-2</v>
      </c>
      <c r="N48" s="487"/>
      <c r="O48" s="666">
        <v>0.10249999999999999</v>
      </c>
      <c r="P48" s="468"/>
      <c r="Q48" s="895"/>
      <c r="R48" s="468"/>
      <c r="S48" s="489">
        <f t="shared" si="8"/>
        <v>1.7999999999999999E-2</v>
      </c>
      <c r="T48" s="476"/>
      <c r="U48" s="666">
        <v>0.10249999999999999</v>
      </c>
      <c r="V48" s="468"/>
      <c r="W48" s="491"/>
      <c r="X48" s="613"/>
      <c r="Y48" s="468"/>
      <c r="Z48" s="907">
        <v>10000</v>
      </c>
      <c r="AA48" s="499">
        <v>10000</v>
      </c>
      <c r="AB48" s="500">
        <v>0.2</v>
      </c>
      <c r="AC48" s="496"/>
      <c r="AD48" s="497"/>
      <c r="AE48" s="496"/>
      <c r="AF48" s="497"/>
      <c r="AG48" s="496"/>
      <c r="AH48" s="497"/>
      <c r="AI48" s="496"/>
      <c r="AJ48" s="497"/>
      <c r="AK48" s="206"/>
      <c r="AL48" s="642">
        <v>100</v>
      </c>
      <c r="AM48" s="642">
        <v>90</v>
      </c>
      <c r="AN48" s="206"/>
      <c r="AO48" s="640"/>
      <c r="AP48" s="1055"/>
      <c r="AQ48" s="658"/>
      <c r="AR48" s="206"/>
      <c r="AS48" s="499">
        <v>10000</v>
      </c>
      <c r="AT48" s="499">
        <v>100</v>
      </c>
      <c r="AU48" s="499">
        <v>10</v>
      </c>
      <c r="AV48" s="499">
        <v>10000</v>
      </c>
      <c r="AW48" s="206"/>
      <c r="AX48" s="1280">
        <v>10</v>
      </c>
      <c r="AY48" s="1281"/>
      <c r="AZ48" s="1282">
        <v>40</v>
      </c>
      <c r="BA48" s="1281"/>
      <c r="BB48" s="1283">
        <v>1000</v>
      </c>
      <c r="BC48" s="1281"/>
      <c r="BD48" s="1349">
        <v>10000</v>
      </c>
      <c r="BE48" s="1281"/>
      <c r="BF48" s="206"/>
      <c r="BG48" s="206"/>
      <c r="BH48" s="206"/>
      <c r="BI48" s="206"/>
      <c r="BJ48" s="206"/>
      <c r="BK48" s="865"/>
      <c r="BL48" s="865"/>
      <c r="BM48" s="865"/>
      <c r="BN48" s="865"/>
      <c r="BO48" s="865"/>
      <c r="BP48" s="865"/>
      <c r="BQ48" s="865"/>
      <c r="BR48" s="865"/>
      <c r="BS48" s="865"/>
      <c r="BT48" s="865"/>
      <c r="BU48" s="865"/>
      <c r="BV48" s="865"/>
      <c r="BW48" s="865"/>
      <c r="BX48" s="865"/>
      <c r="BY48" s="865"/>
      <c r="BZ48" s="865"/>
      <c r="CA48" s="865"/>
      <c r="CB48" s="865"/>
    </row>
    <row r="49" spans="1:80" ht="14.25" thickTop="1" thickBot="1">
      <c r="A49" s="671">
        <v>30</v>
      </c>
      <c r="B49" s="672">
        <v>9</v>
      </c>
      <c r="C49" s="659" t="s">
        <v>809</v>
      </c>
      <c r="D49" s="1151">
        <v>1.7999999999999999E-2</v>
      </c>
      <c r="E49" s="481"/>
      <c r="F49" s="661">
        <v>0.1454</v>
      </c>
      <c r="G49" s="483">
        <f t="shared" si="5"/>
        <v>1.7999999999999999E-2</v>
      </c>
      <c r="H49" s="483"/>
      <c r="I49" s="661">
        <v>0.13789999999999999</v>
      </c>
      <c r="J49" s="851">
        <f t="shared" si="6"/>
        <v>1.7999999999999999E-2</v>
      </c>
      <c r="K49" s="851"/>
      <c r="L49" s="863">
        <v>0.123</v>
      </c>
      <c r="M49" s="487">
        <f t="shared" si="7"/>
        <v>1.7999999999999999E-2</v>
      </c>
      <c r="N49" s="487"/>
      <c r="O49" s="666">
        <v>0.10059999999999999</v>
      </c>
      <c r="P49" s="468"/>
      <c r="Q49" s="895"/>
      <c r="R49" s="468"/>
      <c r="S49" s="489">
        <f t="shared" si="8"/>
        <v>1.7999999999999999E-2</v>
      </c>
      <c r="T49" s="476"/>
      <c r="U49" s="666">
        <v>0.10059999999999999</v>
      </c>
      <c r="V49" s="468"/>
      <c r="W49" s="491"/>
      <c r="X49" s="613"/>
      <c r="Y49" s="468"/>
      <c r="Z49" s="907">
        <v>10000</v>
      </c>
      <c r="AA49" s="499">
        <v>10000</v>
      </c>
      <c r="AB49" s="500">
        <v>0.2</v>
      </c>
      <c r="AC49" s="496"/>
      <c r="AD49" s="497"/>
      <c r="AE49" s="496"/>
      <c r="AF49" s="497"/>
      <c r="AG49" s="496"/>
      <c r="AH49" s="497"/>
      <c r="AI49" s="496"/>
      <c r="AJ49" s="497"/>
      <c r="AK49" s="206"/>
      <c r="AL49" s="642">
        <v>100</v>
      </c>
      <c r="AM49" s="642">
        <v>90</v>
      </c>
      <c r="AN49" s="206"/>
      <c r="AO49" s="640"/>
      <c r="AP49" s="1055"/>
      <c r="AQ49" s="658"/>
      <c r="AR49" s="206"/>
      <c r="AS49" s="499">
        <v>10000</v>
      </c>
      <c r="AT49" s="499">
        <v>100</v>
      </c>
      <c r="AU49" s="499">
        <v>10</v>
      </c>
      <c r="AV49" s="499">
        <v>10000</v>
      </c>
      <c r="AW49" s="206"/>
      <c r="AX49" s="1280">
        <v>10</v>
      </c>
      <c r="AY49" s="1281"/>
      <c r="AZ49" s="1282">
        <v>40</v>
      </c>
      <c r="BA49" s="1281"/>
      <c r="BB49" s="1283">
        <v>1000</v>
      </c>
      <c r="BC49" s="1281"/>
      <c r="BD49" s="1349">
        <v>10000</v>
      </c>
      <c r="BE49" s="1281"/>
      <c r="BF49" s="206"/>
      <c r="BG49" s="206"/>
      <c r="BH49" s="206"/>
      <c r="BI49" s="206"/>
      <c r="BJ49" s="206"/>
      <c r="BK49" s="865"/>
      <c r="BL49" s="865"/>
      <c r="BM49" s="865"/>
      <c r="BN49" s="865"/>
      <c r="BO49" s="865"/>
      <c r="BP49" s="865"/>
      <c r="BQ49" s="865"/>
      <c r="BR49" s="865"/>
      <c r="BS49" s="865"/>
      <c r="BT49" s="865"/>
      <c r="BU49" s="865"/>
      <c r="BV49" s="865"/>
      <c r="BW49" s="865"/>
      <c r="BX49" s="865"/>
      <c r="BY49" s="865"/>
      <c r="BZ49" s="865"/>
      <c r="CA49" s="865"/>
      <c r="CB49" s="865"/>
    </row>
    <row r="50" spans="1:80" ht="14.25" thickTop="1" thickBot="1">
      <c r="A50" s="673">
        <v>31</v>
      </c>
      <c r="B50" s="674">
        <v>10</v>
      </c>
      <c r="C50" s="659" t="s">
        <v>810</v>
      </c>
      <c r="D50" s="1151">
        <v>1.7999999999999999E-2</v>
      </c>
      <c r="E50" s="481"/>
      <c r="F50" s="661">
        <v>0.14269999999999999</v>
      </c>
      <c r="G50" s="483">
        <f t="shared" si="5"/>
        <v>1.7999999999999999E-2</v>
      </c>
      <c r="H50" s="483"/>
      <c r="I50" s="661">
        <v>0.13539999999999999</v>
      </c>
      <c r="J50" s="851">
        <f t="shared" si="6"/>
        <v>1.7999999999999999E-2</v>
      </c>
      <c r="K50" s="851"/>
      <c r="L50" s="863">
        <v>0.1208</v>
      </c>
      <c r="M50" s="487">
        <f t="shared" si="7"/>
        <v>1.7999999999999999E-2</v>
      </c>
      <c r="N50" s="487"/>
      <c r="O50" s="666">
        <v>9.8799999999999999E-2</v>
      </c>
      <c r="P50" s="468"/>
      <c r="Q50" s="895"/>
      <c r="R50" s="468"/>
      <c r="S50" s="489">
        <f t="shared" si="8"/>
        <v>1.7999999999999999E-2</v>
      </c>
      <c r="T50" s="476"/>
      <c r="U50" s="666">
        <v>9.8799999999999999E-2</v>
      </c>
      <c r="V50" s="468"/>
      <c r="W50" s="491"/>
      <c r="X50" s="613"/>
      <c r="Y50" s="468"/>
      <c r="Z50" s="907">
        <v>10000</v>
      </c>
      <c r="AA50" s="499">
        <v>10000</v>
      </c>
      <c r="AB50" s="500">
        <v>0.2</v>
      </c>
      <c r="AC50" s="496"/>
      <c r="AD50" s="497"/>
      <c r="AE50" s="496"/>
      <c r="AF50" s="497"/>
      <c r="AG50" s="496"/>
      <c r="AH50" s="497"/>
      <c r="AI50" s="496"/>
      <c r="AJ50" s="497"/>
      <c r="AK50" s="206"/>
      <c r="AL50" s="642">
        <v>100</v>
      </c>
      <c r="AM50" s="642">
        <v>90</v>
      </c>
      <c r="AN50" s="206"/>
      <c r="AO50" s="640"/>
      <c r="AP50" s="1055"/>
      <c r="AQ50" s="658"/>
      <c r="AR50" s="206"/>
      <c r="AS50" s="499">
        <v>10000</v>
      </c>
      <c r="AT50" s="499">
        <v>100</v>
      </c>
      <c r="AU50" s="499">
        <v>10</v>
      </c>
      <c r="AV50" s="499">
        <v>10000</v>
      </c>
      <c r="AW50" s="206"/>
      <c r="AX50" s="1280">
        <v>10</v>
      </c>
      <c r="AY50" s="1281"/>
      <c r="AZ50" s="1282">
        <v>40</v>
      </c>
      <c r="BA50" s="1281"/>
      <c r="BB50" s="1283">
        <v>1000</v>
      </c>
      <c r="BC50" s="1281"/>
      <c r="BD50" s="1349">
        <v>10000</v>
      </c>
      <c r="BE50" s="1281"/>
      <c r="BF50" s="206"/>
      <c r="BG50" s="206"/>
      <c r="BH50" s="206"/>
      <c r="BI50" s="206"/>
      <c r="BJ50" s="206"/>
      <c r="BK50" s="865"/>
      <c r="BL50" s="865"/>
      <c r="BM50" s="865"/>
      <c r="BN50" s="865"/>
      <c r="BO50" s="865"/>
      <c r="BP50" s="865"/>
      <c r="BQ50" s="865"/>
      <c r="BR50" s="865"/>
      <c r="BS50" s="865"/>
      <c r="BT50" s="865"/>
      <c r="BU50" s="865"/>
      <c r="BV50" s="865"/>
      <c r="BW50" s="865"/>
      <c r="BX50" s="865"/>
      <c r="BY50" s="865"/>
      <c r="BZ50" s="865"/>
      <c r="CA50" s="865"/>
      <c r="CB50" s="865"/>
    </row>
    <row r="51" spans="1:80" ht="14.25" thickTop="1" thickBot="1">
      <c r="A51" s="671">
        <v>32</v>
      </c>
      <c r="B51" s="672">
        <v>11</v>
      </c>
      <c r="C51" s="659" t="s">
        <v>814</v>
      </c>
      <c r="D51" s="1151">
        <v>1.4E-2</v>
      </c>
      <c r="E51" s="481"/>
      <c r="F51" s="661">
        <v>0.14069999999999999</v>
      </c>
      <c r="G51" s="483">
        <f t="shared" si="5"/>
        <v>1.4E-2</v>
      </c>
      <c r="H51" s="483"/>
      <c r="I51" s="661">
        <v>0.13350000000000001</v>
      </c>
      <c r="J51" s="851">
        <f t="shared" si="6"/>
        <v>1.4E-2</v>
      </c>
      <c r="K51" s="851"/>
      <c r="L51" s="863">
        <v>0.1191</v>
      </c>
      <c r="M51" s="487">
        <f t="shared" si="7"/>
        <v>1.4E-2</v>
      </c>
      <c r="N51" s="487"/>
      <c r="O51" s="666">
        <v>9.74E-2</v>
      </c>
      <c r="P51" s="468"/>
      <c r="Q51" s="895"/>
      <c r="R51" s="468"/>
      <c r="S51" s="489">
        <f t="shared" si="8"/>
        <v>1.4E-2</v>
      </c>
      <c r="T51" s="476"/>
      <c r="U51" s="666">
        <v>9.74E-2</v>
      </c>
      <c r="V51" s="468"/>
      <c r="W51" s="491"/>
      <c r="X51" s="613"/>
      <c r="Y51" s="468"/>
      <c r="Z51" s="907">
        <v>10000</v>
      </c>
      <c r="AA51" s="499">
        <v>10000</v>
      </c>
      <c r="AB51" s="500">
        <v>0.2</v>
      </c>
      <c r="AC51" s="496"/>
      <c r="AD51" s="497"/>
      <c r="AE51" s="496"/>
      <c r="AF51" s="497"/>
      <c r="AG51" s="496"/>
      <c r="AH51" s="497"/>
      <c r="AI51" s="496"/>
      <c r="AJ51" s="497"/>
      <c r="AK51" s="206"/>
      <c r="AL51" s="642">
        <v>100</v>
      </c>
      <c r="AM51" s="642">
        <v>90</v>
      </c>
      <c r="AN51" s="206"/>
      <c r="AO51" s="640"/>
      <c r="AP51" s="1055"/>
      <c r="AQ51" s="658"/>
      <c r="AR51" s="206"/>
      <c r="AS51" s="499">
        <v>10000</v>
      </c>
      <c r="AT51" s="499">
        <v>100</v>
      </c>
      <c r="AU51" s="499">
        <v>10</v>
      </c>
      <c r="AV51" s="499">
        <v>10000</v>
      </c>
      <c r="AW51" s="206"/>
      <c r="AX51" s="1280">
        <v>10</v>
      </c>
      <c r="AY51" s="1281"/>
      <c r="AZ51" s="1282">
        <v>40</v>
      </c>
      <c r="BA51" s="1281"/>
      <c r="BB51" s="1283">
        <v>1000</v>
      </c>
      <c r="BC51" s="1281"/>
      <c r="BD51" s="1349">
        <v>10000</v>
      </c>
      <c r="BE51" s="1281"/>
      <c r="BF51" s="206"/>
      <c r="BG51" s="206"/>
      <c r="BH51" s="206"/>
      <c r="BI51" s="206"/>
      <c r="BJ51" s="206"/>
      <c r="BK51" s="865"/>
      <c r="BL51" s="865"/>
      <c r="BM51" s="865"/>
      <c r="BN51" s="865"/>
      <c r="BO51" s="865"/>
      <c r="BP51" s="865"/>
      <c r="BQ51" s="865"/>
      <c r="BR51" s="865"/>
      <c r="BS51" s="865"/>
      <c r="BT51" s="865"/>
      <c r="BU51" s="865"/>
      <c r="BV51" s="865"/>
      <c r="BW51" s="865"/>
      <c r="BX51" s="865"/>
      <c r="BY51" s="865"/>
      <c r="BZ51" s="865"/>
      <c r="CA51" s="865"/>
      <c r="CB51" s="865"/>
    </row>
    <row r="52" spans="1:80" ht="14.25" thickTop="1" thickBot="1">
      <c r="A52" s="673">
        <v>33</v>
      </c>
      <c r="B52" s="674">
        <v>12</v>
      </c>
      <c r="C52" s="659" t="s">
        <v>815</v>
      </c>
      <c r="D52" s="1151">
        <v>1.4E-2</v>
      </c>
      <c r="E52" s="481"/>
      <c r="F52" s="661">
        <v>0.13880000000000001</v>
      </c>
      <c r="G52" s="483">
        <f t="shared" si="5"/>
        <v>1.4E-2</v>
      </c>
      <c r="H52" s="483"/>
      <c r="I52" s="661">
        <v>0.13170000000000001</v>
      </c>
      <c r="J52" s="851">
        <f t="shared" si="6"/>
        <v>1.4E-2</v>
      </c>
      <c r="K52" s="851"/>
      <c r="L52" s="863">
        <v>0.1174</v>
      </c>
      <c r="M52" s="487">
        <f t="shared" si="7"/>
        <v>1.4E-2</v>
      </c>
      <c r="N52" s="487"/>
      <c r="O52" s="666">
        <v>9.6100000000000005E-2</v>
      </c>
      <c r="P52" s="468"/>
      <c r="Q52" s="895"/>
      <c r="R52" s="468"/>
      <c r="S52" s="489">
        <f t="shared" si="8"/>
        <v>1.4E-2</v>
      </c>
      <c r="T52" s="476"/>
      <c r="U52" s="666">
        <v>9.6100000000000005E-2</v>
      </c>
      <c r="V52" s="468"/>
      <c r="W52" s="491"/>
      <c r="X52" s="505"/>
      <c r="Y52" s="468"/>
      <c r="Z52" s="907">
        <v>10000</v>
      </c>
      <c r="AA52" s="499">
        <v>10000</v>
      </c>
      <c r="AB52" s="500">
        <v>0.2</v>
      </c>
      <c r="AC52" s="496"/>
      <c r="AD52" s="497"/>
      <c r="AE52" s="496"/>
      <c r="AF52" s="497"/>
      <c r="AG52" s="496"/>
      <c r="AH52" s="497"/>
      <c r="AI52" s="496"/>
      <c r="AJ52" s="497"/>
      <c r="AK52" s="206"/>
      <c r="AL52" s="642">
        <v>100</v>
      </c>
      <c r="AM52" s="642">
        <v>90</v>
      </c>
      <c r="AN52" s="206"/>
      <c r="AO52" s="640"/>
      <c r="AP52" s="1055"/>
      <c r="AQ52" s="658"/>
      <c r="AR52" s="206"/>
      <c r="AS52" s="499">
        <v>10000</v>
      </c>
      <c r="AT52" s="499">
        <v>100</v>
      </c>
      <c r="AU52" s="499">
        <v>10</v>
      </c>
      <c r="AV52" s="499">
        <v>10000</v>
      </c>
      <c r="AW52" s="206"/>
      <c r="AX52" s="1280">
        <v>10</v>
      </c>
      <c r="AY52" s="1281"/>
      <c r="AZ52" s="1282">
        <v>40</v>
      </c>
      <c r="BA52" s="1281"/>
      <c r="BB52" s="1283">
        <v>1000</v>
      </c>
      <c r="BC52" s="1281"/>
      <c r="BD52" s="1349">
        <v>10000</v>
      </c>
      <c r="BE52" s="1281"/>
      <c r="BF52" s="206"/>
      <c r="BG52" s="206"/>
      <c r="BH52" s="206"/>
      <c r="BI52" s="206"/>
      <c r="BJ52" s="206"/>
      <c r="BK52" s="865"/>
      <c r="BL52" s="865"/>
      <c r="BM52" s="865"/>
      <c r="BN52" s="865"/>
      <c r="BO52" s="865"/>
      <c r="BP52" s="865"/>
      <c r="BQ52" s="865"/>
      <c r="BR52" s="865"/>
      <c r="BS52" s="865"/>
      <c r="BT52" s="865"/>
      <c r="BU52" s="865"/>
      <c r="BV52" s="865"/>
      <c r="BW52" s="865"/>
      <c r="BX52" s="865"/>
      <c r="BY52" s="865"/>
      <c r="BZ52" s="865"/>
      <c r="CA52" s="865"/>
      <c r="CB52" s="865"/>
    </row>
    <row r="53" spans="1:80" ht="14.25" thickTop="1" thickBot="1">
      <c r="A53" s="671">
        <v>34</v>
      </c>
      <c r="B53" s="672">
        <v>1</v>
      </c>
      <c r="C53" s="659" t="s">
        <v>816</v>
      </c>
      <c r="D53" s="1151">
        <v>1.4E-2</v>
      </c>
      <c r="E53" s="481"/>
      <c r="F53" s="661">
        <v>0.1368</v>
      </c>
      <c r="G53" s="483">
        <f t="shared" si="5"/>
        <v>1.4E-2</v>
      </c>
      <c r="H53" s="483"/>
      <c r="I53" s="661">
        <v>0.1298</v>
      </c>
      <c r="J53" s="851">
        <f t="shared" si="6"/>
        <v>1.4E-2</v>
      </c>
      <c r="K53" s="851"/>
      <c r="L53" s="863">
        <v>0.1158</v>
      </c>
      <c r="M53" s="487">
        <f t="shared" si="7"/>
        <v>1.4E-2</v>
      </c>
      <c r="N53" s="487"/>
      <c r="O53" s="666">
        <v>9.4700000000000006E-2</v>
      </c>
      <c r="P53" s="468"/>
      <c r="Q53" s="895"/>
      <c r="R53" s="468"/>
      <c r="S53" s="489">
        <f t="shared" si="8"/>
        <v>1.4E-2</v>
      </c>
      <c r="T53" s="476"/>
      <c r="U53" s="666">
        <v>9.4700000000000006E-2</v>
      </c>
      <c r="V53" s="468"/>
      <c r="W53" s="491"/>
      <c r="X53" s="505"/>
      <c r="Y53" s="468"/>
      <c r="Z53" s="907">
        <v>10000</v>
      </c>
      <c r="AA53" s="499">
        <v>10000</v>
      </c>
      <c r="AB53" s="500">
        <v>0.2</v>
      </c>
      <c r="AC53" s="496"/>
      <c r="AD53" s="497"/>
      <c r="AE53" s="496"/>
      <c r="AF53" s="497"/>
      <c r="AG53" s="496"/>
      <c r="AH53" s="497"/>
      <c r="AI53" s="496"/>
      <c r="AJ53" s="497"/>
      <c r="AK53" s="206"/>
      <c r="AL53" s="642">
        <v>100</v>
      </c>
      <c r="AM53" s="642">
        <v>90</v>
      </c>
      <c r="AN53" s="206"/>
      <c r="AO53" s="640"/>
      <c r="AP53" s="1055"/>
      <c r="AQ53" s="658"/>
      <c r="AR53" s="206"/>
      <c r="AS53" s="499">
        <v>10000</v>
      </c>
      <c r="AT53" s="499">
        <v>100</v>
      </c>
      <c r="AU53" s="499">
        <v>10</v>
      </c>
      <c r="AV53" s="499">
        <v>10000</v>
      </c>
      <c r="AW53" s="206"/>
      <c r="AX53" s="1280">
        <v>10</v>
      </c>
      <c r="AY53" s="1281"/>
      <c r="AZ53" s="1282">
        <v>40</v>
      </c>
      <c r="BA53" s="1281"/>
      <c r="BB53" s="1283">
        <v>1000</v>
      </c>
      <c r="BC53" s="1281"/>
      <c r="BD53" s="1349">
        <v>10000</v>
      </c>
      <c r="BE53" s="1281"/>
      <c r="BF53" s="206"/>
      <c r="BG53" s="206"/>
      <c r="BH53" s="206"/>
      <c r="BI53" s="206"/>
      <c r="BJ53" s="206"/>
      <c r="BK53" s="865"/>
      <c r="BL53" s="865"/>
      <c r="BM53" s="865"/>
      <c r="BN53" s="865"/>
      <c r="BO53" s="865"/>
      <c r="BP53" s="865"/>
      <c r="BQ53" s="865"/>
      <c r="BR53" s="865"/>
      <c r="BS53" s="865"/>
      <c r="BT53" s="865"/>
      <c r="BU53" s="865"/>
      <c r="BV53" s="865"/>
      <c r="BW53" s="865"/>
      <c r="BX53" s="865"/>
      <c r="BY53" s="865"/>
      <c r="BZ53" s="865"/>
      <c r="CA53" s="865"/>
      <c r="CB53" s="865"/>
    </row>
    <row r="54" spans="1:80" ht="14.25" thickTop="1" thickBot="1">
      <c r="A54" s="673">
        <v>35</v>
      </c>
      <c r="B54" s="674">
        <v>2</v>
      </c>
      <c r="C54" s="659" t="s">
        <v>817</v>
      </c>
      <c r="D54" s="1151">
        <v>0.01</v>
      </c>
      <c r="E54" s="481"/>
      <c r="F54" s="661">
        <v>0.13550000000000001</v>
      </c>
      <c r="G54" s="483">
        <f t="shared" si="5"/>
        <v>0.01</v>
      </c>
      <c r="H54" s="483"/>
      <c r="I54" s="661">
        <v>0.1285</v>
      </c>
      <c r="J54" s="851">
        <f t="shared" si="6"/>
        <v>0.01</v>
      </c>
      <c r="K54" s="851"/>
      <c r="L54" s="863">
        <v>0.11459999999999999</v>
      </c>
      <c r="M54" s="487">
        <f t="shared" si="7"/>
        <v>0.01</v>
      </c>
      <c r="N54" s="487"/>
      <c r="O54" s="666">
        <v>9.3799999999999994E-2</v>
      </c>
      <c r="P54" s="468"/>
      <c r="Q54" s="895"/>
      <c r="R54" s="468"/>
      <c r="S54" s="489">
        <f t="shared" si="8"/>
        <v>0.01</v>
      </c>
      <c r="T54" s="476"/>
      <c r="U54" s="666">
        <f>IF($D54&gt;0,ROUND(U53*(1-$D54),4),0)</f>
        <v>9.3799999999999994E-2</v>
      </c>
      <c r="V54" s="468"/>
      <c r="W54" s="491"/>
      <c r="X54" s="505"/>
      <c r="Y54" s="468"/>
      <c r="Z54" s="907">
        <v>10000</v>
      </c>
      <c r="AA54" s="499">
        <v>10000</v>
      </c>
      <c r="AB54" s="500">
        <v>0.2</v>
      </c>
      <c r="AC54" s="496"/>
      <c r="AD54" s="497"/>
      <c r="AE54" s="496"/>
      <c r="AF54" s="497"/>
      <c r="AG54" s="496"/>
      <c r="AH54" s="497"/>
      <c r="AI54" s="496"/>
      <c r="AJ54" s="497"/>
      <c r="AK54" s="206"/>
      <c r="AL54" s="642">
        <v>100</v>
      </c>
      <c r="AM54" s="642">
        <v>90</v>
      </c>
      <c r="AN54" s="206"/>
      <c r="AO54" s="640"/>
      <c r="AP54" s="1055"/>
      <c r="AQ54" s="658"/>
      <c r="AR54" s="206"/>
      <c r="AS54" s="499">
        <v>10000</v>
      </c>
      <c r="AT54" s="499">
        <v>100</v>
      </c>
      <c r="AU54" s="499">
        <v>10</v>
      </c>
      <c r="AV54" s="499">
        <v>10000</v>
      </c>
      <c r="AW54" s="206"/>
      <c r="AX54" s="1280">
        <v>10</v>
      </c>
      <c r="AY54" s="1281"/>
      <c r="AZ54" s="1282">
        <v>40</v>
      </c>
      <c r="BA54" s="1281"/>
      <c r="BB54" s="1283">
        <v>1000</v>
      </c>
      <c r="BC54" s="1281"/>
      <c r="BD54" s="1349">
        <v>10000</v>
      </c>
      <c r="BE54" s="1281"/>
      <c r="BF54" s="206"/>
      <c r="BG54" s="206"/>
      <c r="BH54" s="206"/>
      <c r="BI54" s="206"/>
      <c r="BJ54" s="206"/>
      <c r="BK54" s="865"/>
      <c r="BL54" s="865"/>
      <c r="BM54" s="865"/>
      <c r="BN54" s="865"/>
      <c r="BO54" s="865"/>
      <c r="BP54" s="865"/>
      <c r="BQ54" s="865"/>
      <c r="BR54" s="865"/>
      <c r="BS54" s="865"/>
      <c r="BT54" s="865"/>
      <c r="BU54" s="865"/>
      <c r="BV54" s="865"/>
      <c r="BW54" s="865"/>
      <c r="BX54" s="865"/>
      <c r="BY54" s="865"/>
      <c r="BZ54" s="865"/>
      <c r="CA54" s="865"/>
      <c r="CB54" s="865"/>
    </row>
    <row r="55" spans="1:80" ht="14.25" thickTop="1" thickBot="1">
      <c r="A55" s="671">
        <v>36</v>
      </c>
      <c r="B55" s="672">
        <v>3</v>
      </c>
      <c r="C55" s="659" t="s">
        <v>818</v>
      </c>
      <c r="D55" s="1151">
        <v>0.01</v>
      </c>
      <c r="E55" s="481"/>
      <c r="F55" s="661">
        <v>0.1341</v>
      </c>
      <c r="G55" s="483">
        <f t="shared" si="5"/>
        <v>0.01</v>
      </c>
      <c r="H55" s="483"/>
      <c r="I55" s="661">
        <v>0.12720000000000001</v>
      </c>
      <c r="J55" s="851">
        <f t="shared" si="6"/>
        <v>0.01</v>
      </c>
      <c r="K55" s="851"/>
      <c r="L55" s="863">
        <v>0.1135</v>
      </c>
      <c r="M55" s="487">
        <f t="shared" si="7"/>
        <v>0.01</v>
      </c>
      <c r="N55" s="487"/>
      <c r="O55" s="666">
        <v>9.2799999999999994E-2</v>
      </c>
      <c r="P55" s="468"/>
      <c r="Q55" s="895"/>
      <c r="R55" s="468"/>
      <c r="S55" s="489">
        <f t="shared" si="8"/>
        <v>0.01</v>
      </c>
      <c r="T55" s="476"/>
      <c r="U55" s="666">
        <v>9.2799999999999994E-2</v>
      </c>
      <c r="V55" s="468"/>
      <c r="W55" s="491"/>
      <c r="X55" s="505"/>
      <c r="Y55" s="468"/>
      <c r="Z55" s="907">
        <v>10000</v>
      </c>
      <c r="AA55" s="499">
        <v>10000</v>
      </c>
      <c r="AB55" s="500">
        <v>0.2</v>
      </c>
      <c r="AC55" s="496"/>
      <c r="AD55" s="497"/>
      <c r="AE55" s="496"/>
      <c r="AF55" s="497"/>
      <c r="AG55" s="496"/>
      <c r="AH55" s="497"/>
      <c r="AI55" s="496"/>
      <c r="AJ55" s="497"/>
      <c r="AK55" s="206"/>
      <c r="AL55" s="642">
        <v>100</v>
      </c>
      <c r="AM55" s="642">
        <v>90</v>
      </c>
      <c r="AN55" s="206"/>
      <c r="AO55" s="640"/>
      <c r="AP55" s="1055"/>
      <c r="AQ55" s="658"/>
      <c r="AR55" s="206"/>
      <c r="AS55" s="499">
        <v>10000</v>
      </c>
      <c r="AT55" s="499">
        <v>100</v>
      </c>
      <c r="AU55" s="499">
        <v>10</v>
      </c>
      <c r="AV55" s="499">
        <v>10000</v>
      </c>
      <c r="AW55" s="206"/>
      <c r="AX55" s="1280">
        <v>10</v>
      </c>
      <c r="AY55" s="1281"/>
      <c r="AZ55" s="1282">
        <v>40</v>
      </c>
      <c r="BA55" s="1281"/>
      <c r="BB55" s="1283">
        <v>1000</v>
      </c>
      <c r="BC55" s="1281"/>
      <c r="BD55" s="1349">
        <v>10000</v>
      </c>
      <c r="BE55" s="1281"/>
      <c r="BF55" s="206"/>
      <c r="BG55" s="206"/>
      <c r="BH55" s="206"/>
      <c r="BI55" s="206"/>
      <c r="BJ55" s="206"/>
      <c r="BK55" s="865"/>
      <c r="BL55" s="865"/>
      <c r="BM55" s="865"/>
      <c r="BN55" s="865"/>
      <c r="BO55" s="865"/>
      <c r="BP55" s="865"/>
      <c r="BQ55" s="865"/>
      <c r="BR55" s="865"/>
      <c r="BS55" s="865"/>
      <c r="BT55" s="865"/>
      <c r="BU55" s="865"/>
      <c r="BV55" s="865"/>
      <c r="BW55" s="865"/>
      <c r="BX55" s="865"/>
      <c r="BY55" s="865"/>
      <c r="BZ55" s="865"/>
      <c r="CA55" s="865"/>
      <c r="CB55" s="865"/>
    </row>
    <row r="56" spans="1:80" ht="14.25" thickTop="1" thickBot="1">
      <c r="A56" s="673">
        <v>37</v>
      </c>
      <c r="B56" s="674">
        <v>4</v>
      </c>
      <c r="C56" s="659" t="s">
        <v>819</v>
      </c>
      <c r="D56" s="1151">
        <v>0.01</v>
      </c>
      <c r="E56" s="481"/>
      <c r="F56" s="661">
        <v>0.1328</v>
      </c>
      <c r="G56" s="483">
        <f t="shared" si="5"/>
        <v>0.01</v>
      </c>
      <c r="H56" s="483"/>
      <c r="I56" s="661">
        <v>0.126</v>
      </c>
      <c r="J56" s="851">
        <f t="shared" si="6"/>
        <v>0.01</v>
      </c>
      <c r="K56" s="851"/>
      <c r="L56" s="863">
        <v>0.1123</v>
      </c>
      <c r="M56" s="487">
        <f t="shared" si="7"/>
        <v>0.01</v>
      </c>
      <c r="N56" s="487"/>
      <c r="O56" s="666">
        <v>9.1899999999999996E-2</v>
      </c>
      <c r="P56" s="468"/>
      <c r="Q56" s="895"/>
      <c r="R56" s="468"/>
      <c r="S56" s="489">
        <f t="shared" si="8"/>
        <v>0.01</v>
      </c>
      <c r="T56" s="476"/>
      <c r="U56" s="666">
        <v>9.1899999999999996E-2</v>
      </c>
      <c r="V56" s="468"/>
      <c r="W56" s="491"/>
      <c r="X56" s="505"/>
      <c r="Y56" s="468"/>
      <c r="Z56" s="907">
        <v>10000</v>
      </c>
      <c r="AA56" s="499">
        <v>10000</v>
      </c>
      <c r="AB56" s="500">
        <v>0.2</v>
      </c>
      <c r="AC56" s="496"/>
      <c r="AD56" s="497"/>
      <c r="AE56" s="496"/>
      <c r="AF56" s="497"/>
      <c r="AG56" s="496"/>
      <c r="AH56" s="497"/>
      <c r="AI56" s="496"/>
      <c r="AJ56" s="497"/>
      <c r="AK56" s="206"/>
      <c r="AL56" s="642">
        <v>100</v>
      </c>
      <c r="AM56" s="642">
        <v>90</v>
      </c>
      <c r="AN56" s="206"/>
      <c r="AO56" s="640"/>
      <c r="AP56" s="1055"/>
      <c r="AQ56" s="658"/>
      <c r="AR56" s="206"/>
      <c r="AS56" s="499">
        <v>10000</v>
      </c>
      <c r="AT56" s="499">
        <v>100</v>
      </c>
      <c r="AU56" s="499">
        <v>10</v>
      </c>
      <c r="AV56" s="499">
        <v>10000</v>
      </c>
      <c r="AW56" s="206"/>
      <c r="AX56" s="1280">
        <v>10</v>
      </c>
      <c r="AY56" s="1281"/>
      <c r="AZ56" s="1282">
        <v>40</v>
      </c>
      <c r="BA56" s="1281"/>
      <c r="BB56" s="1283">
        <v>1000</v>
      </c>
      <c r="BC56" s="1281"/>
      <c r="BD56" s="1349">
        <v>10000</v>
      </c>
      <c r="BE56" s="1281"/>
      <c r="BF56" s="206"/>
      <c r="BG56" s="206"/>
      <c r="BH56" s="206"/>
      <c r="BI56" s="206"/>
      <c r="BJ56" s="206"/>
      <c r="BK56" s="865"/>
      <c r="BL56" s="865"/>
      <c r="BM56" s="865"/>
      <c r="BN56" s="865"/>
      <c r="BO56" s="865"/>
      <c r="BP56" s="865"/>
      <c r="BQ56" s="865"/>
      <c r="BR56" s="865"/>
      <c r="BS56" s="865"/>
      <c r="BT56" s="865"/>
      <c r="BU56" s="865"/>
      <c r="BV56" s="865"/>
      <c r="BW56" s="865"/>
      <c r="BX56" s="865"/>
      <c r="BY56" s="865"/>
      <c r="BZ56" s="865"/>
      <c r="CA56" s="865"/>
      <c r="CB56" s="865"/>
    </row>
    <row r="57" spans="1:80" ht="14.25" thickTop="1" thickBot="1">
      <c r="A57" s="671">
        <v>38</v>
      </c>
      <c r="B57" s="672">
        <v>5</v>
      </c>
      <c r="C57" s="659" t="s">
        <v>858</v>
      </c>
      <c r="D57" s="1151">
        <v>0.01</v>
      </c>
      <c r="E57" s="481"/>
      <c r="F57" s="661">
        <v>0.13139999999999999</v>
      </c>
      <c r="G57" s="483">
        <f t="shared" si="5"/>
        <v>0.01</v>
      </c>
      <c r="H57" s="483"/>
      <c r="I57" s="661">
        <v>0.12470000000000001</v>
      </c>
      <c r="J57" s="851">
        <f t="shared" si="6"/>
        <v>0.01</v>
      </c>
      <c r="K57" s="851"/>
      <c r="L57" s="863">
        <v>0.11119999999999999</v>
      </c>
      <c r="M57" s="487">
        <f t="shared" si="7"/>
        <v>0.01</v>
      </c>
      <c r="N57" s="487"/>
      <c r="O57" s="666">
        <v>9.0999999999999998E-2</v>
      </c>
      <c r="P57" s="468"/>
      <c r="Q57" s="895"/>
      <c r="R57" s="468"/>
      <c r="S57" s="489">
        <f t="shared" si="8"/>
        <v>0.01</v>
      </c>
      <c r="T57" s="476"/>
      <c r="U57" s="666">
        <v>9.0999999999999998E-2</v>
      </c>
      <c r="V57" s="468"/>
      <c r="W57" s="491"/>
      <c r="X57" s="505"/>
      <c r="Y57" s="468"/>
      <c r="Z57" s="907">
        <v>10000</v>
      </c>
      <c r="AA57" s="499">
        <v>10000</v>
      </c>
      <c r="AB57" s="500">
        <v>0.2</v>
      </c>
      <c r="AC57" s="496"/>
      <c r="AD57" s="497"/>
      <c r="AE57" s="496"/>
      <c r="AF57" s="497"/>
      <c r="AG57" s="496"/>
      <c r="AH57" s="497"/>
      <c r="AI57" s="496"/>
      <c r="AJ57" s="497"/>
      <c r="AK57" s="206"/>
      <c r="AL57" s="642">
        <v>100</v>
      </c>
      <c r="AM57" s="642">
        <v>90</v>
      </c>
      <c r="AN57" s="206"/>
      <c r="AO57" s="640"/>
      <c r="AP57" s="1055"/>
      <c r="AQ57" s="658"/>
      <c r="AR57" s="206"/>
      <c r="AS57" s="499">
        <v>10000</v>
      </c>
      <c r="AT57" s="499">
        <v>100</v>
      </c>
      <c r="AU57" s="499">
        <v>10</v>
      </c>
      <c r="AV57" s="499">
        <v>10000</v>
      </c>
      <c r="AW57" s="206"/>
      <c r="AX57" s="1280">
        <v>10</v>
      </c>
      <c r="AY57" s="1281"/>
      <c r="AZ57" s="1282">
        <v>40</v>
      </c>
      <c r="BA57" s="1281"/>
      <c r="BB57" s="1283">
        <v>1000</v>
      </c>
      <c r="BC57" s="1281"/>
      <c r="BD57" s="1349">
        <v>10000</v>
      </c>
      <c r="BE57" s="1281"/>
      <c r="BF57" s="206"/>
      <c r="BG57" s="206"/>
      <c r="BH57" s="206"/>
      <c r="BI57" s="206"/>
      <c r="BJ57" s="206"/>
      <c r="BK57" s="865"/>
      <c r="BL57" s="865"/>
      <c r="BM57" s="865"/>
      <c r="BN57" s="865"/>
      <c r="BO57" s="865"/>
      <c r="BP57" s="865"/>
      <c r="BQ57" s="865"/>
      <c r="BR57" s="865"/>
      <c r="BS57" s="865"/>
      <c r="BT57" s="865"/>
      <c r="BU57" s="865"/>
      <c r="BV57" s="865"/>
      <c r="BW57" s="865"/>
      <c r="BX57" s="865"/>
      <c r="BY57" s="865"/>
      <c r="BZ57" s="865"/>
      <c r="CA57" s="865"/>
      <c r="CB57" s="865"/>
    </row>
    <row r="58" spans="1:80" ht="14.25" thickTop="1" thickBot="1">
      <c r="A58" s="673">
        <v>39</v>
      </c>
      <c r="B58" s="674">
        <v>6</v>
      </c>
      <c r="C58" s="659" t="s">
        <v>859</v>
      </c>
      <c r="D58" s="1151">
        <v>0.01</v>
      </c>
      <c r="E58" s="481"/>
      <c r="F58" s="661">
        <v>0.13009999999999999</v>
      </c>
      <c r="G58" s="483">
        <f t="shared" si="5"/>
        <v>0.01</v>
      </c>
      <c r="H58" s="483"/>
      <c r="I58" s="661">
        <v>0.1234</v>
      </c>
      <c r="J58" s="851">
        <f t="shared" si="6"/>
        <v>0.01</v>
      </c>
      <c r="K58" s="851"/>
      <c r="L58" s="863">
        <v>0.1101</v>
      </c>
      <c r="M58" s="487">
        <f t="shared" si="7"/>
        <v>0.01</v>
      </c>
      <c r="N58" s="487"/>
      <c r="O58" s="666">
        <v>9.01E-2</v>
      </c>
      <c r="P58" s="468"/>
      <c r="Q58" s="895"/>
      <c r="R58" s="468"/>
      <c r="S58" s="489">
        <f t="shared" si="8"/>
        <v>0.01</v>
      </c>
      <c r="T58" s="476"/>
      <c r="U58" s="666">
        <v>9.01E-2</v>
      </c>
      <c r="V58" s="468"/>
      <c r="W58" s="491"/>
      <c r="X58" s="505"/>
      <c r="Y58" s="468"/>
      <c r="Z58" s="907">
        <v>10000</v>
      </c>
      <c r="AA58" s="499">
        <v>10000</v>
      </c>
      <c r="AB58" s="500">
        <v>0.2</v>
      </c>
      <c r="AC58" s="496"/>
      <c r="AD58" s="497"/>
      <c r="AE58" s="496"/>
      <c r="AF58" s="497"/>
      <c r="AG58" s="496"/>
      <c r="AH58" s="497"/>
      <c r="AI58" s="496"/>
      <c r="AJ58" s="497"/>
      <c r="AK58" s="206"/>
      <c r="AL58" s="642">
        <v>100</v>
      </c>
      <c r="AM58" s="642">
        <v>90</v>
      </c>
      <c r="AN58" s="206"/>
      <c r="AO58" s="640"/>
      <c r="AP58" s="1055"/>
      <c r="AQ58" s="658"/>
      <c r="AR58" s="206"/>
      <c r="AS58" s="499">
        <v>10000</v>
      </c>
      <c r="AT58" s="499">
        <v>100</v>
      </c>
      <c r="AU58" s="499">
        <v>10</v>
      </c>
      <c r="AV58" s="499">
        <v>10000</v>
      </c>
      <c r="AW58" s="206"/>
      <c r="AX58" s="1280">
        <v>10</v>
      </c>
      <c r="AY58" s="1281"/>
      <c r="AZ58" s="1282">
        <v>40</v>
      </c>
      <c r="BA58" s="1281"/>
      <c r="BB58" s="1283">
        <v>1000</v>
      </c>
      <c r="BC58" s="1281"/>
      <c r="BD58" s="1349">
        <v>10000</v>
      </c>
      <c r="BE58" s="1281"/>
      <c r="BF58" s="206"/>
      <c r="BG58" s="206"/>
      <c r="BH58" s="206"/>
      <c r="BI58" s="206"/>
      <c r="BJ58" s="206"/>
      <c r="BK58" s="865"/>
      <c r="BL58" s="865"/>
      <c r="BM58" s="865"/>
      <c r="BN58" s="865"/>
      <c r="BO58" s="865"/>
      <c r="BP58" s="865"/>
      <c r="BQ58" s="865"/>
      <c r="BR58" s="865"/>
      <c r="BS58" s="865"/>
      <c r="BT58" s="865"/>
      <c r="BU58" s="865"/>
      <c r="BV58" s="865"/>
      <c r="BW58" s="865"/>
      <c r="BX58" s="865"/>
      <c r="BY58" s="865"/>
      <c r="BZ58" s="865"/>
      <c r="CA58" s="865"/>
      <c r="CB58" s="865"/>
    </row>
    <row r="59" spans="1:80" ht="14.25" thickTop="1" thickBot="1">
      <c r="A59" s="671">
        <v>40</v>
      </c>
      <c r="B59" s="672">
        <v>7</v>
      </c>
      <c r="C59" s="659" t="s">
        <v>860</v>
      </c>
      <c r="D59" s="1151">
        <v>0.01</v>
      </c>
      <c r="E59" s="481"/>
      <c r="F59" s="661">
        <v>0.1288</v>
      </c>
      <c r="G59" s="483">
        <f t="shared" si="5"/>
        <v>0.01</v>
      </c>
      <c r="H59" s="483"/>
      <c r="I59" s="661">
        <v>0.1222</v>
      </c>
      <c r="J59" s="851">
        <f t="shared" si="6"/>
        <v>0.01</v>
      </c>
      <c r="K59" s="851"/>
      <c r="L59" s="863">
        <v>0.109</v>
      </c>
      <c r="M59" s="487">
        <f t="shared" si="7"/>
        <v>0.01</v>
      </c>
      <c r="N59" s="487"/>
      <c r="O59" s="666">
        <v>8.9200000000000002E-2</v>
      </c>
      <c r="P59" s="468"/>
      <c r="Q59" s="895"/>
      <c r="R59" s="468"/>
      <c r="S59" s="489">
        <f t="shared" si="8"/>
        <v>0.01</v>
      </c>
      <c r="T59" s="476"/>
      <c r="U59" s="666">
        <v>8.9200000000000002E-2</v>
      </c>
      <c r="V59" s="468"/>
      <c r="W59" s="491"/>
      <c r="X59" s="505"/>
      <c r="Y59" s="468"/>
      <c r="Z59" s="907">
        <v>10000</v>
      </c>
      <c r="AA59" s="499">
        <v>10000</v>
      </c>
      <c r="AB59" s="500">
        <v>0.2</v>
      </c>
      <c r="AC59" s="496"/>
      <c r="AD59" s="497"/>
      <c r="AE59" s="496"/>
      <c r="AF59" s="497"/>
      <c r="AG59" s="496"/>
      <c r="AH59" s="497"/>
      <c r="AI59" s="496"/>
      <c r="AJ59" s="497"/>
      <c r="AK59" s="206"/>
      <c r="AL59" s="642">
        <v>100</v>
      </c>
      <c r="AM59" s="642">
        <v>90</v>
      </c>
      <c r="AN59" s="206"/>
      <c r="AO59" s="640"/>
      <c r="AP59" s="1055"/>
      <c r="AQ59" s="658"/>
      <c r="AR59" s="206"/>
      <c r="AS59" s="499">
        <v>10000</v>
      </c>
      <c r="AT59" s="499">
        <v>100</v>
      </c>
      <c r="AU59" s="499">
        <v>10</v>
      </c>
      <c r="AV59" s="499">
        <v>10000</v>
      </c>
      <c r="AW59" s="206"/>
      <c r="AX59" s="1280">
        <v>10</v>
      </c>
      <c r="AY59" s="1281"/>
      <c r="AZ59" s="1282">
        <v>40</v>
      </c>
      <c r="BA59" s="1281"/>
      <c r="BB59" s="1283">
        <v>1000</v>
      </c>
      <c r="BC59" s="1281"/>
      <c r="BD59" s="1349">
        <v>10000</v>
      </c>
      <c r="BE59" s="1281"/>
      <c r="BF59" s="206"/>
      <c r="BG59" s="206"/>
      <c r="BH59" s="206"/>
      <c r="BI59" s="206"/>
      <c r="BJ59" s="206"/>
      <c r="BK59" s="865"/>
      <c r="BL59" s="865"/>
      <c r="BM59" s="865"/>
      <c r="BN59" s="865"/>
      <c r="BO59" s="865"/>
      <c r="BP59" s="865"/>
      <c r="BQ59" s="865"/>
      <c r="BR59" s="865"/>
      <c r="BS59" s="865"/>
      <c r="BT59" s="865"/>
      <c r="BU59" s="865"/>
      <c r="BV59" s="865"/>
      <c r="BW59" s="865"/>
      <c r="BX59" s="865"/>
      <c r="BY59" s="865"/>
      <c r="BZ59" s="865"/>
      <c r="CA59" s="865"/>
      <c r="CB59" s="865"/>
    </row>
    <row r="60" spans="1:80" ht="14.25" thickTop="1" thickBot="1">
      <c r="A60" s="673">
        <v>41</v>
      </c>
      <c r="B60" s="674">
        <v>8</v>
      </c>
      <c r="C60" s="921" t="s">
        <v>861</v>
      </c>
      <c r="D60" s="1151"/>
      <c r="E60" s="922">
        <v>0.13150000000000001</v>
      </c>
      <c r="F60" s="661">
        <v>0.1275</v>
      </c>
      <c r="G60" s="483"/>
      <c r="H60" s="922">
        <v>0.128</v>
      </c>
      <c r="I60" s="661">
        <v>0.124</v>
      </c>
      <c r="J60" s="851"/>
      <c r="K60" s="923">
        <v>0.1149</v>
      </c>
      <c r="L60" s="661">
        <v>0.1109</v>
      </c>
      <c r="M60" s="487"/>
      <c r="N60" s="924">
        <v>9.2299999999999993E-2</v>
      </c>
      <c r="O60" s="666">
        <v>8.8300000000000003E-2</v>
      </c>
      <c r="P60" s="468"/>
      <c r="Q60" s="929">
        <v>4.0000000000000001E-3</v>
      </c>
      <c r="R60" s="468"/>
      <c r="S60" s="489"/>
      <c r="T60" s="924">
        <v>9.2299999999999993E-2</v>
      </c>
      <c r="U60" s="924">
        <v>8.8300000000000003E-2</v>
      </c>
      <c r="V60" s="468"/>
      <c r="W60" s="491"/>
      <c r="X60" s="505"/>
      <c r="Y60" s="468"/>
      <c r="Z60" s="907">
        <v>500</v>
      </c>
      <c r="AA60" s="499">
        <v>10000</v>
      </c>
      <c r="AB60" s="500">
        <v>0.2</v>
      </c>
      <c r="AC60" s="496"/>
      <c r="AD60" s="497"/>
      <c r="AE60" s="496"/>
      <c r="AF60" s="497"/>
      <c r="AG60" s="496"/>
      <c r="AH60" s="497"/>
      <c r="AI60" s="496"/>
      <c r="AJ60" s="497"/>
      <c r="AK60" s="206"/>
      <c r="AL60" s="642">
        <v>100</v>
      </c>
      <c r="AM60" s="642">
        <v>100</v>
      </c>
      <c r="AN60" s="206"/>
      <c r="AO60" s="640"/>
      <c r="AP60" s="1055"/>
      <c r="AQ60" s="658"/>
      <c r="AR60" s="206"/>
      <c r="AS60" s="499">
        <v>10000</v>
      </c>
      <c r="AT60" s="499">
        <v>100</v>
      </c>
      <c r="AU60" s="499">
        <v>10</v>
      </c>
      <c r="AV60" s="499">
        <v>10000</v>
      </c>
      <c r="AW60" s="206"/>
      <c r="AX60" s="1280">
        <v>10</v>
      </c>
      <c r="AY60" s="1281"/>
      <c r="AZ60" s="1282">
        <v>40</v>
      </c>
      <c r="BA60" s="1281"/>
      <c r="BB60" s="1283">
        <v>1000</v>
      </c>
      <c r="BC60" s="1281"/>
      <c r="BD60" s="1349">
        <v>10000</v>
      </c>
      <c r="BE60" s="1281"/>
      <c r="BF60" s="206"/>
      <c r="BG60" s="206"/>
      <c r="BH60" s="206"/>
      <c r="BI60" s="206"/>
      <c r="BJ60" s="206"/>
      <c r="BK60" s="865"/>
      <c r="BL60" s="865"/>
      <c r="BM60" s="865"/>
      <c r="BN60" s="865"/>
      <c r="BO60" s="865"/>
      <c r="BP60" s="865"/>
      <c r="BQ60" s="865"/>
      <c r="BR60" s="865"/>
      <c r="BS60" s="865"/>
      <c r="BT60" s="865"/>
      <c r="BU60" s="865"/>
      <c r="BV60" s="865"/>
      <c r="BW60" s="865"/>
      <c r="BX60" s="865"/>
      <c r="BY60" s="865"/>
      <c r="BZ60" s="865"/>
      <c r="CA60" s="865"/>
      <c r="CB60" s="865"/>
    </row>
    <row r="61" spans="1:80" ht="14.25" thickTop="1" thickBot="1">
      <c r="A61" s="671">
        <v>42</v>
      </c>
      <c r="B61" s="672">
        <v>9</v>
      </c>
      <c r="C61" s="921" t="s">
        <v>862</v>
      </c>
      <c r="D61" s="1151">
        <v>5.0000000000000001E-3</v>
      </c>
      <c r="E61" s="922">
        <f>IF($D61&gt;0,ROUND(E60*(1-$D61),4),0)</f>
        <v>0.1308</v>
      </c>
      <c r="F61" s="661">
        <v>0.12690000000000001</v>
      </c>
      <c r="G61" s="483">
        <v>5.0000000000000001E-3</v>
      </c>
      <c r="H61" s="922">
        <v>0.12740000000000001</v>
      </c>
      <c r="I61" s="661">
        <v>0.1234</v>
      </c>
      <c r="J61" s="851">
        <v>5.0000000000000001E-3</v>
      </c>
      <c r="K61" s="923">
        <v>0.1143</v>
      </c>
      <c r="L61" s="661">
        <v>0.1103</v>
      </c>
      <c r="M61" s="487">
        <v>5.0000000000000001E-3</v>
      </c>
      <c r="N61" s="924">
        <v>9.1800000000000007E-2</v>
      </c>
      <c r="O61" s="666">
        <v>8.7900000000000006E-2</v>
      </c>
      <c r="P61" s="468"/>
      <c r="Q61" s="1005"/>
      <c r="R61" s="468"/>
      <c r="S61" s="489">
        <v>5.0000000000000001E-3</v>
      </c>
      <c r="T61" s="924">
        <v>9.1800000000000007E-2</v>
      </c>
      <c r="U61" s="924">
        <v>8.7900000000000006E-2</v>
      </c>
      <c r="V61" s="468"/>
      <c r="W61" s="491"/>
      <c r="X61" s="505"/>
      <c r="Y61" s="468"/>
      <c r="Z61" s="907">
        <v>500</v>
      </c>
      <c r="AA61" s="499">
        <v>10000</v>
      </c>
      <c r="AB61" s="500">
        <v>0.2</v>
      </c>
      <c r="AC61" s="496"/>
      <c r="AD61" s="497"/>
      <c r="AE61" s="496"/>
      <c r="AF61" s="497"/>
      <c r="AG61" s="496"/>
      <c r="AH61" s="497"/>
      <c r="AI61" s="496"/>
      <c r="AJ61" s="497"/>
      <c r="AK61" s="206"/>
      <c r="AL61" s="642">
        <v>100</v>
      </c>
      <c r="AM61" s="642">
        <v>100</v>
      </c>
      <c r="AN61" s="206"/>
      <c r="AO61" s="640"/>
      <c r="AP61" s="1055"/>
      <c r="AQ61" s="658"/>
      <c r="AR61" s="206"/>
      <c r="AS61" s="499">
        <v>10000</v>
      </c>
      <c r="AT61" s="499">
        <v>100</v>
      </c>
      <c r="AU61" s="499">
        <v>10</v>
      </c>
      <c r="AV61" s="499">
        <v>10000</v>
      </c>
      <c r="AW61" s="206"/>
      <c r="AX61" s="1280">
        <v>10</v>
      </c>
      <c r="AY61" s="1281"/>
      <c r="AZ61" s="1282">
        <v>40</v>
      </c>
      <c r="BA61" s="1281"/>
      <c r="BB61" s="1283">
        <v>1000</v>
      </c>
      <c r="BC61" s="1281"/>
      <c r="BD61" s="1349">
        <v>10000</v>
      </c>
      <c r="BE61" s="1281"/>
      <c r="BF61" s="206"/>
      <c r="BG61" s="206"/>
      <c r="BH61" s="206"/>
      <c r="BI61" s="206"/>
      <c r="BJ61" s="206"/>
      <c r="BK61" s="865"/>
      <c r="BL61" s="865"/>
      <c r="BM61" s="865"/>
      <c r="BN61" s="865"/>
      <c r="BO61" s="865"/>
      <c r="BP61" s="865"/>
      <c r="BQ61" s="865"/>
      <c r="BR61" s="865"/>
      <c r="BS61" s="865"/>
      <c r="BT61" s="865"/>
      <c r="BU61" s="865"/>
      <c r="BV61" s="865"/>
      <c r="BW61" s="865"/>
      <c r="BX61" s="865"/>
      <c r="BY61" s="865"/>
      <c r="BZ61" s="865"/>
      <c r="CA61" s="865"/>
      <c r="CB61" s="865"/>
    </row>
    <row r="62" spans="1:80" ht="14.25" thickTop="1" thickBot="1">
      <c r="A62" s="673">
        <v>43</v>
      </c>
      <c r="B62" s="674">
        <v>10</v>
      </c>
      <c r="C62" s="921" t="s">
        <v>1055</v>
      </c>
      <c r="D62" s="1151">
        <v>2.5000000000000001E-3</v>
      </c>
      <c r="E62" s="922">
        <v>0.1305</v>
      </c>
      <c r="F62" s="661">
        <v>0.1265</v>
      </c>
      <c r="G62" s="1001">
        <v>2.5000000000000001E-3</v>
      </c>
      <c r="H62" s="922">
        <v>0.127</v>
      </c>
      <c r="I62" s="661">
        <v>0.1231</v>
      </c>
      <c r="J62" s="1002">
        <v>2.5000000000000001E-3</v>
      </c>
      <c r="K62" s="923">
        <v>0.114</v>
      </c>
      <c r="L62" s="661">
        <v>0.1101</v>
      </c>
      <c r="M62" s="1003">
        <v>2.5000000000000001E-3</v>
      </c>
      <c r="N62" s="924">
        <v>9.1600000000000001E-2</v>
      </c>
      <c r="O62" s="666">
        <v>8.7599999999999997E-2</v>
      </c>
      <c r="P62" s="468"/>
      <c r="Q62" s="1006"/>
      <c r="R62" s="468"/>
      <c r="S62" s="1004">
        <v>2.5000000000000001E-3</v>
      </c>
      <c r="T62" s="924">
        <v>9.1600000000000001E-2</v>
      </c>
      <c r="U62" s="924">
        <v>8.7599999999999997E-2</v>
      </c>
      <c r="V62" s="468"/>
      <c r="W62" s="491"/>
      <c r="X62" s="505"/>
      <c r="Y62" s="468"/>
      <c r="Z62" s="907">
        <v>500</v>
      </c>
      <c r="AA62" s="499">
        <v>10000</v>
      </c>
      <c r="AB62" s="500">
        <v>0.2</v>
      </c>
      <c r="AC62" s="496"/>
      <c r="AD62" s="497"/>
      <c r="AE62" s="496"/>
      <c r="AF62" s="497"/>
      <c r="AG62" s="496"/>
      <c r="AH62" s="497"/>
      <c r="AI62" s="496"/>
      <c r="AJ62" s="497"/>
      <c r="AK62" s="206"/>
      <c r="AL62" s="642">
        <v>100</v>
      </c>
      <c r="AM62" s="642">
        <v>100</v>
      </c>
      <c r="AN62" s="206"/>
      <c r="AO62" s="640"/>
      <c r="AP62" s="1055"/>
      <c r="AQ62" s="658"/>
      <c r="AR62" s="206"/>
      <c r="AS62" s="499">
        <v>10000</v>
      </c>
      <c r="AT62" s="499">
        <v>100</v>
      </c>
      <c r="AU62" s="499">
        <v>10</v>
      </c>
      <c r="AV62" s="499">
        <v>10000</v>
      </c>
      <c r="AW62" s="206"/>
      <c r="AX62" s="1280">
        <v>10</v>
      </c>
      <c r="AY62" s="1281"/>
      <c r="AZ62" s="1282">
        <v>40</v>
      </c>
      <c r="BA62" s="1281"/>
      <c r="BB62" s="1283">
        <v>1000</v>
      </c>
      <c r="BC62" s="1281"/>
      <c r="BD62" s="1349">
        <v>10000</v>
      </c>
      <c r="BE62" s="1281"/>
      <c r="BF62" s="206"/>
      <c r="BG62" s="206"/>
      <c r="BH62" s="206"/>
      <c r="BI62" s="206"/>
      <c r="BJ62" s="206"/>
      <c r="BK62" s="865"/>
      <c r="BL62" s="865"/>
      <c r="BM62" s="865"/>
      <c r="BN62" s="865"/>
      <c r="BO62" s="865"/>
      <c r="BP62" s="865"/>
      <c r="BQ62" s="865"/>
      <c r="BR62" s="865"/>
      <c r="BS62" s="865"/>
      <c r="BT62" s="865"/>
      <c r="BU62" s="865"/>
      <c r="BV62" s="865"/>
      <c r="BW62" s="865"/>
      <c r="BX62" s="865"/>
      <c r="BY62" s="865"/>
      <c r="BZ62" s="865"/>
      <c r="CA62" s="865"/>
      <c r="CB62" s="865"/>
    </row>
    <row r="63" spans="1:80" ht="14.25" thickTop="1" thickBot="1">
      <c r="A63" s="671">
        <v>44</v>
      </c>
      <c r="B63" s="672">
        <v>11</v>
      </c>
      <c r="C63" s="921" t="s">
        <v>1056</v>
      </c>
      <c r="D63" s="1151">
        <v>2.5000000000000001E-3</v>
      </c>
      <c r="E63" s="922">
        <v>0.13020000000000001</v>
      </c>
      <c r="F63" s="661">
        <v>0.12620000000000001</v>
      </c>
      <c r="G63" s="1001">
        <v>2.5000000000000001E-3</v>
      </c>
      <c r="H63" s="922">
        <v>0.12670000000000001</v>
      </c>
      <c r="I63" s="661">
        <v>0.12280000000000001</v>
      </c>
      <c r="J63" s="1002">
        <v>2.5000000000000001E-3</v>
      </c>
      <c r="K63" s="923">
        <v>0.1138</v>
      </c>
      <c r="L63" s="661">
        <v>0.10979999999999999</v>
      </c>
      <c r="M63" s="1003">
        <v>2.5000000000000001E-3</v>
      </c>
      <c r="N63" s="924">
        <v>9.1399999999999995E-2</v>
      </c>
      <c r="O63" s="666">
        <v>8.7400000000000005E-2</v>
      </c>
      <c r="P63" s="468"/>
      <c r="Q63" s="1006"/>
      <c r="R63" s="468"/>
      <c r="S63" s="1004">
        <v>2.5000000000000001E-3</v>
      </c>
      <c r="T63" s="924">
        <v>9.1399999999999995E-2</v>
      </c>
      <c r="U63" s="924">
        <v>8.7400000000000005E-2</v>
      </c>
      <c r="V63" s="468"/>
      <c r="W63" s="491"/>
      <c r="X63" s="505"/>
      <c r="Y63" s="468"/>
      <c r="Z63" s="907">
        <v>500</v>
      </c>
      <c r="AA63" s="499">
        <v>10000</v>
      </c>
      <c r="AB63" s="500">
        <v>0.2</v>
      </c>
      <c r="AC63" s="496"/>
      <c r="AD63" s="497"/>
      <c r="AE63" s="496"/>
      <c r="AF63" s="497"/>
      <c r="AG63" s="496"/>
      <c r="AH63" s="497"/>
      <c r="AI63" s="496"/>
      <c r="AJ63" s="497"/>
      <c r="AK63" s="206"/>
      <c r="AL63" s="642">
        <v>100</v>
      </c>
      <c r="AM63" s="642">
        <v>100</v>
      </c>
      <c r="AN63" s="206"/>
      <c r="AO63" s="640"/>
      <c r="AP63" s="1055"/>
      <c r="AQ63" s="658"/>
      <c r="AR63" s="206"/>
      <c r="AS63" s="499">
        <v>10000</v>
      </c>
      <c r="AT63" s="499">
        <v>100</v>
      </c>
      <c r="AU63" s="499">
        <v>10</v>
      </c>
      <c r="AV63" s="499">
        <v>10000</v>
      </c>
      <c r="AW63" s="206"/>
      <c r="AX63" s="1280">
        <v>10</v>
      </c>
      <c r="AY63" s="1281"/>
      <c r="AZ63" s="1282">
        <v>40</v>
      </c>
      <c r="BA63" s="1281"/>
      <c r="BB63" s="1283">
        <v>1000</v>
      </c>
      <c r="BC63" s="1281"/>
      <c r="BD63" s="1349">
        <v>10000</v>
      </c>
      <c r="BE63" s="1281"/>
      <c r="BF63" s="206"/>
      <c r="BG63" s="206"/>
      <c r="BH63" s="206"/>
      <c r="BI63" s="206"/>
      <c r="BJ63" s="206"/>
      <c r="BK63" s="865"/>
      <c r="BL63" s="865"/>
      <c r="BM63" s="865"/>
      <c r="BN63" s="865"/>
      <c r="BO63" s="865"/>
      <c r="BP63" s="865"/>
      <c r="BQ63" s="865"/>
      <c r="BR63" s="865"/>
      <c r="BS63" s="865"/>
      <c r="BT63" s="865"/>
      <c r="BU63" s="865"/>
      <c r="BV63" s="865"/>
      <c r="BW63" s="865"/>
      <c r="BX63" s="865"/>
      <c r="BY63" s="865"/>
      <c r="BZ63" s="865"/>
      <c r="CA63" s="865"/>
      <c r="CB63" s="865"/>
    </row>
    <row r="64" spans="1:80" ht="14.25" thickTop="1" thickBot="1">
      <c r="A64" s="673">
        <v>45</v>
      </c>
      <c r="B64" s="674">
        <v>12</v>
      </c>
      <c r="C64" s="921" t="s">
        <v>1057</v>
      </c>
      <c r="D64" s="1151">
        <v>2.5000000000000001E-3</v>
      </c>
      <c r="E64" s="922">
        <v>0.12989999999999999</v>
      </c>
      <c r="F64" s="661">
        <v>0.12590000000000001</v>
      </c>
      <c r="G64" s="1001">
        <v>2.5000000000000001E-3</v>
      </c>
      <c r="H64" s="922">
        <v>0.12640000000000001</v>
      </c>
      <c r="I64" s="661">
        <v>0.1225</v>
      </c>
      <c r="J64" s="1002">
        <v>2.5000000000000001E-3</v>
      </c>
      <c r="K64" s="923">
        <v>0.1135</v>
      </c>
      <c r="L64" s="661">
        <v>0.1095</v>
      </c>
      <c r="M64" s="1003">
        <v>2.5000000000000001E-3</v>
      </c>
      <c r="N64" s="924">
        <v>9.1200000000000003E-2</v>
      </c>
      <c r="O64" s="666">
        <v>8.72E-2</v>
      </c>
      <c r="P64" s="468"/>
      <c r="Q64" s="1006"/>
      <c r="R64" s="468"/>
      <c r="S64" s="1004">
        <v>2.5000000000000001E-3</v>
      </c>
      <c r="T64" s="924">
        <v>9.1200000000000003E-2</v>
      </c>
      <c r="U64" s="924">
        <v>8.72E-2</v>
      </c>
      <c r="V64" s="468"/>
      <c r="W64" s="491"/>
      <c r="X64" s="505"/>
      <c r="Y64" s="468"/>
      <c r="Z64" s="907">
        <v>500</v>
      </c>
      <c r="AA64" s="499">
        <v>10000</v>
      </c>
      <c r="AB64" s="500">
        <v>0.2</v>
      </c>
      <c r="AC64" s="496"/>
      <c r="AD64" s="497"/>
      <c r="AE64" s="496"/>
      <c r="AF64" s="497"/>
      <c r="AG64" s="496"/>
      <c r="AH64" s="497"/>
      <c r="AI64" s="496"/>
      <c r="AJ64" s="497"/>
      <c r="AK64" s="206"/>
      <c r="AL64" s="642">
        <v>100</v>
      </c>
      <c r="AM64" s="642">
        <v>100</v>
      </c>
      <c r="AN64" s="206"/>
      <c r="AO64" s="640"/>
      <c r="AP64" s="1055"/>
      <c r="AQ64" s="658"/>
      <c r="AR64" s="206"/>
      <c r="AS64" s="499">
        <v>10000</v>
      </c>
      <c r="AT64" s="499">
        <v>100</v>
      </c>
      <c r="AU64" s="499">
        <v>10</v>
      </c>
      <c r="AV64" s="499">
        <v>10000</v>
      </c>
      <c r="AW64" s="206"/>
      <c r="AX64" s="1280">
        <v>10</v>
      </c>
      <c r="AY64" s="1281"/>
      <c r="AZ64" s="1282">
        <v>40</v>
      </c>
      <c r="BA64" s="1281"/>
      <c r="BB64" s="1283">
        <v>1000</v>
      </c>
      <c r="BC64" s="1281"/>
      <c r="BD64" s="1349">
        <v>10000</v>
      </c>
      <c r="BE64" s="1281"/>
      <c r="BF64" s="206"/>
      <c r="BG64" s="206"/>
      <c r="BH64" s="206"/>
      <c r="BI64" s="206"/>
      <c r="BJ64" s="206"/>
      <c r="BK64" s="865"/>
      <c r="BL64" s="865"/>
      <c r="BM64" s="865"/>
      <c r="BN64" s="865"/>
      <c r="BO64" s="865"/>
      <c r="BP64" s="865"/>
      <c r="BQ64" s="865"/>
      <c r="BR64" s="865"/>
      <c r="BS64" s="865"/>
      <c r="BT64" s="865"/>
      <c r="BU64" s="865"/>
      <c r="BV64" s="865"/>
      <c r="BW64" s="865"/>
      <c r="BX64" s="865"/>
      <c r="BY64" s="865"/>
      <c r="BZ64" s="865"/>
      <c r="CA64" s="865"/>
      <c r="CB64" s="865"/>
    </row>
    <row r="65" spans="1:80" ht="14.25" thickTop="1" thickBot="1">
      <c r="A65" s="671">
        <v>46</v>
      </c>
      <c r="B65" s="674">
        <v>1</v>
      </c>
      <c r="C65" s="921" t="s">
        <v>1061</v>
      </c>
      <c r="D65" s="1151">
        <v>2.5000000000000001E-3</v>
      </c>
      <c r="E65" s="922">
        <v>0.1295</v>
      </c>
      <c r="F65" s="661">
        <v>0.12559999999999999</v>
      </c>
      <c r="G65" s="1001">
        <f t="shared" ref="G65:G73" si="9">IF($D65&gt;0,$D65,"")</f>
        <v>2.5000000000000001E-3</v>
      </c>
      <c r="H65" s="922">
        <v>0.12609999999999999</v>
      </c>
      <c r="I65" s="661">
        <v>0.1222</v>
      </c>
      <c r="J65" s="1002">
        <f t="shared" ref="J65:J73" si="10">IF($D65&gt;0,$D65,"")</f>
        <v>2.5000000000000001E-3</v>
      </c>
      <c r="K65" s="923">
        <v>0.1132</v>
      </c>
      <c r="L65" s="661">
        <v>0.10920000000000001</v>
      </c>
      <c r="M65" s="1003">
        <f t="shared" ref="M65:M73" si="11">IF($D65&gt;0,$D65,"")</f>
        <v>2.5000000000000001E-3</v>
      </c>
      <c r="N65" s="924">
        <v>9.0899999999999995E-2</v>
      </c>
      <c r="O65" s="666">
        <v>8.6999999999999994E-2</v>
      </c>
      <c r="P65" s="468"/>
      <c r="Q65" s="1006"/>
      <c r="R65" s="468"/>
      <c r="S65" s="1004">
        <f t="shared" ref="S65:S73" si="12">IF($D65&gt;0,$D65,"")</f>
        <v>2.5000000000000001E-3</v>
      </c>
      <c r="T65" s="924">
        <v>9.0899999999999995E-2</v>
      </c>
      <c r="U65" s="924">
        <v>8.6999999999999994E-2</v>
      </c>
      <c r="V65" s="468"/>
      <c r="W65" s="491"/>
      <c r="X65" s="505"/>
      <c r="Y65" s="468"/>
      <c r="Z65" s="907">
        <v>500</v>
      </c>
      <c r="AA65" s="499">
        <v>10000</v>
      </c>
      <c r="AB65" s="500">
        <v>0.2</v>
      </c>
      <c r="AC65" s="496"/>
      <c r="AD65" s="497"/>
      <c r="AE65" s="496"/>
      <c r="AF65" s="497"/>
      <c r="AG65" s="496"/>
      <c r="AH65" s="497"/>
      <c r="AI65" s="496"/>
      <c r="AJ65" s="497"/>
      <c r="AK65" s="206"/>
      <c r="AL65" s="642">
        <v>100</v>
      </c>
      <c r="AM65" s="642">
        <v>100</v>
      </c>
      <c r="AN65" s="206"/>
      <c r="AO65" s="640"/>
      <c r="AP65" s="1055"/>
      <c r="AQ65" s="658"/>
      <c r="AR65" s="206"/>
      <c r="AS65" s="499">
        <v>10000</v>
      </c>
      <c r="AT65" s="499">
        <v>100</v>
      </c>
      <c r="AU65" s="499">
        <v>10</v>
      </c>
      <c r="AV65" s="499">
        <v>10000</v>
      </c>
      <c r="AW65" s="206"/>
      <c r="AX65" s="1280">
        <v>10</v>
      </c>
      <c r="AY65" s="1281"/>
      <c r="AZ65" s="1282">
        <v>40</v>
      </c>
      <c r="BA65" s="1281"/>
      <c r="BB65" s="1283">
        <v>1000</v>
      </c>
      <c r="BC65" s="1281"/>
      <c r="BD65" s="1349">
        <v>10000</v>
      </c>
      <c r="BE65" s="1281"/>
      <c r="BF65" s="206"/>
      <c r="BG65" s="206"/>
      <c r="BH65" s="206"/>
      <c r="BI65" s="206"/>
      <c r="BJ65" s="206"/>
      <c r="BK65" s="865"/>
      <c r="BL65" s="865"/>
      <c r="BM65" s="865"/>
      <c r="BN65" s="865"/>
      <c r="BO65" s="865"/>
      <c r="BP65" s="865"/>
      <c r="BQ65" s="865"/>
      <c r="BR65" s="865"/>
      <c r="BS65" s="865"/>
      <c r="BT65" s="865"/>
      <c r="BU65" s="865"/>
      <c r="BV65" s="865"/>
      <c r="BW65" s="865"/>
      <c r="BX65" s="865"/>
      <c r="BY65" s="865"/>
      <c r="BZ65" s="865"/>
      <c r="CA65" s="865"/>
      <c r="CB65" s="865"/>
    </row>
    <row r="66" spans="1:80" ht="14.25" thickTop="1" thickBot="1">
      <c r="A66" s="673">
        <v>47</v>
      </c>
      <c r="B66" s="674">
        <v>2</v>
      </c>
      <c r="C66" s="921" t="s">
        <v>1062</v>
      </c>
      <c r="D66" s="1151">
        <v>2.5000000000000001E-3</v>
      </c>
      <c r="E66" s="922">
        <v>0.12920000000000001</v>
      </c>
      <c r="F66" s="661">
        <v>0.12529999999999999</v>
      </c>
      <c r="G66" s="1001">
        <f t="shared" si="9"/>
        <v>2.5000000000000001E-3</v>
      </c>
      <c r="H66" s="922">
        <v>0.1258</v>
      </c>
      <c r="I66" s="661">
        <v>0.12180000000000001</v>
      </c>
      <c r="J66" s="1002">
        <f t="shared" si="10"/>
        <v>2.5000000000000001E-3</v>
      </c>
      <c r="K66" s="923">
        <v>0.1129</v>
      </c>
      <c r="L66" s="661">
        <v>0.109</v>
      </c>
      <c r="M66" s="1003">
        <f t="shared" si="11"/>
        <v>2.5000000000000001E-3</v>
      </c>
      <c r="N66" s="924">
        <v>9.0700000000000003E-2</v>
      </c>
      <c r="O66" s="666">
        <v>8.6800000000000002E-2</v>
      </c>
      <c r="P66" s="468"/>
      <c r="Q66" s="1006"/>
      <c r="R66" s="468"/>
      <c r="S66" s="1004">
        <f t="shared" si="12"/>
        <v>2.5000000000000001E-3</v>
      </c>
      <c r="T66" s="924">
        <v>9.0700000000000003E-2</v>
      </c>
      <c r="U66" s="924">
        <v>8.6800000000000002E-2</v>
      </c>
      <c r="V66" s="468"/>
      <c r="W66" s="491"/>
      <c r="X66" s="505"/>
      <c r="Y66" s="468"/>
      <c r="Z66" s="907">
        <v>500</v>
      </c>
      <c r="AA66" s="499">
        <v>10000</v>
      </c>
      <c r="AB66" s="500">
        <v>0.2</v>
      </c>
      <c r="AC66" s="496"/>
      <c r="AD66" s="497"/>
      <c r="AE66" s="496"/>
      <c r="AF66" s="497"/>
      <c r="AG66" s="496"/>
      <c r="AH66" s="497"/>
      <c r="AI66" s="496"/>
      <c r="AJ66" s="497"/>
      <c r="AK66" s="206"/>
      <c r="AL66" s="642">
        <v>100</v>
      </c>
      <c r="AM66" s="642">
        <v>100</v>
      </c>
      <c r="AN66" s="206"/>
      <c r="AO66" s="640"/>
      <c r="AP66" s="1055"/>
      <c r="AQ66" s="658"/>
      <c r="AR66" s="206"/>
      <c r="AS66" s="499">
        <v>10000</v>
      </c>
      <c r="AT66" s="499">
        <v>100</v>
      </c>
      <c r="AU66" s="499">
        <v>10</v>
      </c>
      <c r="AV66" s="499">
        <v>10000</v>
      </c>
      <c r="AW66" s="206"/>
      <c r="AX66" s="1280">
        <v>10</v>
      </c>
      <c r="AY66" s="1281"/>
      <c r="AZ66" s="1282">
        <v>40</v>
      </c>
      <c r="BA66" s="1281"/>
      <c r="BB66" s="1283">
        <v>1000</v>
      </c>
      <c r="BC66" s="1281"/>
      <c r="BD66" s="1349">
        <v>10000</v>
      </c>
      <c r="BE66" s="1281"/>
      <c r="BF66" s="206"/>
      <c r="BG66" s="206"/>
      <c r="BH66" s="206"/>
      <c r="BI66" s="206"/>
      <c r="BJ66" s="206"/>
      <c r="BK66" s="865"/>
      <c r="BL66" s="865"/>
      <c r="BM66" s="865"/>
      <c r="BN66" s="865"/>
      <c r="BO66" s="865"/>
      <c r="BP66" s="865"/>
      <c r="BQ66" s="865"/>
      <c r="BR66" s="865"/>
      <c r="BS66" s="865"/>
      <c r="BT66" s="865"/>
      <c r="BU66" s="865"/>
      <c r="BV66" s="865"/>
      <c r="BW66" s="865"/>
      <c r="BX66" s="865"/>
      <c r="BY66" s="865"/>
      <c r="BZ66" s="865"/>
      <c r="CA66" s="865"/>
      <c r="CB66" s="865"/>
    </row>
    <row r="67" spans="1:80" ht="14.25" thickTop="1" thickBot="1">
      <c r="A67" s="671">
        <v>48</v>
      </c>
      <c r="B67" s="674">
        <v>3</v>
      </c>
      <c r="C67" s="921" t="s">
        <v>1063</v>
      </c>
      <c r="D67" s="1151">
        <v>2.5000000000000001E-3</v>
      </c>
      <c r="E67" s="922">
        <v>0.12889999999999999</v>
      </c>
      <c r="F67" s="661">
        <v>0.125</v>
      </c>
      <c r="G67" s="1001">
        <f t="shared" si="9"/>
        <v>2.5000000000000001E-3</v>
      </c>
      <c r="H67" s="922">
        <v>0.1255</v>
      </c>
      <c r="I67" s="661">
        <v>0.1215</v>
      </c>
      <c r="J67" s="1002">
        <f t="shared" si="10"/>
        <v>2.5000000000000001E-3</v>
      </c>
      <c r="K67" s="923">
        <v>0.11260000000000001</v>
      </c>
      <c r="L67" s="661">
        <v>0.1087</v>
      </c>
      <c r="M67" s="1003">
        <f t="shared" si="11"/>
        <v>2.5000000000000001E-3</v>
      </c>
      <c r="N67" s="924">
        <v>9.0499999999999997E-2</v>
      </c>
      <c r="O67" s="666">
        <v>8.6499999999999994E-2</v>
      </c>
      <c r="P67" s="468"/>
      <c r="Q67" s="1006"/>
      <c r="R67" s="468"/>
      <c r="S67" s="1004">
        <f t="shared" si="12"/>
        <v>2.5000000000000001E-3</v>
      </c>
      <c r="T67" s="924">
        <v>9.0499999999999997E-2</v>
      </c>
      <c r="U67" s="924">
        <v>8.6499999999999994E-2</v>
      </c>
      <c r="V67" s="468"/>
      <c r="W67" s="491"/>
      <c r="X67" s="505"/>
      <c r="Y67" s="468"/>
      <c r="Z67" s="907">
        <v>500</v>
      </c>
      <c r="AA67" s="499">
        <v>10000</v>
      </c>
      <c r="AB67" s="500">
        <v>0.2</v>
      </c>
      <c r="AC67" s="496"/>
      <c r="AD67" s="497"/>
      <c r="AE67" s="496"/>
      <c r="AF67" s="497"/>
      <c r="AG67" s="496"/>
      <c r="AH67" s="497"/>
      <c r="AI67" s="496"/>
      <c r="AJ67" s="497"/>
      <c r="AK67" s="206"/>
      <c r="AL67" s="642">
        <v>100</v>
      </c>
      <c r="AM67" s="642">
        <v>100</v>
      </c>
      <c r="AN67" s="206"/>
      <c r="AO67" s="640"/>
      <c r="AP67" s="1055"/>
      <c r="AQ67" s="658"/>
      <c r="AR67" s="206"/>
      <c r="AS67" s="499">
        <v>10000</v>
      </c>
      <c r="AT67" s="499">
        <v>100</v>
      </c>
      <c r="AU67" s="499">
        <v>10</v>
      </c>
      <c r="AV67" s="499">
        <v>10000</v>
      </c>
      <c r="AW67" s="206"/>
      <c r="AX67" s="1280">
        <v>10</v>
      </c>
      <c r="AY67" s="1281"/>
      <c r="AZ67" s="1282">
        <v>40</v>
      </c>
      <c r="BA67" s="1281"/>
      <c r="BB67" s="1283">
        <v>1000</v>
      </c>
      <c r="BC67" s="1281"/>
      <c r="BD67" s="1349">
        <v>10000</v>
      </c>
      <c r="BE67" s="1281"/>
      <c r="BF67" s="206"/>
      <c r="BG67" s="206"/>
      <c r="BH67" s="206"/>
      <c r="BI67" s="206"/>
      <c r="BJ67" s="206"/>
      <c r="BK67" s="865"/>
      <c r="BL67" s="865"/>
      <c r="BM67" s="865"/>
      <c r="BN67" s="865"/>
      <c r="BO67" s="865"/>
      <c r="BP67" s="865"/>
      <c r="BQ67" s="865"/>
      <c r="BR67" s="865"/>
      <c r="BS67" s="865"/>
      <c r="BT67" s="865"/>
      <c r="BU67" s="865"/>
      <c r="BV67" s="865"/>
      <c r="BW67" s="865"/>
      <c r="BX67" s="865"/>
      <c r="BY67" s="865"/>
      <c r="BZ67" s="865"/>
      <c r="CA67" s="865"/>
      <c r="CB67" s="865"/>
    </row>
    <row r="68" spans="1:80" ht="14.25" thickTop="1" thickBot="1">
      <c r="A68" s="673">
        <v>49</v>
      </c>
      <c r="B68" s="674">
        <v>4</v>
      </c>
      <c r="C68" s="921" t="s">
        <v>1064</v>
      </c>
      <c r="D68" s="1151">
        <v>2.5000000000000001E-3</v>
      </c>
      <c r="E68" s="922">
        <v>0.12859999999999999</v>
      </c>
      <c r="F68" s="661">
        <v>0.12470000000000001</v>
      </c>
      <c r="G68" s="1001">
        <f t="shared" si="9"/>
        <v>2.5000000000000001E-3</v>
      </c>
      <c r="H68" s="922">
        <v>0.12509999999999999</v>
      </c>
      <c r="I68" s="661">
        <v>0.1212</v>
      </c>
      <c r="J68" s="1002">
        <f t="shared" si="10"/>
        <v>2.5000000000000001E-3</v>
      </c>
      <c r="K68" s="923">
        <v>0.1123</v>
      </c>
      <c r="L68" s="661">
        <v>0.1084</v>
      </c>
      <c r="M68" s="1003">
        <f t="shared" si="11"/>
        <v>2.5000000000000001E-3</v>
      </c>
      <c r="N68" s="924">
        <v>9.0200000000000002E-2</v>
      </c>
      <c r="O68" s="666">
        <v>8.6300000000000002E-2</v>
      </c>
      <c r="P68" s="468"/>
      <c r="Q68" s="1006"/>
      <c r="R68" s="468"/>
      <c r="S68" s="1004">
        <f t="shared" si="12"/>
        <v>2.5000000000000001E-3</v>
      </c>
      <c r="T68" s="924">
        <v>9.0200000000000002E-2</v>
      </c>
      <c r="U68" s="924">
        <v>8.6300000000000002E-2</v>
      </c>
      <c r="V68" s="468"/>
      <c r="W68" s="491"/>
      <c r="X68" s="505"/>
      <c r="Y68" s="468"/>
      <c r="Z68" s="907">
        <v>500</v>
      </c>
      <c r="AA68" s="499">
        <v>10000</v>
      </c>
      <c r="AB68" s="500">
        <v>0.2</v>
      </c>
      <c r="AC68" s="496"/>
      <c r="AD68" s="497"/>
      <c r="AE68" s="496"/>
      <c r="AF68" s="497"/>
      <c r="AG68" s="496"/>
      <c r="AH68" s="497"/>
      <c r="AI68" s="496"/>
      <c r="AJ68" s="497"/>
      <c r="AK68" s="206"/>
      <c r="AL68" s="642">
        <v>100</v>
      </c>
      <c r="AM68" s="642">
        <v>100</v>
      </c>
      <c r="AN68" s="206"/>
      <c r="AO68" s="640"/>
      <c r="AP68" s="1055"/>
      <c r="AQ68" s="658"/>
      <c r="AR68" s="206"/>
      <c r="AS68" s="499">
        <v>10000</v>
      </c>
      <c r="AT68" s="499">
        <v>100</v>
      </c>
      <c r="AU68" s="499">
        <v>10</v>
      </c>
      <c r="AV68" s="499">
        <v>10000</v>
      </c>
      <c r="AW68" s="206"/>
      <c r="AX68" s="1280">
        <v>10</v>
      </c>
      <c r="AY68" s="1281"/>
      <c r="AZ68" s="1282">
        <v>40</v>
      </c>
      <c r="BA68" s="1281"/>
      <c r="BB68" s="1283">
        <v>1000</v>
      </c>
      <c r="BC68" s="1281"/>
      <c r="BD68" s="1349">
        <v>10000</v>
      </c>
      <c r="BE68" s="1281"/>
      <c r="BF68" s="206"/>
      <c r="BG68" s="206"/>
      <c r="BH68" s="206"/>
      <c r="BI68" s="206"/>
      <c r="BJ68" s="206"/>
      <c r="BK68" s="865"/>
      <c r="BL68" s="865"/>
      <c r="BM68" s="865"/>
      <c r="BN68" s="865"/>
      <c r="BO68" s="865"/>
      <c r="BP68" s="865"/>
      <c r="BQ68" s="865"/>
      <c r="BR68" s="865"/>
      <c r="BS68" s="865"/>
      <c r="BT68" s="865"/>
      <c r="BU68" s="865"/>
      <c r="BV68" s="865"/>
      <c r="BW68" s="865"/>
      <c r="BX68" s="865"/>
      <c r="BY68" s="865"/>
      <c r="BZ68" s="865"/>
      <c r="CA68" s="865"/>
      <c r="CB68" s="865"/>
    </row>
    <row r="69" spans="1:80" ht="14.25" thickTop="1" thickBot="1">
      <c r="A69" s="671">
        <v>50</v>
      </c>
      <c r="B69" s="674">
        <v>5</v>
      </c>
      <c r="C69" s="921" t="s">
        <v>1065</v>
      </c>
      <c r="D69" s="1151">
        <v>2.5000000000000001E-3</v>
      </c>
      <c r="E69" s="922">
        <v>0.12820000000000001</v>
      </c>
      <c r="F69" s="661">
        <v>0.12429999999999999</v>
      </c>
      <c r="G69" s="1001">
        <f t="shared" si="9"/>
        <v>2.5000000000000001E-3</v>
      </c>
      <c r="H69" s="922">
        <v>0.12479999999999999</v>
      </c>
      <c r="I69" s="661">
        <v>0.12089999999999999</v>
      </c>
      <c r="J69" s="1002">
        <f t="shared" si="10"/>
        <v>2.5000000000000001E-3</v>
      </c>
      <c r="K69" s="923">
        <v>0.11210000000000001</v>
      </c>
      <c r="L69" s="661">
        <v>0.1082</v>
      </c>
      <c r="M69" s="1003">
        <f t="shared" si="11"/>
        <v>2.5000000000000001E-3</v>
      </c>
      <c r="N69" s="924">
        <v>0.09</v>
      </c>
      <c r="O69" s="666">
        <v>8.6099999999999996E-2</v>
      </c>
      <c r="P69" s="468"/>
      <c r="Q69" s="1006"/>
      <c r="R69" s="468"/>
      <c r="S69" s="1004">
        <f t="shared" si="12"/>
        <v>2.5000000000000001E-3</v>
      </c>
      <c r="T69" s="924">
        <v>0.09</v>
      </c>
      <c r="U69" s="924">
        <v>8.6099999999999996E-2</v>
      </c>
      <c r="V69" s="468"/>
      <c r="W69" s="491"/>
      <c r="X69" s="505"/>
      <c r="Y69" s="468"/>
      <c r="Z69" s="907">
        <v>500</v>
      </c>
      <c r="AA69" s="499">
        <v>10000</v>
      </c>
      <c r="AB69" s="500">
        <v>0.2</v>
      </c>
      <c r="AC69" s="496"/>
      <c r="AD69" s="497"/>
      <c r="AE69" s="496"/>
      <c r="AF69" s="497"/>
      <c r="AG69" s="496"/>
      <c r="AH69" s="497"/>
      <c r="AI69" s="496"/>
      <c r="AJ69" s="497"/>
      <c r="AK69" s="206"/>
      <c r="AL69" s="642">
        <v>100</v>
      </c>
      <c r="AM69" s="642">
        <v>100</v>
      </c>
      <c r="AN69" s="206"/>
      <c r="AO69" s="640"/>
      <c r="AP69" s="1055"/>
      <c r="AQ69" s="658"/>
      <c r="AR69" s="206"/>
      <c r="AS69" s="499">
        <v>10000</v>
      </c>
      <c r="AT69" s="499">
        <v>100</v>
      </c>
      <c r="AU69" s="499">
        <v>10</v>
      </c>
      <c r="AV69" s="499">
        <v>10000</v>
      </c>
      <c r="AW69" s="206"/>
      <c r="AX69" s="1280">
        <v>10</v>
      </c>
      <c r="AY69" s="1281"/>
      <c r="AZ69" s="1282">
        <v>40</v>
      </c>
      <c r="BA69" s="1281"/>
      <c r="BB69" s="1283">
        <v>1000</v>
      </c>
      <c r="BC69" s="1281"/>
      <c r="BD69" s="1349">
        <v>10000</v>
      </c>
      <c r="BE69" s="1281"/>
      <c r="BF69" s="206"/>
      <c r="BG69" s="206"/>
      <c r="BH69" s="206"/>
      <c r="BI69" s="206"/>
      <c r="BJ69" s="206"/>
      <c r="BK69" s="865"/>
      <c r="BL69" s="865"/>
      <c r="BM69" s="865"/>
      <c r="BN69" s="865"/>
      <c r="BO69" s="865"/>
      <c r="BP69" s="865"/>
      <c r="BQ69" s="865"/>
      <c r="BR69" s="865"/>
      <c r="BS69" s="865"/>
      <c r="BT69" s="865"/>
      <c r="BU69" s="865"/>
      <c r="BV69" s="865"/>
      <c r="BW69" s="865"/>
      <c r="BX69" s="865"/>
      <c r="BY69" s="865"/>
      <c r="BZ69" s="865"/>
      <c r="CA69" s="865"/>
      <c r="CB69" s="865"/>
    </row>
    <row r="70" spans="1:80" ht="14.25" thickTop="1" thickBot="1">
      <c r="A70" s="673">
        <v>51</v>
      </c>
      <c r="B70" s="674">
        <v>6</v>
      </c>
      <c r="C70" s="921" t="s">
        <v>1066</v>
      </c>
      <c r="D70" s="1151">
        <v>2.5000000000000001E-3</v>
      </c>
      <c r="E70" s="922">
        <v>0.12790000000000001</v>
      </c>
      <c r="F70" s="661">
        <v>0.124</v>
      </c>
      <c r="G70" s="1001">
        <f t="shared" si="9"/>
        <v>2.5000000000000001E-3</v>
      </c>
      <c r="H70" s="922">
        <v>0.1245</v>
      </c>
      <c r="I70" s="661">
        <v>0.1206</v>
      </c>
      <c r="J70" s="1002">
        <f t="shared" si="10"/>
        <v>2.5000000000000001E-3</v>
      </c>
      <c r="K70" s="923">
        <v>0.1118</v>
      </c>
      <c r="L70" s="661">
        <v>0.1079</v>
      </c>
      <c r="M70" s="1003">
        <f t="shared" si="11"/>
        <v>2.5000000000000001E-3</v>
      </c>
      <c r="N70" s="924">
        <v>8.9800000000000005E-2</v>
      </c>
      <c r="O70" s="666">
        <v>8.5900000000000004E-2</v>
      </c>
      <c r="P70" s="468"/>
      <c r="Q70" s="1006"/>
      <c r="R70" s="468"/>
      <c r="S70" s="1004">
        <f t="shared" si="12"/>
        <v>2.5000000000000001E-3</v>
      </c>
      <c r="T70" s="924">
        <v>8.9800000000000005E-2</v>
      </c>
      <c r="U70" s="924">
        <v>8.5900000000000004E-2</v>
      </c>
      <c r="V70" s="468"/>
      <c r="W70" s="491"/>
      <c r="X70" s="505"/>
      <c r="Y70" s="468"/>
      <c r="Z70" s="907">
        <v>500</v>
      </c>
      <c r="AA70" s="499">
        <v>10000</v>
      </c>
      <c r="AB70" s="500">
        <v>0.2</v>
      </c>
      <c r="AC70" s="496"/>
      <c r="AD70" s="497"/>
      <c r="AE70" s="496"/>
      <c r="AF70" s="497"/>
      <c r="AG70" s="496"/>
      <c r="AH70" s="497"/>
      <c r="AI70" s="496"/>
      <c r="AJ70" s="497"/>
      <c r="AK70" s="206"/>
      <c r="AL70" s="642">
        <v>100</v>
      </c>
      <c r="AM70" s="642">
        <v>100</v>
      </c>
      <c r="AN70" s="206"/>
      <c r="AO70" s="640"/>
      <c r="AP70" s="1055"/>
      <c r="AQ70" s="658"/>
      <c r="AR70" s="206"/>
      <c r="AS70" s="499">
        <v>10000</v>
      </c>
      <c r="AT70" s="499">
        <v>100</v>
      </c>
      <c r="AU70" s="499">
        <v>10</v>
      </c>
      <c r="AV70" s="499">
        <v>10000</v>
      </c>
      <c r="AW70" s="206"/>
      <c r="AX70" s="1280">
        <v>10</v>
      </c>
      <c r="AY70" s="1281"/>
      <c r="AZ70" s="1282">
        <v>40</v>
      </c>
      <c r="BA70" s="1281"/>
      <c r="BB70" s="1283">
        <v>1000</v>
      </c>
      <c r="BC70" s="1281"/>
      <c r="BD70" s="1349">
        <v>10000</v>
      </c>
      <c r="BE70" s="1281"/>
      <c r="BF70" s="206"/>
      <c r="BG70" s="206"/>
      <c r="BH70" s="206"/>
      <c r="BI70" s="206"/>
      <c r="BJ70" s="206"/>
      <c r="BK70" s="865"/>
      <c r="BL70" s="865"/>
      <c r="BM70" s="865"/>
      <c r="BN70" s="865"/>
      <c r="BO70" s="865"/>
      <c r="BP70" s="865"/>
      <c r="BQ70" s="865"/>
      <c r="BR70" s="865"/>
      <c r="BS70" s="865"/>
      <c r="BT70" s="865"/>
      <c r="BU70" s="865"/>
      <c r="BV70" s="865"/>
      <c r="BW70" s="865"/>
      <c r="BX70" s="865"/>
      <c r="BY70" s="865"/>
      <c r="BZ70" s="865"/>
      <c r="CA70" s="865"/>
      <c r="CB70" s="865"/>
    </row>
    <row r="71" spans="1:80" ht="14.25" thickTop="1" thickBot="1">
      <c r="A71" s="673">
        <v>52</v>
      </c>
      <c r="B71" s="674">
        <v>7</v>
      </c>
      <c r="C71" s="921" t="s">
        <v>1068</v>
      </c>
      <c r="D71" s="1151">
        <v>2.5000000000000001E-3</v>
      </c>
      <c r="E71" s="922">
        <v>0.12759999999999999</v>
      </c>
      <c r="F71" s="661">
        <v>0.1237</v>
      </c>
      <c r="G71" s="1001">
        <f t="shared" si="9"/>
        <v>2.5000000000000001E-3</v>
      </c>
      <c r="H71" s="922">
        <v>0.1242</v>
      </c>
      <c r="I71" s="661">
        <v>0.1203</v>
      </c>
      <c r="J71" s="1002">
        <f t="shared" si="10"/>
        <v>2.5000000000000001E-3</v>
      </c>
      <c r="K71" s="923">
        <v>0.1115</v>
      </c>
      <c r="L71" s="661">
        <v>0.1076</v>
      </c>
      <c r="M71" s="1003">
        <f t="shared" si="11"/>
        <v>2.5000000000000001E-3</v>
      </c>
      <c r="N71" s="924">
        <v>8.9599999999999999E-2</v>
      </c>
      <c r="O71" s="666">
        <v>8.5699999999999998E-2</v>
      </c>
      <c r="P71" s="468"/>
      <c r="Q71" s="1006"/>
      <c r="R71" s="468"/>
      <c r="S71" s="1004">
        <f t="shared" si="12"/>
        <v>2.5000000000000001E-3</v>
      </c>
      <c r="T71" s="924">
        <v>8.9599999999999999E-2</v>
      </c>
      <c r="U71" s="924">
        <v>8.5699999999999998E-2</v>
      </c>
      <c r="V71" s="468"/>
      <c r="W71" s="491"/>
      <c r="X71" s="505"/>
      <c r="Y71" s="468"/>
      <c r="Z71" s="907">
        <v>500</v>
      </c>
      <c r="AA71" s="499">
        <v>10000</v>
      </c>
      <c r="AB71" s="500">
        <v>0.2</v>
      </c>
      <c r="AC71" s="496"/>
      <c r="AD71" s="497"/>
      <c r="AE71" s="496"/>
      <c r="AF71" s="497"/>
      <c r="AG71" s="496"/>
      <c r="AH71" s="497"/>
      <c r="AI71" s="496"/>
      <c r="AJ71" s="497"/>
      <c r="AK71" s="206"/>
      <c r="AL71" s="642">
        <v>100</v>
      </c>
      <c r="AM71" s="642">
        <v>100</v>
      </c>
      <c r="AN71" s="206"/>
      <c r="AO71" s="640"/>
      <c r="AP71" s="1055"/>
      <c r="AQ71" s="658"/>
      <c r="AR71" s="206"/>
      <c r="AS71" s="499">
        <v>10000</v>
      </c>
      <c r="AT71" s="499">
        <v>100</v>
      </c>
      <c r="AU71" s="499">
        <v>10</v>
      </c>
      <c r="AV71" s="499">
        <v>10000</v>
      </c>
      <c r="AW71" s="206"/>
      <c r="AX71" s="1280">
        <v>10</v>
      </c>
      <c r="AY71" s="1281"/>
      <c r="AZ71" s="1282">
        <v>40</v>
      </c>
      <c r="BA71" s="1281"/>
      <c r="BB71" s="1283">
        <v>1000</v>
      </c>
      <c r="BC71" s="1281"/>
      <c r="BD71" s="1349">
        <v>10000</v>
      </c>
      <c r="BE71" s="1281"/>
      <c r="BF71" s="206"/>
      <c r="BG71" s="206"/>
      <c r="BH71" s="206"/>
      <c r="BI71" s="206"/>
      <c r="BJ71" s="206"/>
      <c r="BK71" s="865"/>
      <c r="BL71" s="865"/>
      <c r="BM71" s="865"/>
      <c r="BN71" s="865"/>
      <c r="BO71" s="865"/>
      <c r="BP71" s="865"/>
      <c r="BQ71" s="865"/>
      <c r="BR71" s="865"/>
      <c r="BS71" s="865"/>
      <c r="BT71" s="865"/>
      <c r="BU71" s="865"/>
      <c r="BV71" s="865"/>
      <c r="BW71" s="865"/>
      <c r="BX71" s="865"/>
      <c r="BY71" s="865"/>
      <c r="BZ71" s="865"/>
      <c r="CA71" s="865"/>
      <c r="CB71" s="865"/>
    </row>
    <row r="72" spans="1:80" ht="14.25" thickTop="1" thickBot="1">
      <c r="A72" s="671">
        <v>53</v>
      </c>
      <c r="B72" s="674">
        <v>8</v>
      </c>
      <c r="C72" s="921" t="s">
        <v>1069</v>
      </c>
      <c r="D72" s="1151">
        <v>2.5000000000000001E-3</v>
      </c>
      <c r="E72" s="922">
        <v>0.1273</v>
      </c>
      <c r="F72" s="661">
        <v>0.1234</v>
      </c>
      <c r="G72" s="1001">
        <f t="shared" si="9"/>
        <v>2.5000000000000001E-3</v>
      </c>
      <c r="H72" s="922">
        <v>0.1239</v>
      </c>
      <c r="I72" s="661">
        <v>0.12</v>
      </c>
      <c r="J72" s="1002">
        <f t="shared" si="10"/>
        <v>2.5000000000000001E-3</v>
      </c>
      <c r="K72" s="923">
        <v>0.11119999999999999</v>
      </c>
      <c r="L72" s="661">
        <v>0.10730000000000001</v>
      </c>
      <c r="M72" s="1003">
        <f t="shared" si="11"/>
        <v>2.5000000000000001E-3</v>
      </c>
      <c r="N72" s="924">
        <v>8.9300000000000004E-2</v>
      </c>
      <c r="O72" s="666">
        <v>8.5500000000000007E-2</v>
      </c>
      <c r="P72" s="468"/>
      <c r="Q72" s="1006"/>
      <c r="R72" s="468"/>
      <c r="S72" s="1004">
        <f t="shared" si="12"/>
        <v>2.5000000000000001E-3</v>
      </c>
      <c r="T72" s="924">
        <v>8.9300000000000004E-2</v>
      </c>
      <c r="U72" s="924">
        <v>8.5500000000000007E-2</v>
      </c>
      <c r="V72" s="468"/>
      <c r="W72" s="491"/>
      <c r="X72" s="505"/>
      <c r="Y72" s="468"/>
      <c r="Z72" s="907">
        <v>500</v>
      </c>
      <c r="AA72" s="499">
        <v>10000</v>
      </c>
      <c r="AB72" s="500">
        <v>0.2</v>
      </c>
      <c r="AC72" s="496"/>
      <c r="AD72" s="497"/>
      <c r="AE72" s="496"/>
      <c r="AF72" s="497"/>
      <c r="AG72" s="496"/>
      <c r="AH72" s="497"/>
      <c r="AI72" s="496"/>
      <c r="AJ72" s="497"/>
      <c r="AK72" s="206"/>
      <c r="AL72" s="642">
        <v>100</v>
      </c>
      <c r="AM72" s="642">
        <v>100</v>
      </c>
      <c r="AN72" s="206"/>
      <c r="AO72" s="640"/>
      <c r="AP72" s="1055"/>
      <c r="AQ72" s="658"/>
      <c r="AR72" s="206"/>
      <c r="AS72" s="499">
        <v>10000</v>
      </c>
      <c r="AT72" s="499">
        <v>100</v>
      </c>
      <c r="AU72" s="499">
        <v>10</v>
      </c>
      <c r="AV72" s="499">
        <v>10000</v>
      </c>
      <c r="AW72" s="206"/>
      <c r="AX72" s="1280">
        <v>10</v>
      </c>
      <c r="AY72" s="1281"/>
      <c r="AZ72" s="1282">
        <v>40</v>
      </c>
      <c r="BA72" s="1281"/>
      <c r="BB72" s="1283">
        <v>1000</v>
      </c>
      <c r="BC72" s="1281"/>
      <c r="BD72" s="1349">
        <v>10000</v>
      </c>
      <c r="BE72" s="1281"/>
      <c r="BF72" s="206"/>
      <c r="BG72" s="206"/>
      <c r="BH72" s="206"/>
      <c r="BI72" s="206"/>
      <c r="BJ72" s="206"/>
      <c r="BK72" s="865"/>
      <c r="BL72" s="865"/>
      <c r="BM72" s="865"/>
      <c r="BN72" s="865"/>
      <c r="BO72" s="865"/>
      <c r="BP72" s="865"/>
      <c r="BQ72" s="865"/>
      <c r="BR72" s="865"/>
      <c r="BS72" s="865"/>
      <c r="BT72" s="865"/>
      <c r="BU72" s="865"/>
      <c r="BV72" s="865"/>
      <c r="BW72" s="865"/>
      <c r="BX72" s="865"/>
      <c r="BY72" s="865"/>
      <c r="BZ72" s="865"/>
      <c r="CA72" s="865"/>
      <c r="CB72" s="865"/>
    </row>
    <row r="73" spans="1:80" ht="14.25" thickTop="1" thickBot="1">
      <c r="A73" s="673">
        <v>54</v>
      </c>
      <c r="B73" s="674">
        <v>9</v>
      </c>
      <c r="C73" s="921" t="s">
        <v>1070</v>
      </c>
      <c r="D73" s="1151">
        <v>2.5000000000000001E-3</v>
      </c>
      <c r="E73" s="922">
        <v>0.127</v>
      </c>
      <c r="F73" s="661">
        <v>0.1231</v>
      </c>
      <c r="G73" s="1001">
        <f t="shared" si="9"/>
        <v>2.5000000000000001E-3</v>
      </c>
      <c r="H73" s="922">
        <v>0.1236</v>
      </c>
      <c r="I73" s="661">
        <v>0.1197</v>
      </c>
      <c r="J73" s="1002">
        <f t="shared" si="10"/>
        <v>2.5000000000000001E-3</v>
      </c>
      <c r="K73" s="923">
        <v>0.1109</v>
      </c>
      <c r="L73" s="661">
        <v>0.1071</v>
      </c>
      <c r="M73" s="1003">
        <f t="shared" si="11"/>
        <v>2.5000000000000001E-3</v>
      </c>
      <c r="N73" s="924">
        <v>8.9099999999999999E-2</v>
      </c>
      <c r="O73" s="666">
        <v>8.5300000000000001E-2</v>
      </c>
      <c r="P73" s="468"/>
      <c r="Q73" s="1006"/>
      <c r="R73" s="468"/>
      <c r="S73" s="1004">
        <f t="shared" si="12"/>
        <v>2.5000000000000001E-3</v>
      </c>
      <c r="T73" s="924">
        <v>8.9099999999999999E-2</v>
      </c>
      <c r="U73" s="924">
        <v>8.5300000000000001E-2</v>
      </c>
      <c r="V73" s="468"/>
      <c r="W73" s="491"/>
      <c r="X73" s="505"/>
      <c r="Y73" s="468"/>
      <c r="Z73" s="907">
        <v>500</v>
      </c>
      <c r="AA73" s="499">
        <v>10000</v>
      </c>
      <c r="AB73" s="500">
        <v>0.2</v>
      </c>
      <c r="AC73" s="496"/>
      <c r="AD73" s="497"/>
      <c r="AE73" s="496"/>
      <c r="AF73" s="497"/>
      <c r="AG73" s="496"/>
      <c r="AH73" s="497"/>
      <c r="AI73" s="496"/>
      <c r="AJ73" s="497"/>
      <c r="AK73" s="206"/>
      <c r="AL73" s="642">
        <v>100</v>
      </c>
      <c r="AM73" s="642">
        <v>100</v>
      </c>
      <c r="AN73" s="206"/>
      <c r="AO73" s="499">
        <v>1000</v>
      </c>
      <c r="AP73" s="499">
        <v>2</v>
      </c>
      <c r="AQ73" s="642"/>
      <c r="AR73" s="206"/>
      <c r="AS73" s="499">
        <v>10000</v>
      </c>
      <c r="AT73" s="499">
        <v>100</v>
      </c>
      <c r="AU73" s="499">
        <v>10</v>
      </c>
      <c r="AV73" s="499">
        <v>10000</v>
      </c>
      <c r="AW73" s="206"/>
      <c r="AX73" s="1280">
        <v>10</v>
      </c>
      <c r="AY73" s="1281"/>
      <c r="AZ73" s="1282">
        <v>40</v>
      </c>
      <c r="BA73" s="1281"/>
      <c r="BB73" s="1283">
        <v>1000</v>
      </c>
      <c r="BC73" s="1281"/>
      <c r="BD73" s="1349">
        <v>10000</v>
      </c>
      <c r="BE73" s="1281"/>
      <c r="BF73" s="206"/>
      <c r="BG73" s="206"/>
      <c r="BH73" s="206"/>
      <c r="BI73" s="206"/>
      <c r="BJ73" s="206"/>
      <c r="BK73" s="865"/>
      <c r="BL73" s="865"/>
      <c r="BM73" s="865"/>
      <c r="BN73" s="865"/>
      <c r="BO73" s="865"/>
      <c r="BP73" s="865"/>
      <c r="BQ73" s="865"/>
      <c r="BR73" s="865"/>
      <c r="BS73" s="865"/>
      <c r="BT73" s="865"/>
      <c r="BU73" s="865"/>
      <c r="BV73" s="865"/>
      <c r="BW73" s="865"/>
      <c r="BX73" s="865"/>
      <c r="BY73" s="865"/>
      <c r="BZ73" s="865"/>
      <c r="CA73" s="865"/>
      <c r="CB73" s="865"/>
    </row>
    <row r="74" spans="1:80" ht="14.25" thickTop="1" thickBot="1">
      <c r="A74" s="673">
        <v>55</v>
      </c>
      <c r="B74" s="674">
        <v>10</v>
      </c>
      <c r="C74" s="921" t="s">
        <v>1071</v>
      </c>
      <c r="D74" s="1151">
        <v>0</v>
      </c>
      <c r="E74" s="922">
        <v>0.127</v>
      </c>
      <c r="F74" s="661">
        <v>0.1231</v>
      </c>
      <c r="G74" s="1001">
        <v>0</v>
      </c>
      <c r="H74" s="922">
        <v>0.1236</v>
      </c>
      <c r="I74" s="661">
        <v>0.1197</v>
      </c>
      <c r="J74" s="1002">
        <v>0</v>
      </c>
      <c r="K74" s="923">
        <v>0.1109</v>
      </c>
      <c r="L74" s="661">
        <v>0.1071</v>
      </c>
      <c r="M74" s="1003">
        <v>0</v>
      </c>
      <c r="N74" s="924">
        <v>8.9099999999999999E-2</v>
      </c>
      <c r="O74" s="666">
        <v>8.5300000000000001E-2</v>
      </c>
      <c r="P74" s="468"/>
      <c r="Q74" s="1006"/>
      <c r="R74" s="468"/>
      <c r="S74" s="1004">
        <v>0</v>
      </c>
      <c r="T74" s="924">
        <v>8.9099999999999999E-2</v>
      </c>
      <c r="U74" s="924">
        <v>8.5300000000000001E-2</v>
      </c>
      <c r="V74" s="468"/>
      <c r="W74" s="491"/>
      <c r="X74" s="505"/>
      <c r="Y74" s="468"/>
      <c r="Z74" s="907">
        <v>500</v>
      </c>
      <c r="AA74" s="499">
        <v>10000</v>
      </c>
      <c r="AB74" s="500">
        <v>0.2</v>
      </c>
      <c r="AC74" s="496"/>
      <c r="AD74" s="497"/>
      <c r="AE74" s="496"/>
      <c r="AF74" s="497"/>
      <c r="AG74" s="496"/>
      <c r="AH74" s="497"/>
      <c r="AI74" s="496"/>
      <c r="AJ74" s="497"/>
      <c r="AK74" s="206"/>
      <c r="AL74" s="642">
        <v>100</v>
      </c>
      <c r="AM74" s="642">
        <v>100</v>
      </c>
      <c r="AN74" s="206"/>
      <c r="AO74" s="499">
        <v>1000</v>
      </c>
      <c r="AP74" s="499">
        <v>2</v>
      </c>
      <c r="AQ74" s="642"/>
      <c r="AR74" s="206"/>
      <c r="AS74" s="499">
        <v>10000</v>
      </c>
      <c r="AT74" s="499">
        <v>100</v>
      </c>
      <c r="AU74" s="499">
        <v>10</v>
      </c>
      <c r="AV74" s="499">
        <v>10000</v>
      </c>
      <c r="AW74" s="206"/>
      <c r="AX74" s="1280">
        <v>10</v>
      </c>
      <c r="AY74" s="1281"/>
      <c r="AZ74" s="1282">
        <v>40</v>
      </c>
      <c r="BA74" s="1281"/>
      <c r="BB74" s="1283">
        <v>1000</v>
      </c>
      <c r="BC74" s="1281"/>
      <c r="BD74" s="1349">
        <v>10000</v>
      </c>
      <c r="BE74" s="1281"/>
      <c r="BF74" s="206"/>
      <c r="BG74" s="206"/>
      <c r="BH74" s="206"/>
      <c r="BI74" s="206"/>
      <c r="BJ74" s="206"/>
      <c r="BK74" s="865"/>
      <c r="BL74" s="865"/>
      <c r="BM74" s="865"/>
      <c r="BN74" s="865"/>
      <c r="BO74" s="865"/>
      <c r="BP74" s="865"/>
      <c r="BQ74" s="865"/>
      <c r="BR74" s="865"/>
      <c r="BS74" s="865"/>
      <c r="BT74" s="865"/>
      <c r="BU74" s="865"/>
      <c r="BV74" s="865"/>
      <c r="BW74" s="865"/>
      <c r="BX74" s="865"/>
      <c r="BY74" s="865"/>
      <c r="BZ74" s="865"/>
      <c r="CA74" s="865"/>
      <c r="CB74" s="865"/>
    </row>
    <row r="75" spans="1:80" ht="14.25" thickTop="1" thickBot="1">
      <c r="A75" s="673">
        <v>56</v>
      </c>
      <c r="B75" s="674">
        <v>11</v>
      </c>
      <c r="C75" s="921" t="s">
        <v>1072</v>
      </c>
      <c r="D75" s="1151">
        <v>0</v>
      </c>
      <c r="E75" s="922">
        <v>0.127</v>
      </c>
      <c r="F75" s="661">
        <v>0.1231</v>
      </c>
      <c r="G75" s="1001">
        <v>0</v>
      </c>
      <c r="H75" s="922">
        <v>0.1236</v>
      </c>
      <c r="I75" s="661">
        <v>0.1197</v>
      </c>
      <c r="J75" s="1002">
        <v>0</v>
      </c>
      <c r="K75" s="923">
        <v>0.1109</v>
      </c>
      <c r="L75" s="661">
        <v>0.1071</v>
      </c>
      <c r="M75" s="1003">
        <v>0</v>
      </c>
      <c r="N75" s="924">
        <v>8.9099999999999999E-2</v>
      </c>
      <c r="O75" s="666">
        <v>8.5300000000000001E-2</v>
      </c>
      <c r="P75" s="468"/>
      <c r="Q75" s="1006"/>
      <c r="R75" s="468"/>
      <c r="S75" s="1004">
        <v>0</v>
      </c>
      <c r="T75" s="924">
        <v>8.9099999999999999E-2</v>
      </c>
      <c r="U75" s="924">
        <v>8.5300000000000001E-2</v>
      </c>
      <c r="V75" s="468"/>
      <c r="W75" s="491"/>
      <c r="X75" s="505"/>
      <c r="Y75" s="468"/>
      <c r="Z75" s="907">
        <v>500</v>
      </c>
      <c r="AA75" s="499">
        <v>10000</v>
      </c>
      <c r="AB75" s="500">
        <v>0.2</v>
      </c>
      <c r="AC75" s="496"/>
      <c r="AD75" s="497"/>
      <c r="AE75" s="496"/>
      <c r="AF75" s="497"/>
      <c r="AG75" s="496"/>
      <c r="AH75" s="497"/>
      <c r="AI75" s="496"/>
      <c r="AJ75" s="497"/>
      <c r="AK75" s="206"/>
      <c r="AL75" s="642">
        <v>100</v>
      </c>
      <c r="AM75" s="642">
        <v>100</v>
      </c>
      <c r="AN75" s="206"/>
      <c r="AO75" s="499">
        <v>1000</v>
      </c>
      <c r="AP75" s="499">
        <v>2</v>
      </c>
      <c r="AQ75" s="642"/>
      <c r="AR75" s="206"/>
      <c r="AS75" s="499">
        <v>10000</v>
      </c>
      <c r="AT75" s="499">
        <v>100</v>
      </c>
      <c r="AU75" s="499">
        <v>10</v>
      </c>
      <c r="AV75" s="499">
        <v>10000</v>
      </c>
      <c r="AW75" s="206"/>
      <c r="AX75" s="1280">
        <v>10</v>
      </c>
      <c r="AY75" s="1281"/>
      <c r="AZ75" s="1282">
        <v>40</v>
      </c>
      <c r="BA75" s="1281"/>
      <c r="BB75" s="1283">
        <v>1000</v>
      </c>
      <c r="BC75" s="1281"/>
      <c r="BD75" s="1349">
        <v>10000</v>
      </c>
      <c r="BE75" s="1281"/>
      <c r="BF75" s="206"/>
      <c r="BG75" s="206"/>
      <c r="BH75" s="206"/>
      <c r="BI75" s="206"/>
      <c r="BJ75" s="206"/>
      <c r="BK75" s="865"/>
      <c r="BL75" s="865"/>
      <c r="BM75" s="865"/>
      <c r="BN75" s="865"/>
      <c r="BO75" s="865"/>
      <c r="BP75" s="865"/>
      <c r="BQ75" s="865"/>
      <c r="BR75" s="865"/>
      <c r="BS75" s="865"/>
      <c r="BT75" s="865"/>
      <c r="BU75" s="865"/>
      <c r="BV75" s="865"/>
      <c r="BW75" s="865"/>
      <c r="BX75" s="865"/>
      <c r="BY75" s="865"/>
      <c r="BZ75" s="865"/>
      <c r="CA75" s="865"/>
      <c r="CB75" s="865"/>
    </row>
    <row r="76" spans="1:80" ht="14.25" thickTop="1" thickBot="1">
      <c r="A76" s="673">
        <v>57</v>
      </c>
      <c r="B76" s="674">
        <v>12</v>
      </c>
      <c r="C76" s="921" t="s">
        <v>1073</v>
      </c>
      <c r="D76" s="1151">
        <v>0</v>
      </c>
      <c r="E76" s="922">
        <v>0.127</v>
      </c>
      <c r="F76" s="661">
        <v>0.1231</v>
      </c>
      <c r="G76" s="1001">
        <v>0</v>
      </c>
      <c r="H76" s="922">
        <v>0.1236</v>
      </c>
      <c r="I76" s="661">
        <v>0.1197</v>
      </c>
      <c r="J76" s="1002">
        <v>0</v>
      </c>
      <c r="K76" s="923">
        <v>0.1109</v>
      </c>
      <c r="L76" s="661">
        <v>0.1071</v>
      </c>
      <c r="M76" s="1003">
        <v>0</v>
      </c>
      <c r="N76" s="924">
        <v>8.9099999999999999E-2</v>
      </c>
      <c r="O76" s="666">
        <v>8.5300000000000001E-2</v>
      </c>
      <c r="P76" s="468"/>
      <c r="Q76" s="1006"/>
      <c r="R76" s="468"/>
      <c r="S76" s="1004">
        <v>0</v>
      </c>
      <c r="T76" s="924">
        <v>8.9099999999999999E-2</v>
      </c>
      <c r="U76" s="924">
        <v>8.5300000000000001E-2</v>
      </c>
      <c r="V76" s="468"/>
      <c r="W76" s="491"/>
      <c r="X76" s="505"/>
      <c r="Y76" s="468"/>
      <c r="Z76" s="907">
        <v>500</v>
      </c>
      <c r="AA76" s="499">
        <v>10000</v>
      </c>
      <c r="AB76" s="500">
        <v>0.2</v>
      </c>
      <c r="AC76" s="496"/>
      <c r="AD76" s="497"/>
      <c r="AE76" s="496"/>
      <c r="AF76" s="497"/>
      <c r="AG76" s="496"/>
      <c r="AH76" s="497"/>
      <c r="AI76" s="496"/>
      <c r="AJ76" s="497"/>
      <c r="AK76" s="206"/>
      <c r="AL76" s="642">
        <v>100</v>
      </c>
      <c r="AM76" s="642">
        <v>100</v>
      </c>
      <c r="AN76" s="206"/>
      <c r="AO76" s="499">
        <v>1000</v>
      </c>
      <c r="AP76" s="499">
        <v>2</v>
      </c>
      <c r="AQ76" s="642"/>
      <c r="AR76" s="206"/>
      <c r="AS76" s="499">
        <v>10000</v>
      </c>
      <c r="AT76" s="499">
        <v>100</v>
      </c>
      <c r="AU76" s="499">
        <v>10</v>
      </c>
      <c r="AV76" s="499">
        <v>10000</v>
      </c>
      <c r="AW76" s="206"/>
      <c r="AX76" s="1280">
        <v>10</v>
      </c>
      <c r="AY76" s="1281"/>
      <c r="AZ76" s="1282">
        <v>40</v>
      </c>
      <c r="BA76" s="1281"/>
      <c r="BB76" s="1283">
        <v>1000</v>
      </c>
      <c r="BC76" s="1281"/>
      <c r="BD76" s="1349">
        <v>10000</v>
      </c>
      <c r="BE76" s="1281"/>
      <c r="BF76" s="206"/>
      <c r="BG76" s="206"/>
      <c r="BH76" s="206"/>
      <c r="BI76" s="206"/>
      <c r="BJ76" s="206"/>
      <c r="BK76" s="865"/>
      <c r="BL76" s="865"/>
      <c r="BM76" s="865"/>
      <c r="BN76" s="865"/>
      <c r="BO76" s="865"/>
      <c r="BP76" s="865"/>
      <c r="BQ76" s="865"/>
      <c r="BR76" s="865"/>
      <c r="BS76" s="865"/>
      <c r="BT76" s="865"/>
      <c r="BU76" s="865"/>
      <c r="BV76" s="865"/>
      <c r="BW76" s="865"/>
      <c r="BX76" s="865"/>
      <c r="BY76" s="865"/>
      <c r="BZ76" s="865"/>
      <c r="CA76" s="865"/>
      <c r="CB76" s="865"/>
    </row>
    <row r="77" spans="1:80" ht="14.25" thickTop="1" thickBot="1">
      <c r="A77" s="673">
        <v>58</v>
      </c>
      <c r="B77" s="674">
        <v>1</v>
      </c>
      <c r="C77" s="921" t="s">
        <v>1074</v>
      </c>
      <c r="D77" s="1151">
        <v>0</v>
      </c>
      <c r="E77" s="922">
        <v>0.127</v>
      </c>
      <c r="F77" s="661">
        <v>0.1231</v>
      </c>
      <c r="G77" s="1001">
        <v>0</v>
      </c>
      <c r="H77" s="922">
        <v>0.1236</v>
      </c>
      <c r="I77" s="661">
        <v>0.1197</v>
      </c>
      <c r="J77" s="1002">
        <v>0</v>
      </c>
      <c r="K77" s="923">
        <v>0.1109</v>
      </c>
      <c r="L77" s="661">
        <v>0.1071</v>
      </c>
      <c r="M77" s="1003">
        <v>0</v>
      </c>
      <c r="N77" s="924">
        <v>8.9099999999999999E-2</v>
      </c>
      <c r="O77" s="666">
        <v>8.5300000000000001E-2</v>
      </c>
      <c r="P77" s="468"/>
      <c r="Q77" s="1006"/>
      <c r="R77" s="468"/>
      <c r="S77" s="1004">
        <v>0</v>
      </c>
      <c r="T77" s="924">
        <v>8.9099999999999999E-2</v>
      </c>
      <c r="U77" s="924">
        <v>8.5300000000000001E-2</v>
      </c>
      <c r="V77" s="468"/>
      <c r="W77" s="491"/>
      <c r="X77" s="505"/>
      <c r="Y77" s="468"/>
      <c r="Z77" s="907">
        <v>100</v>
      </c>
      <c r="AA77" s="499">
        <v>10000</v>
      </c>
      <c r="AB77" s="500">
        <v>0.2</v>
      </c>
      <c r="AC77" s="496"/>
      <c r="AD77" s="497"/>
      <c r="AE77" s="496"/>
      <c r="AF77" s="497"/>
      <c r="AG77" s="496"/>
      <c r="AH77" s="497"/>
      <c r="AI77" s="496"/>
      <c r="AJ77" s="497"/>
      <c r="AK77" s="206"/>
      <c r="AL77" s="642">
        <v>100</v>
      </c>
      <c r="AM77" s="642">
        <v>100</v>
      </c>
      <c r="AN77" s="206"/>
      <c r="AO77" s="499">
        <v>1000</v>
      </c>
      <c r="AP77" s="499">
        <v>2</v>
      </c>
      <c r="AQ77" s="642"/>
      <c r="AR77" s="206"/>
      <c r="AS77" s="499">
        <v>10000</v>
      </c>
      <c r="AT77" s="499">
        <v>100</v>
      </c>
      <c r="AU77" s="499">
        <v>10</v>
      </c>
      <c r="AV77" s="499">
        <v>10000</v>
      </c>
      <c r="AW77" s="206"/>
      <c r="AX77" s="1280">
        <v>10</v>
      </c>
      <c r="AY77" s="1281"/>
      <c r="AZ77" s="1282">
        <v>40</v>
      </c>
      <c r="BA77" s="1281"/>
      <c r="BB77" s="1283">
        <v>1000</v>
      </c>
      <c r="BC77" s="1281"/>
      <c r="BD77" s="1349">
        <v>10000</v>
      </c>
      <c r="BE77" s="1281"/>
      <c r="BF77" s="206"/>
      <c r="BG77" s="206"/>
      <c r="BH77" s="206"/>
      <c r="BI77" s="206"/>
      <c r="BJ77" s="206"/>
      <c r="BK77" s="865"/>
      <c r="BL77" s="865"/>
      <c r="BM77" s="865"/>
      <c r="BN77" s="865"/>
      <c r="BO77" s="865"/>
      <c r="BP77" s="865"/>
      <c r="BQ77" s="865"/>
      <c r="BR77" s="865"/>
      <c r="BS77" s="865"/>
      <c r="BT77" s="865"/>
      <c r="BU77" s="865"/>
      <c r="BV77" s="865"/>
      <c r="BW77" s="865"/>
      <c r="BX77" s="865"/>
      <c r="BY77" s="865"/>
      <c r="BZ77" s="865"/>
      <c r="CA77" s="865"/>
      <c r="CB77" s="865"/>
    </row>
    <row r="78" spans="1:80" ht="14.25" thickTop="1" thickBot="1">
      <c r="A78" s="673">
        <v>59</v>
      </c>
      <c r="B78" s="674">
        <v>2</v>
      </c>
      <c r="C78" s="921" t="s">
        <v>1075</v>
      </c>
      <c r="D78" s="1151">
        <v>0</v>
      </c>
      <c r="E78" s="922">
        <v>0.127</v>
      </c>
      <c r="F78" s="661">
        <v>0.1231</v>
      </c>
      <c r="G78" s="1001">
        <v>0</v>
      </c>
      <c r="H78" s="922">
        <v>0.1236</v>
      </c>
      <c r="I78" s="661">
        <v>0.1197</v>
      </c>
      <c r="J78" s="1002">
        <v>0</v>
      </c>
      <c r="K78" s="923">
        <v>0.1109</v>
      </c>
      <c r="L78" s="661">
        <v>0.1071</v>
      </c>
      <c r="M78" s="1003">
        <v>0</v>
      </c>
      <c r="N78" s="924">
        <v>8.9099999999999999E-2</v>
      </c>
      <c r="O78" s="666">
        <v>8.5300000000000001E-2</v>
      </c>
      <c r="P78" s="468"/>
      <c r="Q78" s="1006"/>
      <c r="R78" s="468"/>
      <c r="S78" s="1004">
        <v>0</v>
      </c>
      <c r="T78" s="924">
        <v>8.9099999999999999E-2</v>
      </c>
      <c r="U78" s="924">
        <v>8.5300000000000001E-2</v>
      </c>
      <c r="V78" s="468"/>
      <c r="W78" s="491"/>
      <c r="X78" s="505"/>
      <c r="Y78" s="468"/>
      <c r="Z78" s="907">
        <v>100</v>
      </c>
      <c r="AA78" s="499">
        <v>10000</v>
      </c>
      <c r="AB78" s="500">
        <v>0.2</v>
      </c>
      <c r="AC78" s="496"/>
      <c r="AD78" s="497"/>
      <c r="AE78" s="496"/>
      <c r="AF78" s="497"/>
      <c r="AG78" s="496"/>
      <c r="AH78" s="497"/>
      <c r="AI78" s="496"/>
      <c r="AJ78" s="497"/>
      <c r="AK78" s="206"/>
      <c r="AL78" s="642">
        <v>100</v>
      </c>
      <c r="AM78" s="642">
        <v>100</v>
      </c>
      <c r="AN78" s="206"/>
      <c r="AO78" s="499">
        <v>1000</v>
      </c>
      <c r="AP78" s="499">
        <v>2</v>
      </c>
      <c r="AQ78" s="642"/>
      <c r="AR78" s="206"/>
      <c r="AS78" s="499">
        <v>10000</v>
      </c>
      <c r="AT78" s="499">
        <v>100</v>
      </c>
      <c r="AU78" s="499">
        <v>10</v>
      </c>
      <c r="AV78" s="499">
        <v>10000</v>
      </c>
      <c r="AW78" s="206"/>
      <c r="AX78" s="1280">
        <v>10</v>
      </c>
      <c r="AY78" s="1281"/>
      <c r="AZ78" s="1282">
        <v>40</v>
      </c>
      <c r="BA78" s="1281"/>
      <c r="BB78" s="1283">
        <v>1000</v>
      </c>
      <c r="BC78" s="1281"/>
      <c r="BD78" s="1349">
        <v>10000</v>
      </c>
      <c r="BE78" s="1281"/>
      <c r="BF78" s="206"/>
      <c r="BG78" s="206"/>
      <c r="BH78" s="206"/>
      <c r="BI78" s="206"/>
      <c r="BJ78" s="206"/>
      <c r="BK78" s="865"/>
      <c r="BL78" s="865"/>
      <c r="BM78" s="865"/>
      <c r="BN78" s="865"/>
      <c r="BO78" s="865"/>
      <c r="BP78" s="865"/>
      <c r="BQ78" s="865"/>
      <c r="BR78" s="865"/>
      <c r="BS78" s="865"/>
      <c r="BT78" s="865"/>
      <c r="BU78" s="865"/>
      <c r="BV78" s="865"/>
      <c r="BW78" s="865"/>
      <c r="BX78" s="865"/>
      <c r="BY78" s="865"/>
      <c r="BZ78" s="865"/>
      <c r="CA78" s="865"/>
      <c r="CB78" s="865"/>
    </row>
    <row r="79" spans="1:80" ht="14.25" thickTop="1" thickBot="1">
      <c r="A79" s="673">
        <v>60</v>
      </c>
      <c r="B79" s="674">
        <v>3</v>
      </c>
      <c r="C79" s="921" t="s">
        <v>1076</v>
      </c>
      <c r="D79" s="1151">
        <v>0</v>
      </c>
      <c r="E79" s="922">
        <v>0.127</v>
      </c>
      <c r="F79" s="661">
        <v>0.1231</v>
      </c>
      <c r="G79" s="1001">
        <v>0</v>
      </c>
      <c r="H79" s="922">
        <v>0.1236</v>
      </c>
      <c r="I79" s="661">
        <v>0.1197</v>
      </c>
      <c r="J79" s="1002">
        <v>0</v>
      </c>
      <c r="K79" s="923">
        <v>0.1109</v>
      </c>
      <c r="L79" s="661">
        <v>0.1071</v>
      </c>
      <c r="M79" s="1003">
        <v>0</v>
      </c>
      <c r="N79" s="924">
        <v>8.9099999999999999E-2</v>
      </c>
      <c r="O79" s="666">
        <v>8.5300000000000001E-2</v>
      </c>
      <c r="P79" s="468"/>
      <c r="Q79" s="1006"/>
      <c r="R79" s="468"/>
      <c r="S79" s="1004">
        <v>0</v>
      </c>
      <c r="T79" s="924">
        <v>8.9099999999999999E-2</v>
      </c>
      <c r="U79" s="924">
        <v>8.5300000000000001E-2</v>
      </c>
      <c r="V79" s="468"/>
      <c r="W79" s="491"/>
      <c r="X79" s="505"/>
      <c r="Y79" s="468"/>
      <c r="Z79" s="907">
        <v>100</v>
      </c>
      <c r="AA79" s="499">
        <v>10000</v>
      </c>
      <c r="AB79" s="500">
        <v>0.2</v>
      </c>
      <c r="AC79" s="496"/>
      <c r="AD79" s="497"/>
      <c r="AE79" s="496"/>
      <c r="AF79" s="497"/>
      <c r="AG79" s="496"/>
      <c r="AH79" s="497"/>
      <c r="AI79" s="496"/>
      <c r="AJ79" s="497"/>
      <c r="AK79" s="206"/>
      <c r="AL79" s="642">
        <v>100</v>
      </c>
      <c r="AM79" s="642">
        <v>100</v>
      </c>
      <c r="AN79" s="206"/>
      <c r="AO79" s="499">
        <v>1000</v>
      </c>
      <c r="AP79" s="499">
        <v>2</v>
      </c>
      <c r="AQ79" s="642"/>
      <c r="AR79" s="206"/>
      <c r="AS79" s="499">
        <v>10000</v>
      </c>
      <c r="AT79" s="499">
        <v>100</v>
      </c>
      <c r="AU79" s="499">
        <v>10</v>
      </c>
      <c r="AV79" s="499">
        <v>10000</v>
      </c>
      <c r="AW79" s="206"/>
      <c r="AX79" s="1280">
        <v>10</v>
      </c>
      <c r="AY79" s="1281"/>
      <c r="AZ79" s="1282">
        <v>40</v>
      </c>
      <c r="BA79" s="1281"/>
      <c r="BB79" s="1283">
        <v>1000</v>
      </c>
      <c r="BC79" s="1281"/>
      <c r="BD79" s="1349">
        <v>10000</v>
      </c>
      <c r="BE79" s="1281"/>
      <c r="BF79" s="206"/>
      <c r="BG79" s="206"/>
      <c r="BH79" s="206"/>
      <c r="BI79" s="206"/>
      <c r="BJ79" s="206"/>
      <c r="BK79" s="865"/>
      <c r="BL79" s="865"/>
      <c r="BM79" s="865"/>
      <c r="BN79" s="865"/>
      <c r="BO79" s="865"/>
      <c r="BP79" s="865"/>
      <c r="BQ79" s="865"/>
      <c r="BR79" s="865"/>
      <c r="BS79" s="865"/>
      <c r="BT79" s="865"/>
      <c r="BU79" s="865"/>
      <c r="BV79" s="865"/>
      <c r="BW79" s="865"/>
      <c r="BX79" s="865"/>
      <c r="BY79" s="865"/>
      <c r="BZ79" s="865"/>
      <c r="CA79" s="865"/>
      <c r="CB79" s="865"/>
    </row>
    <row r="80" spans="1:80" ht="14.25" thickTop="1" thickBot="1">
      <c r="A80" s="673">
        <v>61</v>
      </c>
      <c r="B80" s="674">
        <v>4</v>
      </c>
      <c r="C80" s="921" t="s">
        <v>1134</v>
      </c>
      <c r="D80" s="1151">
        <v>0</v>
      </c>
      <c r="E80" s="922">
        <v>0.127</v>
      </c>
      <c r="F80" s="661">
        <v>0.1231</v>
      </c>
      <c r="G80" s="1001">
        <v>0</v>
      </c>
      <c r="H80" s="922">
        <v>0.1236</v>
      </c>
      <c r="I80" s="661">
        <v>0.1197</v>
      </c>
      <c r="J80" s="1147">
        <v>0</v>
      </c>
      <c r="K80" s="923">
        <v>0.1109</v>
      </c>
      <c r="L80" s="661">
        <v>0.1071</v>
      </c>
      <c r="M80" s="1003">
        <v>0</v>
      </c>
      <c r="N80" s="924">
        <v>8.9099999999999999E-2</v>
      </c>
      <c r="O80" s="666">
        <v>8.5300000000000001E-2</v>
      </c>
      <c r="P80" s="468"/>
      <c r="Q80" s="1006"/>
      <c r="R80" s="468"/>
      <c r="S80" s="1004">
        <v>0</v>
      </c>
      <c r="T80" s="924">
        <v>8.9099999999999999E-2</v>
      </c>
      <c r="U80" s="924">
        <v>8.5300000000000001E-2</v>
      </c>
      <c r="V80" s="468"/>
      <c r="W80" s="491"/>
      <c r="X80" s="505"/>
      <c r="Y80" s="468"/>
      <c r="Z80" s="907">
        <v>100</v>
      </c>
      <c r="AA80" s="499">
        <v>10000</v>
      </c>
      <c r="AB80" s="500">
        <v>0.2</v>
      </c>
      <c r="AC80" s="496"/>
      <c r="AD80" s="497"/>
      <c r="AE80" s="496"/>
      <c r="AF80" s="497"/>
      <c r="AG80" s="496"/>
      <c r="AH80" s="497"/>
      <c r="AI80" s="496"/>
      <c r="AJ80" s="497"/>
      <c r="AK80" s="206"/>
      <c r="AL80" s="642">
        <v>100</v>
      </c>
      <c r="AM80" s="642">
        <v>100</v>
      </c>
      <c r="AN80" s="206"/>
      <c r="AO80" s="499">
        <v>1000</v>
      </c>
      <c r="AP80" s="499">
        <v>2</v>
      </c>
      <c r="AQ80" s="642"/>
      <c r="AR80" s="206"/>
      <c r="AS80" s="499">
        <v>10000</v>
      </c>
      <c r="AT80" s="499">
        <v>100</v>
      </c>
      <c r="AU80" s="499">
        <v>10</v>
      </c>
      <c r="AV80" s="499">
        <v>10000</v>
      </c>
      <c r="AW80" s="206"/>
      <c r="AX80" s="1280">
        <v>10</v>
      </c>
      <c r="AY80" s="1281"/>
      <c r="AZ80" s="1282">
        <v>40</v>
      </c>
      <c r="BA80" s="1281"/>
      <c r="BB80" s="1283">
        <v>1000</v>
      </c>
      <c r="BC80" s="1281"/>
      <c r="BD80" s="1349">
        <v>10000</v>
      </c>
      <c r="BE80" s="1281"/>
      <c r="BF80" s="206"/>
      <c r="BG80" s="206"/>
      <c r="BH80" s="206"/>
      <c r="BI80" s="206"/>
      <c r="BJ80" s="206"/>
      <c r="BK80" s="865"/>
      <c r="BL80" s="865"/>
      <c r="BM80" s="865"/>
      <c r="BN80" s="865"/>
      <c r="BO80" s="865"/>
      <c r="BP80" s="865"/>
      <c r="BQ80" s="865"/>
      <c r="BR80" s="865"/>
      <c r="BS80" s="865"/>
      <c r="BT80" s="865"/>
      <c r="BU80" s="865"/>
      <c r="BV80" s="865"/>
      <c r="BW80" s="865"/>
      <c r="BX80" s="865"/>
      <c r="BY80" s="865"/>
      <c r="BZ80" s="865"/>
      <c r="CA80" s="865"/>
      <c r="CB80" s="865"/>
    </row>
    <row r="81" spans="1:80" ht="14.25" thickTop="1" thickBot="1">
      <c r="A81" s="673">
        <v>62</v>
      </c>
      <c r="B81" s="674">
        <v>5</v>
      </c>
      <c r="C81" s="921" t="s">
        <v>1135</v>
      </c>
      <c r="D81" s="1151">
        <v>0</v>
      </c>
      <c r="E81" s="922">
        <v>0.127</v>
      </c>
      <c r="F81" s="661">
        <v>0.1231</v>
      </c>
      <c r="G81" s="1001">
        <v>0</v>
      </c>
      <c r="H81" s="922">
        <v>0.1236</v>
      </c>
      <c r="I81" s="661">
        <v>0.1197</v>
      </c>
      <c r="J81" s="1002">
        <v>0</v>
      </c>
      <c r="K81" s="923">
        <v>0.1109</v>
      </c>
      <c r="L81" s="661">
        <v>0.1071</v>
      </c>
      <c r="M81" s="1003">
        <v>0</v>
      </c>
      <c r="N81" s="924">
        <v>8.9099999999999999E-2</v>
      </c>
      <c r="O81" s="666">
        <v>8.5300000000000001E-2</v>
      </c>
      <c r="P81" s="468"/>
      <c r="Q81" s="1006"/>
      <c r="R81" s="468"/>
      <c r="S81" s="1004">
        <v>0</v>
      </c>
      <c r="T81" s="924">
        <v>8.9099999999999999E-2</v>
      </c>
      <c r="U81" s="924">
        <v>8.5300000000000001E-2</v>
      </c>
      <c r="V81" s="468"/>
      <c r="W81" s="491"/>
      <c r="X81" s="505"/>
      <c r="Y81" s="468"/>
      <c r="Z81" s="907">
        <v>100</v>
      </c>
      <c r="AA81" s="499">
        <v>10000</v>
      </c>
      <c r="AB81" s="500">
        <v>0.2</v>
      </c>
      <c r="AC81" s="496"/>
      <c r="AD81" s="497"/>
      <c r="AE81" s="496"/>
      <c r="AF81" s="497"/>
      <c r="AG81" s="496"/>
      <c r="AH81" s="497"/>
      <c r="AI81" s="496"/>
      <c r="AJ81" s="497"/>
      <c r="AK81" s="206"/>
      <c r="AL81" s="642">
        <v>100</v>
      </c>
      <c r="AM81" s="642">
        <v>100</v>
      </c>
      <c r="AN81" s="206"/>
      <c r="AO81" s="499">
        <v>1000</v>
      </c>
      <c r="AP81" s="499">
        <v>2</v>
      </c>
      <c r="AQ81" s="642"/>
      <c r="AR81" s="206"/>
      <c r="AS81" s="499">
        <v>10000</v>
      </c>
      <c r="AT81" s="499">
        <v>100</v>
      </c>
      <c r="AU81" s="499">
        <v>10</v>
      </c>
      <c r="AV81" s="499">
        <v>10000</v>
      </c>
      <c r="AW81" s="206"/>
      <c r="AX81" s="1280">
        <v>10</v>
      </c>
      <c r="AY81" s="1281"/>
      <c r="AZ81" s="1282">
        <v>40</v>
      </c>
      <c r="BA81" s="1281"/>
      <c r="BB81" s="1283">
        <v>1000</v>
      </c>
      <c r="BC81" s="1281"/>
      <c r="BD81" s="1349">
        <v>10000</v>
      </c>
      <c r="BE81" s="1281"/>
      <c r="BF81" s="206"/>
      <c r="BG81" s="206"/>
      <c r="BH81" s="206"/>
      <c r="BI81" s="206"/>
      <c r="BJ81" s="206"/>
      <c r="BK81" s="865"/>
      <c r="BL81" s="865"/>
      <c r="BM81" s="865"/>
      <c r="BN81" s="865"/>
      <c r="BO81" s="865"/>
      <c r="BP81" s="865"/>
      <c r="BQ81" s="865"/>
      <c r="BR81" s="865"/>
      <c r="BS81" s="865"/>
      <c r="BT81" s="865"/>
      <c r="BU81" s="865"/>
      <c r="BV81" s="865"/>
      <c r="BW81" s="865"/>
      <c r="BX81" s="865"/>
      <c r="BY81" s="865"/>
      <c r="BZ81" s="865"/>
      <c r="CA81" s="865"/>
      <c r="CB81" s="865"/>
    </row>
    <row r="82" spans="1:80" ht="14.25" thickTop="1" thickBot="1">
      <c r="A82" s="673">
        <v>63</v>
      </c>
      <c r="B82" s="674">
        <v>6</v>
      </c>
      <c r="C82" s="921" t="s">
        <v>1136</v>
      </c>
      <c r="D82" s="1151">
        <v>0</v>
      </c>
      <c r="E82" s="922">
        <v>0.127</v>
      </c>
      <c r="F82" s="661">
        <v>0.1231</v>
      </c>
      <c r="G82" s="1001">
        <v>0</v>
      </c>
      <c r="H82" s="922">
        <v>0.1236</v>
      </c>
      <c r="I82" s="661">
        <v>0.1197</v>
      </c>
      <c r="J82" s="1002">
        <v>0</v>
      </c>
      <c r="K82" s="923">
        <v>0.1109</v>
      </c>
      <c r="L82" s="661">
        <v>0.1071</v>
      </c>
      <c r="M82" s="1003">
        <v>0</v>
      </c>
      <c r="N82" s="924">
        <v>8.9099999999999999E-2</v>
      </c>
      <c r="O82" s="666">
        <v>8.5300000000000001E-2</v>
      </c>
      <c r="P82" s="468"/>
      <c r="Q82" s="1006"/>
      <c r="R82" s="468"/>
      <c r="S82" s="1004">
        <v>0</v>
      </c>
      <c r="T82" s="924">
        <v>8.9099999999999999E-2</v>
      </c>
      <c r="U82" s="924">
        <v>8.5300000000000001E-2</v>
      </c>
      <c r="V82" s="468"/>
      <c r="W82" s="491"/>
      <c r="X82" s="505"/>
      <c r="Y82" s="468"/>
      <c r="Z82" s="907">
        <v>100</v>
      </c>
      <c r="AA82" s="499">
        <v>10000</v>
      </c>
      <c r="AB82" s="500">
        <v>0.2</v>
      </c>
      <c r="AC82" s="496"/>
      <c r="AD82" s="497"/>
      <c r="AE82" s="496"/>
      <c r="AF82" s="497"/>
      <c r="AG82" s="496"/>
      <c r="AH82" s="497"/>
      <c r="AI82" s="496"/>
      <c r="AJ82" s="497"/>
      <c r="AK82" s="206"/>
      <c r="AL82" s="642">
        <v>100</v>
      </c>
      <c r="AM82" s="642">
        <v>100</v>
      </c>
      <c r="AN82" s="206"/>
      <c r="AO82" s="499">
        <v>1000</v>
      </c>
      <c r="AP82" s="499">
        <v>2</v>
      </c>
      <c r="AQ82" s="642"/>
      <c r="AR82" s="206"/>
      <c r="AS82" s="499">
        <v>10000</v>
      </c>
      <c r="AT82" s="499">
        <v>100</v>
      </c>
      <c r="AU82" s="499">
        <v>10</v>
      </c>
      <c r="AV82" s="499">
        <v>10000</v>
      </c>
      <c r="AW82" s="206"/>
      <c r="AX82" s="1280">
        <v>10</v>
      </c>
      <c r="AY82" s="1281"/>
      <c r="AZ82" s="1282">
        <v>40</v>
      </c>
      <c r="BA82" s="1281"/>
      <c r="BB82" s="1283">
        <v>1000</v>
      </c>
      <c r="BC82" s="1281"/>
      <c r="BD82" s="1349">
        <v>10000</v>
      </c>
      <c r="BE82" s="1281"/>
      <c r="BF82" s="206"/>
      <c r="BG82" s="206"/>
      <c r="BH82" s="206"/>
      <c r="BI82" s="206"/>
      <c r="BJ82" s="206"/>
      <c r="BK82" s="865"/>
      <c r="BL82" s="865"/>
      <c r="BM82" s="865"/>
      <c r="BN82" s="865"/>
      <c r="BO82" s="865"/>
      <c r="BP82" s="865"/>
      <c r="BQ82" s="865"/>
      <c r="BR82" s="865"/>
      <c r="BS82" s="865"/>
      <c r="BT82" s="865"/>
      <c r="BU82" s="865"/>
      <c r="BV82" s="865"/>
      <c r="BW82" s="865"/>
      <c r="BX82" s="865"/>
      <c r="BY82" s="865"/>
      <c r="BZ82" s="865"/>
      <c r="CA82" s="865"/>
      <c r="CB82" s="865"/>
    </row>
    <row r="83" spans="1:80" ht="14.25" thickTop="1" thickBot="1">
      <c r="A83" s="673">
        <v>64</v>
      </c>
      <c r="B83" s="674">
        <v>7</v>
      </c>
      <c r="C83" s="921" t="s">
        <v>1138</v>
      </c>
      <c r="D83" s="1151">
        <v>0</v>
      </c>
      <c r="E83" s="922">
        <v>0.127</v>
      </c>
      <c r="F83" s="661">
        <v>0.1231</v>
      </c>
      <c r="G83" s="1001">
        <v>0</v>
      </c>
      <c r="H83" s="922">
        <v>0.1236</v>
      </c>
      <c r="I83" s="661">
        <v>0.1197</v>
      </c>
      <c r="J83" s="1002">
        <v>0</v>
      </c>
      <c r="K83" s="923">
        <v>0.1109</v>
      </c>
      <c r="L83" s="661">
        <v>0.1071</v>
      </c>
      <c r="M83" s="1003">
        <v>0</v>
      </c>
      <c r="N83" s="924">
        <v>8.9099999999999999E-2</v>
      </c>
      <c r="O83" s="666">
        <v>8.5300000000000001E-2</v>
      </c>
      <c r="P83" s="468"/>
      <c r="Q83" s="1006"/>
      <c r="R83" s="468"/>
      <c r="S83" s="1004">
        <v>0</v>
      </c>
      <c r="T83" s="924">
        <v>8.9099999999999999E-2</v>
      </c>
      <c r="U83" s="924">
        <v>8.5300000000000001E-2</v>
      </c>
      <c r="V83" s="468"/>
      <c r="W83" s="491"/>
      <c r="X83" s="505"/>
      <c r="Y83" s="468"/>
      <c r="Z83" s="907">
        <v>100</v>
      </c>
      <c r="AA83" s="499">
        <v>10000</v>
      </c>
      <c r="AB83" s="500">
        <v>0.2</v>
      </c>
      <c r="AC83" s="496"/>
      <c r="AD83" s="497"/>
      <c r="AE83" s="496"/>
      <c r="AF83" s="497"/>
      <c r="AG83" s="496"/>
      <c r="AH83" s="497"/>
      <c r="AI83" s="496"/>
      <c r="AJ83" s="497"/>
      <c r="AK83" s="206"/>
      <c r="AL83" s="642">
        <v>100</v>
      </c>
      <c r="AM83" s="642">
        <v>100</v>
      </c>
      <c r="AN83" s="206"/>
      <c r="AO83" s="499">
        <v>1000</v>
      </c>
      <c r="AP83" s="499">
        <v>2</v>
      </c>
      <c r="AQ83" s="642"/>
      <c r="AR83" s="206"/>
      <c r="AS83" s="499">
        <v>10000</v>
      </c>
      <c r="AT83" s="499">
        <v>100</v>
      </c>
      <c r="AU83" s="499">
        <v>10</v>
      </c>
      <c r="AV83" s="499">
        <v>10000</v>
      </c>
      <c r="AW83" s="206"/>
      <c r="AX83" s="1280">
        <v>10</v>
      </c>
      <c r="AY83" s="1281"/>
      <c r="AZ83" s="1282">
        <v>40</v>
      </c>
      <c r="BA83" s="1281"/>
      <c r="BB83" s="1283">
        <v>1000</v>
      </c>
      <c r="BC83" s="1281"/>
      <c r="BD83" s="1349">
        <v>10000</v>
      </c>
      <c r="BE83" s="1281"/>
      <c r="BF83" s="206"/>
      <c r="BG83" s="206"/>
      <c r="BH83" s="206"/>
      <c r="BI83" s="206"/>
      <c r="BJ83" s="206"/>
      <c r="BK83" s="865"/>
      <c r="BL83" s="865"/>
      <c r="BM83" s="865"/>
      <c r="BN83" s="865"/>
      <c r="BO83" s="865"/>
      <c r="BP83" s="865"/>
      <c r="BQ83" s="865"/>
      <c r="BR83" s="865"/>
      <c r="BS83" s="865"/>
      <c r="BT83" s="865"/>
      <c r="BU83" s="865"/>
      <c r="BV83" s="865"/>
      <c r="BW83" s="865"/>
      <c r="BX83" s="865"/>
      <c r="BY83" s="865"/>
      <c r="BZ83" s="865"/>
      <c r="CA83" s="865"/>
      <c r="CB83" s="865"/>
    </row>
    <row r="84" spans="1:80" ht="14.25" thickTop="1" thickBot="1">
      <c r="A84" s="673">
        <v>65</v>
      </c>
      <c r="B84" s="674">
        <v>8</v>
      </c>
      <c r="C84" s="921" t="s">
        <v>1139</v>
      </c>
      <c r="D84" s="1151">
        <v>0</v>
      </c>
      <c r="E84" s="922">
        <v>0.127</v>
      </c>
      <c r="F84" s="661">
        <v>0.1231</v>
      </c>
      <c r="G84" s="1001">
        <v>0</v>
      </c>
      <c r="H84" s="922">
        <v>0.1236</v>
      </c>
      <c r="I84" s="661">
        <v>0.1197</v>
      </c>
      <c r="J84" s="1002">
        <v>0</v>
      </c>
      <c r="K84" s="923">
        <v>0.1109</v>
      </c>
      <c r="L84" s="661">
        <v>0.1071</v>
      </c>
      <c r="M84" s="1003">
        <v>0</v>
      </c>
      <c r="N84" s="924">
        <v>8.9099999999999999E-2</v>
      </c>
      <c r="O84" s="666">
        <v>8.5300000000000001E-2</v>
      </c>
      <c r="P84" s="468"/>
      <c r="Q84" s="1006"/>
      <c r="R84" s="468"/>
      <c r="S84" s="1004">
        <v>0</v>
      </c>
      <c r="T84" s="924">
        <v>8.9099999999999999E-2</v>
      </c>
      <c r="U84" s="924">
        <v>8.5300000000000001E-2</v>
      </c>
      <c r="V84" s="468"/>
      <c r="W84" s="491"/>
      <c r="X84" s="505"/>
      <c r="Y84" s="468"/>
      <c r="Z84" s="907">
        <v>100</v>
      </c>
      <c r="AA84" s="499">
        <v>10000</v>
      </c>
      <c r="AB84" s="500">
        <v>0.2</v>
      </c>
      <c r="AC84" s="496"/>
      <c r="AD84" s="497"/>
      <c r="AE84" s="496"/>
      <c r="AF84" s="497"/>
      <c r="AG84" s="496"/>
      <c r="AH84" s="497"/>
      <c r="AI84" s="496"/>
      <c r="AJ84" s="497"/>
      <c r="AK84" s="206"/>
      <c r="AL84" s="642">
        <v>100</v>
      </c>
      <c r="AM84" s="642">
        <v>100</v>
      </c>
      <c r="AN84" s="206"/>
      <c r="AO84" s="499">
        <v>1000</v>
      </c>
      <c r="AP84" s="499">
        <v>2</v>
      </c>
      <c r="AQ84" s="642"/>
      <c r="AR84" s="206"/>
      <c r="AS84" s="499">
        <v>10000</v>
      </c>
      <c r="AT84" s="499">
        <v>100</v>
      </c>
      <c r="AU84" s="499">
        <v>10</v>
      </c>
      <c r="AV84" s="499">
        <v>10000</v>
      </c>
      <c r="AW84" s="206"/>
      <c r="AX84" s="1280">
        <v>10</v>
      </c>
      <c r="AY84" s="1281"/>
      <c r="AZ84" s="1282">
        <v>40</v>
      </c>
      <c r="BA84" s="1281"/>
      <c r="BB84" s="1283">
        <v>1000</v>
      </c>
      <c r="BC84" s="1281"/>
      <c r="BD84" s="1349">
        <v>10000</v>
      </c>
      <c r="BE84" s="1281"/>
      <c r="BF84" s="206"/>
      <c r="BG84" s="206"/>
      <c r="BH84" s="206"/>
      <c r="BI84" s="206"/>
      <c r="BJ84" s="206"/>
      <c r="BK84" s="865"/>
      <c r="BL84" s="865"/>
      <c r="BM84" s="865"/>
      <c r="BN84" s="865"/>
      <c r="BO84" s="865"/>
      <c r="BP84" s="865"/>
      <c r="BQ84" s="865"/>
      <c r="BR84" s="865"/>
      <c r="BS84" s="865"/>
      <c r="BT84" s="865"/>
      <c r="BU84" s="865"/>
      <c r="BV84" s="865"/>
      <c r="BW84" s="865"/>
      <c r="BX84" s="865"/>
      <c r="BY84" s="865"/>
      <c r="BZ84" s="865"/>
      <c r="CA84" s="865"/>
      <c r="CB84" s="865"/>
    </row>
    <row r="85" spans="1:80" ht="14.25" thickTop="1" thickBot="1">
      <c r="A85" s="673">
        <v>66</v>
      </c>
      <c r="B85" s="674">
        <v>9</v>
      </c>
      <c r="C85" s="921" t="s">
        <v>1140</v>
      </c>
      <c r="D85" s="1151">
        <v>0</v>
      </c>
      <c r="E85" s="922">
        <v>0.127</v>
      </c>
      <c r="F85" s="661">
        <v>0.1231</v>
      </c>
      <c r="G85" s="1001">
        <v>0</v>
      </c>
      <c r="H85" s="922">
        <v>0.1236</v>
      </c>
      <c r="I85" s="661">
        <v>0.1197</v>
      </c>
      <c r="J85" s="1002">
        <v>0</v>
      </c>
      <c r="K85" s="923">
        <v>0.1109</v>
      </c>
      <c r="L85" s="661">
        <v>0.1071</v>
      </c>
      <c r="M85" s="1003">
        <v>0</v>
      </c>
      <c r="N85" s="924">
        <v>8.9099999999999999E-2</v>
      </c>
      <c r="O85" s="666">
        <v>8.5300000000000001E-2</v>
      </c>
      <c r="P85" s="468"/>
      <c r="Q85" s="1006"/>
      <c r="R85" s="468"/>
      <c r="S85" s="1004">
        <v>0</v>
      </c>
      <c r="T85" s="924">
        <v>8.9099999999999999E-2</v>
      </c>
      <c r="U85" s="924">
        <v>8.5300000000000001E-2</v>
      </c>
      <c r="V85" s="468"/>
      <c r="W85" s="491"/>
      <c r="X85" s="505"/>
      <c r="Y85" s="468"/>
      <c r="Z85" s="907">
        <v>100</v>
      </c>
      <c r="AA85" s="499">
        <v>10000</v>
      </c>
      <c r="AB85" s="500">
        <v>0.2</v>
      </c>
      <c r="AC85" s="496"/>
      <c r="AD85" s="497"/>
      <c r="AE85" s="496"/>
      <c r="AF85" s="497"/>
      <c r="AG85" s="496"/>
      <c r="AH85" s="497"/>
      <c r="AI85" s="496"/>
      <c r="AJ85" s="497"/>
      <c r="AK85" s="206"/>
      <c r="AL85" s="642">
        <v>100</v>
      </c>
      <c r="AM85" s="642">
        <v>100</v>
      </c>
      <c r="AN85" s="206"/>
      <c r="AO85" s="499">
        <v>1000</v>
      </c>
      <c r="AP85" s="499">
        <v>2</v>
      </c>
      <c r="AQ85" s="642"/>
      <c r="AR85" s="206"/>
      <c r="AS85" s="499">
        <v>10000</v>
      </c>
      <c r="AT85" s="499">
        <v>100</v>
      </c>
      <c r="AU85" s="499">
        <v>10</v>
      </c>
      <c r="AV85" s="499">
        <v>10000</v>
      </c>
      <c r="AW85" s="206"/>
      <c r="AX85" s="1280">
        <v>10</v>
      </c>
      <c r="AY85" s="1281"/>
      <c r="AZ85" s="1282">
        <v>40</v>
      </c>
      <c r="BA85" s="1281"/>
      <c r="BB85" s="1283">
        <v>1000</v>
      </c>
      <c r="BC85" s="1281"/>
      <c r="BD85" s="1349">
        <v>10000</v>
      </c>
      <c r="BE85" s="1281"/>
      <c r="BF85" s="206"/>
      <c r="BG85" s="206"/>
      <c r="BH85" s="206"/>
      <c r="BI85" s="206"/>
      <c r="BJ85" s="206"/>
      <c r="BK85" s="865"/>
      <c r="BL85" s="865"/>
      <c r="BM85" s="865"/>
      <c r="BN85" s="865"/>
      <c r="BO85" s="865"/>
      <c r="BP85" s="865"/>
      <c r="BQ85" s="865"/>
      <c r="BR85" s="865"/>
      <c r="BS85" s="865"/>
      <c r="BT85" s="865"/>
      <c r="BU85" s="865"/>
      <c r="BV85" s="865"/>
      <c r="BW85" s="865"/>
      <c r="BX85" s="865"/>
      <c r="BY85" s="865"/>
      <c r="BZ85" s="865"/>
      <c r="CA85" s="865"/>
      <c r="CB85" s="865"/>
    </row>
    <row r="86" spans="1:80" ht="14.25" thickTop="1" thickBot="1">
      <c r="A86" s="673">
        <v>67</v>
      </c>
      <c r="B86" s="674">
        <v>10</v>
      </c>
      <c r="C86" s="921" t="s">
        <v>1142</v>
      </c>
      <c r="D86" s="1151">
        <v>0</v>
      </c>
      <c r="E86" s="1054">
        <v>0.127</v>
      </c>
      <c r="F86" s="661">
        <v>0.1231</v>
      </c>
      <c r="G86" s="1001">
        <v>0</v>
      </c>
      <c r="H86" s="922">
        <v>0.1236</v>
      </c>
      <c r="I86" s="661">
        <v>0.1197</v>
      </c>
      <c r="J86" s="1002">
        <v>0</v>
      </c>
      <c r="K86" s="923">
        <v>0.1109</v>
      </c>
      <c r="L86" s="661">
        <v>0.1071</v>
      </c>
      <c r="M86" s="1003">
        <v>0</v>
      </c>
      <c r="N86" s="924">
        <v>8.9099999999999999E-2</v>
      </c>
      <c r="O86" s="666">
        <v>8.5300000000000001E-2</v>
      </c>
      <c r="P86" s="468"/>
      <c r="Q86" s="1006"/>
      <c r="R86" s="468"/>
      <c r="S86" s="1004">
        <v>0</v>
      </c>
      <c r="T86" s="924">
        <v>8.9099999999999999E-2</v>
      </c>
      <c r="U86" s="924">
        <v>8.5300000000000001E-2</v>
      </c>
      <c r="V86" s="468"/>
      <c r="W86" s="491"/>
      <c r="X86" s="505"/>
      <c r="Y86" s="468"/>
      <c r="Z86" s="907">
        <v>100</v>
      </c>
      <c r="AA86" s="499">
        <v>10000</v>
      </c>
      <c r="AB86" s="500">
        <v>0.2</v>
      </c>
      <c r="AC86" s="496"/>
      <c r="AD86" s="497"/>
      <c r="AE86" s="496"/>
      <c r="AF86" s="497"/>
      <c r="AG86" s="496"/>
      <c r="AH86" s="497"/>
      <c r="AI86" s="496"/>
      <c r="AJ86" s="497"/>
      <c r="AK86" s="206"/>
      <c r="AL86" s="642">
        <v>100</v>
      </c>
      <c r="AM86" s="642">
        <v>100</v>
      </c>
      <c r="AN86" s="206"/>
      <c r="AO86" s="499">
        <v>1000</v>
      </c>
      <c r="AP86" s="499">
        <v>2</v>
      </c>
      <c r="AQ86" s="642"/>
      <c r="AR86" s="206"/>
      <c r="AS86" s="499">
        <v>10000</v>
      </c>
      <c r="AT86" s="499">
        <v>100</v>
      </c>
      <c r="AU86" s="499">
        <v>10</v>
      </c>
      <c r="AV86" s="499">
        <v>10000</v>
      </c>
      <c r="AW86" s="206"/>
      <c r="AX86" s="1280">
        <v>10</v>
      </c>
      <c r="AY86" s="1281"/>
      <c r="AZ86" s="1282">
        <v>40</v>
      </c>
      <c r="BA86" s="1281"/>
      <c r="BB86" s="1283">
        <v>1000</v>
      </c>
      <c r="BC86" s="1281"/>
      <c r="BD86" s="1349">
        <v>10000</v>
      </c>
      <c r="BE86" s="1281"/>
      <c r="BF86" s="206"/>
      <c r="BG86" s="206"/>
      <c r="BH86" s="206"/>
      <c r="BI86" s="206"/>
      <c r="BJ86" s="206"/>
      <c r="BK86" s="865"/>
      <c r="BL86" s="865"/>
      <c r="BM86" s="865"/>
      <c r="BN86" s="865"/>
      <c r="BO86" s="865"/>
      <c r="BP86" s="865"/>
      <c r="BQ86" s="865"/>
      <c r="BR86" s="865"/>
      <c r="BS86" s="865"/>
      <c r="BT86" s="865"/>
      <c r="BU86" s="865"/>
      <c r="BV86" s="865"/>
      <c r="BW86" s="865"/>
      <c r="BX86" s="865"/>
      <c r="BY86" s="865"/>
      <c r="BZ86" s="865"/>
      <c r="CA86" s="865"/>
      <c r="CB86" s="865"/>
    </row>
    <row r="87" spans="1:80" ht="14.25" thickTop="1" thickBot="1">
      <c r="A87" s="673">
        <v>68</v>
      </c>
      <c r="B87" s="674">
        <v>11</v>
      </c>
      <c r="C87" s="921" t="s">
        <v>1143</v>
      </c>
      <c r="D87" s="1151">
        <v>0</v>
      </c>
      <c r="E87" s="1054">
        <v>0.127</v>
      </c>
      <c r="F87" s="661">
        <v>0.1231</v>
      </c>
      <c r="G87" s="1001">
        <v>0</v>
      </c>
      <c r="H87" s="922">
        <v>0.1236</v>
      </c>
      <c r="I87" s="661">
        <v>0.1197</v>
      </c>
      <c r="J87" s="1002">
        <v>0</v>
      </c>
      <c r="K87" s="923">
        <v>0.1109</v>
      </c>
      <c r="L87" s="661">
        <v>0.1071</v>
      </c>
      <c r="M87" s="1003">
        <v>0</v>
      </c>
      <c r="N87" s="924">
        <v>8.9099999999999999E-2</v>
      </c>
      <c r="O87" s="666">
        <v>8.5300000000000001E-2</v>
      </c>
      <c r="P87" s="468"/>
      <c r="Q87" s="1006"/>
      <c r="R87" s="468"/>
      <c r="S87" s="1004">
        <v>0</v>
      </c>
      <c r="T87" s="924">
        <v>8.9099999999999999E-2</v>
      </c>
      <c r="U87" s="924">
        <v>8.5300000000000001E-2</v>
      </c>
      <c r="V87" s="468"/>
      <c r="W87" s="491"/>
      <c r="X87" s="505"/>
      <c r="Y87" s="468"/>
      <c r="Z87" s="907">
        <v>100</v>
      </c>
      <c r="AA87" s="499">
        <v>10000</v>
      </c>
      <c r="AB87" s="500">
        <v>0.2</v>
      </c>
      <c r="AC87" s="496"/>
      <c r="AD87" s="497"/>
      <c r="AE87" s="496"/>
      <c r="AF87" s="497"/>
      <c r="AG87" s="496"/>
      <c r="AH87" s="497"/>
      <c r="AI87" s="496"/>
      <c r="AJ87" s="497"/>
      <c r="AK87" s="206"/>
      <c r="AL87" s="642">
        <v>100</v>
      </c>
      <c r="AM87" s="642">
        <v>100</v>
      </c>
      <c r="AN87" s="206"/>
      <c r="AO87" s="499">
        <v>1000</v>
      </c>
      <c r="AP87" s="499">
        <v>2</v>
      </c>
      <c r="AQ87" s="642"/>
      <c r="AR87" s="206"/>
      <c r="AS87" s="499">
        <v>10000</v>
      </c>
      <c r="AT87" s="499">
        <v>100</v>
      </c>
      <c r="AU87" s="499">
        <v>10</v>
      </c>
      <c r="AV87" s="499">
        <v>10000</v>
      </c>
      <c r="AW87" s="206"/>
      <c r="AX87" s="1280">
        <v>10</v>
      </c>
      <c r="AY87" s="1281"/>
      <c r="AZ87" s="1282">
        <v>40</v>
      </c>
      <c r="BA87" s="1281"/>
      <c r="BB87" s="1283">
        <v>1000</v>
      </c>
      <c r="BC87" s="1281"/>
      <c r="BD87" s="1349">
        <v>10000</v>
      </c>
      <c r="BE87" s="1281"/>
      <c r="BF87" s="206"/>
      <c r="BG87" s="206"/>
      <c r="BH87" s="206"/>
      <c r="BI87" s="206"/>
      <c r="BJ87" s="206"/>
      <c r="BK87" s="865"/>
      <c r="BL87" s="865"/>
      <c r="BM87" s="865"/>
      <c r="BN87" s="865"/>
      <c r="BO87" s="865"/>
      <c r="BP87" s="865"/>
      <c r="BQ87" s="865"/>
      <c r="BR87" s="865"/>
      <c r="BS87" s="865"/>
      <c r="BT87" s="865"/>
      <c r="BU87" s="865"/>
      <c r="BV87" s="865"/>
      <c r="BW87" s="865"/>
      <c r="BX87" s="865"/>
      <c r="BY87" s="865"/>
      <c r="BZ87" s="865"/>
      <c r="CA87" s="865"/>
      <c r="CB87" s="865"/>
    </row>
    <row r="88" spans="1:80" ht="14.25" thickTop="1" thickBot="1">
      <c r="A88" s="673">
        <v>69</v>
      </c>
      <c r="B88" s="674">
        <v>12</v>
      </c>
      <c r="C88" s="921" t="s">
        <v>1144</v>
      </c>
      <c r="D88" s="1148">
        <v>0</v>
      </c>
      <c r="E88" s="1054">
        <v>0.127</v>
      </c>
      <c r="F88" s="661">
        <v>0.1231</v>
      </c>
      <c r="G88" s="1001">
        <v>0</v>
      </c>
      <c r="H88" s="922">
        <v>0.1236</v>
      </c>
      <c r="I88" s="661">
        <v>0.1197</v>
      </c>
      <c r="J88" s="1002">
        <v>0</v>
      </c>
      <c r="K88" s="923">
        <v>0.1109</v>
      </c>
      <c r="L88" s="661">
        <v>0.1071</v>
      </c>
      <c r="M88" s="1003">
        <v>0</v>
      </c>
      <c r="N88" s="924">
        <v>8.9099999999999999E-2</v>
      </c>
      <c r="O88" s="666">
        <v>8.5300000000000001E-2</v>
      </c>
      <c r="P88" s="468"/>
      <c r="Q88" s="1006"/>
      <c r="R88" s="468"/>
      <c r="S88" s="1004">
        <v>0</v>
      </c>
      <c r="T88" s="924">
        <v>8.9099999999999999E-2</v>
      </c>
      <c r="U88" s="924">
        <v>8.5300000000000001E-2</v>
      </c>
      <c r="V88" s="468"/>
      <c r="W88" s="491"/>
      <c r="X88" s="505"/>
      <c r="Y88" s="468"/>
      <c r="Z88" s="907">
        <v>100</v>
      </c>
      <c r="AA88" s="499">
        <v>10000</v>
      </c>
      <c r="AB88" s="500">
        <v>0.2</v>
      </c>
      <c r="AC88" s="496"/>
      <c r="AD88" s="497"/>
      <c r="AE88" s="496"/>
      <c r="AF88" s="497"/>
      <c r="AG88" s="496"/>
      <c r="AH88" s="497"/>
      <c r="AI88" s="496"/>
      <c r="AJ88" s="497"/>
      <c r="AK88" s="206"/>
      <c r="AL88" s="642">
        <v>100</v>
      </c>
      <c r="AM88" s="642">
        <v>100</v>
      </c>
      <c r="AN88" s="206"/>
      <c r="AO88" s="499">
        <v>1000</v>
      </c>
      <c r="AP88" s="499">
        <v>2</v>
      </c>
      <c r="AQ88" s="642"/>
      <c r="AR88" s="206"/>
      <c r="AS88" s="499">
        <v>10000</v>
      </c>
      <c r="AT88" s="499">
        <v>100</v>
      </c>
      <c r="AU88" s="499">
        <v>10</v>
      </c>
      <c r="AV88" s="499">
        <v>10000</v>
      </c>
      <c r="AW88" s="206"/>
      <c r="AX88" s="1280">
        <v>10</v>
      </c>
      <c r="AY88" s="1281"/>
      <c r="AZ88" s="1282">
        <v>40</v>
      </c>
      <c r="BA88" s="1281"/>
      <c r="BB88" s="1283">
        <v>1000</v>
      </c>
      <c r="BC88" s="1281"/>
      <c r="BD88" s="1349">
        <v>10000</v>
      </c>
      <c r="BE88" s="1281"/>
      <c r="BF88" s="206"/>
      <c r="BG88" s="206"/>
      <c r="BH88" s="206"/>
      <c r="BI88" s="206"/>
      <c r="BJ88" s="206"/>
      <c r="BK88" s="865"/>
      <c r="BL88" s="865"/>
      <c r="BM88" s="865"/>
      <c r="BN88" s="865"/>
      <c r="BO88" s="865"/>
      <c r="BP88" s="865"/>
      <c r="BQ88" s="865"/>
      <c r="BR88" s="865"/>
      <c r="BS88" s="865"/>
      <c r="BT88" s="865"/>
      <c r="BU88" s="865"/>
      <c r="BV88" s="865"/>
      <c r="BW88" s="865"/>
      <c r="BX88" s="865"/>
      <c r="BY88" s="865"/>
      <c r="BZ88" s="865"/>
      <c r="CA88" s="865"/>
      <c r="CB88" s="865"/>
    </row>
    <row r="89" spans="1:80" ht="14.25" thickTop="1" thickBot="1">
      <c r="A89" s="671"/>
      <c r="B89" s="672"/>
      <c r="C89" s="1329" t="s">
        <v>1397</v>
      </c>
      <c r="D89" s="1926" t="s">
        <v>14</v>
      </c>
      <c r="E89" s="1926"/>
      <c r="F89" s="1927"/>
      <c r="G89" s="1928" t="s">
        <v>612</v>
      </c>
      <c r="H89" s="1929"/>
      <c r="I89" s="1930"/>
      <c r="J89" s="1931" t="s">
        <v>1398</v>
      </c>
      <c r="K89" s="1932"/>
      <c r="L89" s="1933"/>
      <c r="M89" s="1911" t="s">
        <v>1042</v>
      </c>
      <c r="N89" s="1912"/>
      <c r="O89" s="1913"/>
      <c r="P89" s="468"/>
      <c r="Q89" s="895"/>
      <c r="R89" s="468"/>
      <c r="S89" s="1914" t="s">
        <v>1401</v>
      </c>
      <c r="T89" s="1915"/>
      <c r="U89" s="1916"/>
      <c r="V89" s="468"/>
      <c r="W89" s="491"/>
      <c r="X89" s="613"/>
      <c r="Y89" s="468"/>
      <c r="Z89" s="1256"/>
      <c r="AA89" s="1257"/>
      <c r="AB89" s="1258"/>
      <c r="AC89" s="1259"/>
      <c r="AD89" s="1259"/>
      <c r="AE89" s="1259"/>
      <c r="AF89" s="1259"/>
      <c r="AG89" s="1259"/>
      <c r="AH89" s="1259"/>
      <c r="AI89" s="1259"/>
      <c r="AJ89" s="1259"/>
      <c r="AK89" s="1260"/>
      <c r="AL89" s="1261"/>
      <c r="AM89" s="1261"/>
      <c r="AN89" s="1260"/>
      <c r="AO89" s="1257"/>
      <c r="AP89" s="1257"/>
      <c r="AQ89" s="1261"/>
      <c r="AR89" s="1260"/>
      <c r="AS89" s="1257"/>
      <c r="AT89" s="1257"/>
      <c r="AU89" s="1257"/>
      <c r="AV89" s="1262"/>
      <c r="AW89" s="1260"/>
      <c r="AX89" s="206"/>
      <c r="AY89" s="206"/>
      <c r="AZ89" s="206"/>
      <c r="BA89" s="206"/>
      <c r="BB89" s="206"/>
      <c r="BC89" s="206"/>
      <c r="BD89" s="1348"/>
      <c r="BE89" s="206"/>
      <c r="BF89" s="206"/>
      <c r="BG89" s="206"/>
      <c r="BH89" s="206"/>
      <c r="BI89" s="206"/>
      <c r="BJ89" s="206"/>
      <c r="BK89" s="865"/>
      <c r="BL89" s="865"/>
      <c r="BM89" s="865"/>
      <c r="BN89" s="865"/>
      <c r="BO89" s="865"/>
      <c r="BP89" s="865"/>
      <c r="BQ89" s="865"/>
      <c r="BR89" s="865"/>
      <c r="BS89" s="865"/>
      <c r="BT89" s="865"/>
      <c r="BU89" s="865"/>
      <c r="BV89" s="865"/>
      <c r="BW89" s="865"/>
      <c r="BX89" s="865"/>
      <c r="BY89" s="865"/>
      <c r="BZ89" s="865"/>
      <c r="CA89" s="865"/>
      <c r="CB89" s="865"/>
    </row>
    <row r="90" spans="1:80" ht="14.25" thickTop="1" thickBot="1">
      <c r="A90" s="673">
        <v>70</v>
      </c>
      <c r="B90" s="674">
        <v>1</v>
      </c>
      <c r="C90" s="921" t="s">
        <v>1159</v>
      </c>
      <c r="D90" s="1149">
        <v>0</v>
      </c>
      <c r="E90" s="1054">
        <v>0.127</v>
      </c>
      <c r="F90" s="661">
        <v>0.123</v>
      </c>
      <c r="G90" s="1001">
        <v>0</v>
      </c>
      <c r="H90" s="922">
        <v>0.1236</v>
      </c>
      <c r="I90" s="661">
        <v>0.1196</v>
      </c>
      <c r="J90" s="1002">
        <v>0</v>
      </c>
      <c r="K90" s="923">
        <v>0.1109</v>
      </c>
      <c r="L90" s="661">
        <v>0.1069</v>
      </c>
      <c r="M90" s="1003"/>
      <c r="N90" s="924"/>
      <c r="O90" s="666"/>
      <c r="P90" s="468"/>
      <c r="Q90" s="1006"/>
      <c r="R90" s="468"/>
      <c r="S90" s="1004">
        <v>0</v>
      </c>
      <c r="T90" s="924">
        <v>8.9099999999999999E-2</v>
      </c>
      <c r="U90" s="924">
        <v>8.5099999999999995E-2</v>
      </c>
      <c r="V90" s="468"/>
      <c r="W90" s="491"/>
      <c r="X90" s="505"/>
      <c r="Y90" s="468"/>
      <c r="Z90" s="907">
        <v>100</v>
      </c>
      <c r="AA90" s="499">
        <v>10000</v>
      </c>
      <c r="AB90" s="500">
        <v>0.2</v>
      </c>
      <c r="AC90" s="496"/>
      <c r="AD90" s="497"/>
      <c r="AE90" s="496"/>
      <c r="AF90" s="497"/>
      <c r="AG90" s="496"/>
      <c r="AH90" s="497"/>
      <c r="AI90" s="496"/>
      <c r="AJ90" s="497"/>
      <c r="AK90" s="206"/>
      <c r="AL90" s="642">
        <v>100</v>
      </c>
      <c r="AM90" s="642">
        <v>100</v>
      </c>
      <c r="AN90" s="206"/>
      <c r="AO90" s="499">
        <v>750</v>
      </c>
      <c r="AP90" s="499">
        <v>4</v>
      </c>
      <c r="AQ90" s="642"/>
      <c r="AR90" s="206"/>
      <c r="AS90" s="499">
        <v>10000</v>
      </c>
      <c r="AT90" s="499">
        <v>100</v>
      </c>
      <c r="AU90" s="499">
        <v>10</v>
      </c>
      <c r="AV90" s="499">
        <v>10000</v>
      </c>
      <c r="AW90" s="206"/>
      <c r="AX90" s="1280">
        <v>10</v>
      </c>
      <c r="AY90" s="1281"/>
      <c r="AZ90" s="1282">
        <v>40</v>
      </c>
      <c r="BA90" s="1281"/>
      <c r="BB90" s="1283">
        <v>750</v>
      </c>
      <c r="BC90" s="1281"/>
      <c r="BD90" s="1347"/>
      <c r="BE90" s="1281"/>
      <c r="BF90" s="206"/>
      <c r="BG90" s="206"/>
      <c r="BH90" s="206"/>
      <c r="BI90" s="206"/>
      <c r="BJ90" s="206"/>
      <c r="BK90" s="865"/>
      <c r="BL90" s="865"/>
      <c r="BM90" s="865"/>
      <c r="BN90" s="865"/>
      <c r="BO90" s="865"/>
      <c r="BP90" s="865"/>
      <c r="BQ90" s="865"/>
      <c r="BR90" s="865"/>
      <c r="BS90" s="865"/>
      <c r="BT90" s="865"/>
      <c r="BU90" s="865"/>
      <c r="BV90" s="865"/>
      <c r="BW90" s="865"/>
      <c r="BX90" s="865"/>
      <c r="BY90" s="865"/>
      <c r="BZ90" s="865"/>
      <c r="CA90" s="865"/>
      <c r="CB90" s="865"/>
    </row>
    <row r="91" spans="1:80" ht="14.25" thickTop="1" thickBot="1">
      <c r="A91" s="673">
        <v>71</v>
      </c>
      <c r="B91" s="674">
        <v>2</v>
      </c>
      <c r="C91" s="921" t="s">
        <v>1211</v>
      </c>
      <c r="D91" s="1149">
        <v>0</v>
      </c>
      <c r="E91" s="1054">
        <v>0.127</v>
      </c>
      <c r="F91" s="661">
        <v>0.123</v>
      </c>
      <c r="G91" s="1001">
        <v>0</v>
      </c>
      <c r="H91" s="922">
        <v>0.1236</v>
      </c>
      <c r="I91" s="661">
        <v>0.1196</v>
      </c>
      <c r="J91" s="1002">
        <v>0</v>
      </c>
      <c r="K91" s="923">
        <v>0.1109</v>
      </c>
      <c r="L91" s="661">
        <v>0.1069</v>
      </c>
      <c r="M91" s="1003"/>
      <c r="N91" s="923"/>
      <c r="O91" s="666"/>
      <c r="P91" s="468"/>
      <c r="Q91" s="1006"/>
      <c r="R91" s="468"/>
      <c r="S91" s="1004">
        <v>0</v>
      </c>
      <c r="T91" s="924">
        <v>8.9099999999999999E-2</v>
      </c>
      <c r="U91" s="924">
        <v>8.5099999999999995E-2</v>
      </c>
      <c r="V91" s="468"/>
      <c r="W91" s="491"/>
      <c r="X91" s="505"/>
      <c r="Y91" s="468"/>
      <c r="Z91" s="907">
        <v>100</v>
      </c>
      <c r="AA91" s="499">
        <v>10000</v>
      </c>
      <c r="AB91" s="500">
        <v>0.2</v>
      </c>
      <c r="AC91" s="496"/>
      <c r="AD91" s="497"/>
      <c r="AE91" s="496"/>
      <c r="AF91" s="497"/>
      <c r="AG91" s="496"/>
      <c r="AH91" s="497"/>
      <c r="AI91" s="496"/>
      <c r="AJ91" s="497"/>
      <c r="AK91" s="206"/>
      <c r="AL91" s="642">
        <v>100</v>
      </c>
      <c r="AM91" s="642">
        <v>100</v>
      </c>
      <c r="AN91" s="206"/>
      <c r="AO91" s="499">
        <v>750</v>
      </c>
      <c r="AP91" s="499">
        <v>4</v>
      </c>
      <c r="AQ91" s="642"/>
      <c r="AR91" s="206"/>
      <c r="AS91" s="499">
        <v>10000</v>
      </c>
      <c r="AT91" s="499">
        <v>100</v>
      </c>
      <c r="AU91" s="499">
        <v>10</v>
      </c>
      <c r="AV91" s="499">
        <v>10000</v>
      </c>
      <c r="AW91" s="206"/>
      <c r="AX91" s="1280">
        <v>10</v>
      </c>
      <c r="AY91" s="1281"/>
      <c r="AZ91" s="1282">
        <v>40</v>
      </c>
      <c r="BA91" s="1281"/>
      <c r="BB91" s="1283">
        <v>750</v>
      </c>
      <c r="BC91" s="1281"/>
      <c r="BD91" s="1347"/>
      <c r="BE91" s="1281"/>
      <c r="BF91" s="206"/>
      <c r="BG91" s="206"/>
      <c r="BH91" s="206"/>
      <c r="BI91" s="206"/>
      <c r="BJ91" s="206"/>
      <c r="BK91" s="865"/>
      <c r="BL91" s="865"/>
      <c r="BM91" s="865"/>
      <c r="BN91" s="865"/>
      <c r="BO91" s="865"/>
      <c r="BP91" s="865"/>
      <c r="BQ91" s="865"/>
      <c r="BR91" s="865"/>
      <c r="BS91" s="865"/>
      <c r="BT91" s="865"/>
      <c r="BU91" s="865"/>
      <c r="BV91" s="865"/>
      <c r="BW91" s="865"/>
      <c r="BX91" s="865"/>
      <c r="BY91" s="865"/>
      <c r="BZ91" s="865"/>
      <c r="CA91" s="865"/>
      <c r="CB91" s="865"/>
    </row>
    <row r="92" spans="1:80" ht="14.25" thickTop="1" thickBot="1">
      <c r="A92" s="673">
        <v>72</v>
      </c>
      <c r="B92" s="674">
        <v>3</v>
      </c>
      <c r="C92" s="921" t="s">
        <v>1212</v>
      </c>
      <c r="D92" s="1149">
        <v>0</v>
      </c>
      <c r="E92" s="1054">
        <v>0.127</v>
      </c>
      <c r="F92" s="661">
        <v>0.123</v>
      </c>
      <c r="G92" s="1001">
        <v>0</v>
      </c>
      <c r="H92" s="922">
        <v>0.1236</v>
      </c>
      <c r="I92" s="661">
        <v>0.1196</v>
      </c>
      <c r="J92" s="1002">
        <v>0</v>
      </c>
      <c r="K92" s="923">
        <v>0.1109</v>
      </c>
      <c r="L92" s="661">
        <v>0.1069</v>
      </c>
      <c r="M92" s="1003"/>
      <c r="N92" s="923"/>
      <c r="O92" s="666"/>
      <c r="P92" s="468"/>
      <c r="Q92" s="1006"/>
      <c r="R92" s="468"/>
      <c r="S92" s="1004">
        <v>0</v>
      </c>
      <c r="T92" s="924">
        <v>8.9099999999999999E-2</v>
      </c>
      <c r="U92" s="924">
        <v>8.5099999999999995E-2</v>
      </c>
      <c r="V92" s="468"/>
      <c r="W92" s="491"/>
      <c r="X92" s="505"/>
      <c r="Y92" s="468"/>
      <c r="Z92" s="907">
        <v>100</v>
      </c>
      <c r="AA92" s="499">
        <v>10000</v>
      </c>
      <c r="AB92" s="500">
        <v>0.2</v>
      </c>
      <c r="AC92" s="496"/>
      <c r="AD92" s="497"/>
      <c r="AE92" s="496"/>
      <c r="AF92" s="497"/>
      <c r="AG92" s="496"/>
      <c r="AH92" s="497"/>
      <c r="AI92" s="496"/>
      <c r="AJ92" s="497"/>
      <c r="AK92" s="206"/>
      <c r="AL92" s="642">
        <v>100</v>
      </c>
      <c r="AM92" s="642">
        <v>100</v>
      </c>
      <c r="AN92" s="206"/>
      <c r="AO92" s="499">
        <v>750</v>
      </c>
      <c r="AP92" s="499">
        <v>4</v>
      </c>
      <c r="AQ92" s="642"/>
      <c r="AR92" s="206"/>
      <c r="AS92" s="499">
        <v>10000</v>
      </c>
      <c r="AT92" s="499">
        <v>100</v>
      </c>
      <c r="AU92" s="499">
        <v>10</v>
      </c>
      <c r="AV92" s="499">
        <v>10000</v>
      </c>
      <c r="AW92" s="206"/>
      <c r="AX92" s="1280">
        <v>10</v>
      </c>
      <c r="AY92" s="1281"/>
      <c r="AZ92" s="1282">
        <v>40</v>
      </c>
      <c r="BA92" s="1281"/>
      <c r="BB92" s="1283">
        <v>750</v>
      </c>
      <c r="BC92" s="1281"/>
      <c r="BD92" s="1347"/>
      <c r="BE92" s="1281"/>
      <c r="BF92" s="206"/>
      <c r="BG92" s="206"/>
      <c r="BH92" s="206"/>
      <c r="BI92" s="206"/>
      <c r="BJ92" s="206"/>
      <c r="BK92" s="865"/>
      <c r="BL92" s="865"/>
      <c r="BM92" s="865"/>
      <c r="BN92" s="865"/>
      <c r="BO92" s="865"/>
      <c r="BP92" s="865"/>
      <c r="BQ92" s="865"/>
      <c r="BR92" s="865"/>
      <c r="BS92" s="865"/>
      <c r="BT92" s="865"/>
      <c r="BU92" s="865"/>
      <c r="BV92" s="865"/>
      <c r="BW92" s="865"/>
      <c r="BX92" s="865"/>
      <c r="BY92" s="865"/>
      <c r="BZ92" s="865"/>
      <c r="CA92" s="865"/>
      <c r="CB92" s="865"/>
    </row>
    <row r="93" spans="1:80" ht="14.25" thickTop="1" thickBot="1">
      <c r="A93" s="673">
        <v>73</v>
      </c>
      <c r="B93" s="674">
        <v>4</v>
      </c>
      <c r="C93" s="921" t="s">
        <v>1213</v>
      </c>
      <c r="D93" s="1149">
        <v>0</v>
      </c>
      <c r="E93" s="1054">
        <v>0.127</v>
      </c>
      <c r="F93" s="661">
        <v>0.123</v>
      </c>
      <c r="G93" s="1001">
        <v>0</v>
      </c>
      <c r="H93" s="922">
        <v>0.1236</v>
      </c>
      <c r="I93" s="661">
        <v>0.1196</v>
      </c>
      <c r="J93" s="1002">
        <v>0</v>
      </c>
      <c r="K93" s="923">
        <v>0.1109</v>
      </c>
      <c r="L93" s="661">
        <v>0.1069</v>
      </c>
      <c r="M93" s="1003"/>
      <c r="N93" s="923"/>
      <c r="O93" s="666"/>
      <c r="P93" s="468"/>
      <c r="Q93" s="1006"/>
      <c r="R93" s="468"/>
      <c r="S93" s="1004">
        <v>0</v>
      </c>
      <c r="T93" s="924">
        <v>8.9099999999999999E-2</v>
      </c>
      <c r="U93" s="924">
        <v>8.5099999999999995E-2</v>
      </c>
      <c r="V93" s="468"/>
      <c r="W93" s="491"/>
      <c r="X93" s="505"/>
      <c r="Y93" s="468"/>
      <c r="Z93" s="907">
        <v>100</v>
      </c>
      <c r="AA93" s="499">
        <v>10000</v>
      </c>
      <c r="AB93" s="500">
        <v>0.2</v>
      </c>
      <c r="AC93" s="496"/>
      <c r="AD93" s="497"/>
      <c r="AE93" s="496"/>
      <c r="AF93" s="497"/>
      <c r="AG93" s="496"/>
      <c r="AH93" s="497"/>
      <c r="AI93" s="496"/>
      <c r="AJ93" s="497"/>
      <c r="AK93" s="206"/>
      <c r="AL93" s="642">
        <v>100</v>
      </c>
      <c r="AM93" s="642">
        <v>100</v>
      </c>
      <c r="AN93" s="206"/>
      <c r="AO93" s="499">
        <v>750</v>
      </c>
      <c r="AP93" s="499">
        <v>4</v>
      </c>
      <c r="AQ93" s="642"/>
      <c r="AR93" s="206"/>
      <c r="AS93" s="499">
        <v>10000</v>
      </c>
      <c r="AT93" s="499">
        <v>100</v>
      </c>
      <c r="AU93" s="499">
        <v>10</v>
      </c>
      <c r="AV93" s="499">
        <v>10000</v>
      </c>
      <c r="AW93" s="206"/>
      <c r="AX93" s="1280">
        <v>10</v>
      </c>
      <c r="AY93" s="1281"/>
      <c r="AZ93" s="1282">
        <v>40</v>
      </c>
      <c r="BA93" s="1281"/>
      <c r="BB93" s="1283">
        <v>750</v>
      </c>
      <c r="BC93" s="1281"/>
      <c r="BD93" s="1347"/>
      <c r="BE93" s="1281"/>
      <c r="BF93" s="206"/>
      <c r="BG93" s="206"/>
      <c r="BH93" s="206"/>
      <c r="BI93" s="206"/>
      <c r="BJ93" s="206"/>
      <c r="BK93" s="865"/>
      <c r="BL93" s="865"/>
      <c r="BM93" s="865"/>
      <c r="BN93" s="865"/>
      <c r="BO93" s="865"/>
      <c r="BP93" s="865"/>
      <c r="BQ93" s="865"/>
      <c r="BR93" s="865"/>
      <c r="BS93" s="865"/>
      <c r="BT93" s="865"/>
      <c r="BU93" s="865"/>
      <c r="BV93" s="865"/>
      <c r="BW93" s="865"/>
      <c r="BX93" s="865"/>
      <c r="BY93" s="865"/>
      <c r="BZ93" s="865"/>
      <c r="CA93" s="865"/>
      <c r="CB93" s="865"/>
    </row>
    <row r="94" spans="1:80" ht="14.25" thickTop="1" thickBot="1">
      <c r="A94" s="673">
        <v>74</v>
      </c>
      <c r="B94" s="674">
        <v>5</v>
      </c>
      <c r="C94" s="921" t="s">
        <v>1220</v>
      </c>
      <c r="D94" s="1149">
        <v>2.5000000000000001E-3</v>
      </c>
      <c r="E94" s="1054">
        <v>0.12670000000000001</v>
      </c>
      <c r="F94" s="661">
        <v>0.1227</v>
      </c>
      <c r="G94" s="1001">
        <v>2.5000000000000001E-3</v>
      </c>
      <c r="H94" s="922">
        <v>0.12330000000000001</v>
      </c>
      <c r="I94" s="661">
        <v>0.1193</v>
      </c>
      <c r="J94" s="1002">
        <v>2.5000000000000001E-3</v>
      </c>
      <c r="K94" s="923">
        <v>0.1106</v>
      </c>
      <c r="L94" s="661">
        <v>0.1066</v>
      </c>
      <c r="M94" s="1003"/>
      <c r="N94" s="923"/>
      <c r="O94" s="666"/>
      <c r="P94" s="468"/>
      <c r="Q94" s="1006"/>
      <c r="R94" s="468"/>
      <c r="S94" s="1004">
        <v>2.5000000000000001E-3</v>
      </c>
      <c r="T94" s="924">
        <v>8.8900000000000007E-2</v>
      </c>
      <c r="U94" s="924">
        <v>8.4900000000000003E-2</v>
      </c>
      <c r="V94" s="468"/>
      <c r="W94" s="491"/>
      <c r="X94" s="505"/>
      <c r="Y94" s="468"/>
      <c r="Z94" s="907">
        <v>100</v>
      </c>
      <c r="AA94" s="499">
        <v>10000</v>
      </c>
      <c r="AB94" s="500">
        <v>0.2</v>
      </c>
      <c r="AC94" s="496"/>
      <c r="AD94" s="497"/>
      <c r="AE94" s="496"/>
      <c r="AF94" s="497"/>
      <c r="AG94" s="496"/>
      <c r="AH94" s="497"/>
      <c r="AI94" s="496"/>
      <c r="AJ94" s="497"/>
      <c r="AK94" s="206"/>
      <c r="AL94" s="642">
        <v>100</v>
      </c>
      <c r="AM94" s="642">
        <v>100</v>
      </c>
      <c r="AN94" s="206"/>
      <c r="AO94" s="499">
        <v>750</v>
      </c>
      <c r="AP94" s="499">
        <v>4</v>
      </c>
      <c r="AQ94" s="642"/>
      <c r="AR94" s="206"/>
      <c r="AS94" s="499">
        <v>10000</v>
      </c>
      <c r="AT94" s="499">
        <v>100</v>
      </c>
      <c r="AU94" s="499">
        <v>10</v>
      </c>
      <c r="AV94" s="499">
        <v>10000</v>
      </c>
      <c r="AW94" s="206"/>
      <c r="AX94" s="1280">
        <v>10</v>
      </c>
      <c r="AY94" s="1281"/>
      <c r="AZ94" s="1282">
        <v>40</v>
      </c>
      <c r="BA94" s="1281"/>
      <c r="BB94" s="1283">
        <v>750</v>
      </c>
      <c r="BC94" s="1281"/>
      <c r="BD94" s="1347"/>
      <c r="BE94" s="1281"/>
      <c r="BF94" s="206"/>
      <c r="BG94" s="206"/>
      <c r="BH94" s="206"/>
      <c r="BI94" s="206"/>
      <c r="BJ94" s="206"/>
      <c r="BK94" s="865"/>
      <c r="BL94" s="865"/>
      <c r="BM94" s="865"/>
      <c r="BN94" s="865"/>
      <c r="BO94" s="865"/>
      <c r="BP94" s="865"/>
      <c r="BQ94" s="865"/>
      <c r="BR94" s="865"/>
      <c r="BS94" s="865"/>
      <c r="BT94" s="865"/>
      <c r="BU94" s="865"/>
      <c r="BV94" s="865"/>
      <c r="BW94" s="865"/>
      <c r="BX94" s="865"/>
      <c r="BY94" s="865"/>
      <c r="BZ94" s="865"/>
      <c r="CA94" s="865"/>
      <c r="CB94" s="865"/>
    </row>
    <row r="95" spans="1:80" ht="14.25" thickTop="1" thickBot="1">
      <c r="A95" s="673">
        <v>75</v>
      </c>
      <c r="B95" s="674">
        <v>6</v>
      </c>
      <c r="C95" s="921" t="s">
        <v>1221</v>
      </c>
      <c r="D95" s="1149">
        <v>2.5000000000000001E-3</v>
      </c>
      <c r="E95" s="1054">
        <v>0.12640000000000001</v>
      </c>
      <c r="F95" s="661">
        <v>0.12239999999999999</v>
      </c>
      <c r="G95" s="1001">
        <v>2.5000000000000001E-3</v>
      </c>
      <c r="H95" s="922">
        <v>0.123</v>
      </c>
      <c r="I95" s="661">
        <v>0.11899999999999999</v>
      </c>
      <c r="J95" s="1002">
        <v>2.5000000000000001E-3</v>
      </c>
      <c r="K95" s="923">
        <v>0.1103</v>
      </c>
      <c r="L95" s="661">
        <v>0.10630000000000001</v>
      </c>
      <c r="M95" s="1003"/>
      <c r="N95" s="923"/>
      <c r="O95" s="666"/>
      <c r="P95" s="468"/>
      <c r="Q95" s="1006"/>
      <c r="R95" s="468"/>
      <c r="S95" s="1004">
        <v>2.5000000000000001E-3</v>
      </c>
      <c r="T95" s="924">
        <v>8.8700000000000001E-2</v>
      </c>
      <c r="U95" s="924">
        <v>8.4699999999999998E-2</v>
      </c>
      <c r="V95" s="468"/>
      <c r="W95" s="491"/>
      <c r="X95" s="505"/>
      <c r="Y95" s="468"/>
      <c r="Z95" s="907">
        <v>100</v>
      </c>
      <c r="AA95" s="499">
        <v>10000</v>
      </c>
      <c r="AB95" s="500">
        <v>0.2</v>
      </c>
      <c r="AC95" s="496"/>
      <c r="AD95" s="497"/>
      <c r="AE95" s="496"/>
      <c r="AF95" s="497"/>
      <c r="AG95" s="496"/>
      <c r="AH95" s="497"/>
      <c r="AI95" s="496"/>
      <c r="AJ95" s="497"/>
      <c r="AK95" s="206"/>
      <c r="AL95" s="642">
        <v>100</v>
      </c>
      <c r="AM95" s="642">
        <v>100</v>
      </c>
      <c r="AN95" s="206"/>
      <c r="AO95" s="499">
        <v>750</v>
      </c>
      <c r="AP95" s="499">
        <v>4</v>
      </c>
      <c r="AQ95" s="642"/>
      <c r="AR95" s="206"/>
      <c r="AS95" s="499">
        <v>10000</v>
      </c>
      <c r="AT95" s="499">
        <v>100</v>
      </c>
      <c r="AU95" s="499">
        <v>10</v>
      </c>
      <c r="AV95" s="499">
        <v>10000</v>
      </c>
      <c r="AW95" s="206"/>
      <c r="AX95" s="1280">
        <v>10</v>
      </c>
      <c r="AY95" s="1281"/>
      <c r="AZ95" s="1282">
        <v>40</v>
      </c>
      <c r="BA95" s="1281"/>
      <c r="BB95" s="1283">
        <v>750</v>
      </c>
      <c r="BC95" s="1281"/>
      <c r="BD95" s="1347"/>
      <c r="BE95" s="1281"/>
      <c r="BF95" s="206"/>
      <c r="BG95" s="206"/>
      <c r="BH95" s="206"/>
      <c r="BI95" s="206"/>
      <c r="BJ95" s="206"/>
      <c r="BK95" s="865"/>
      <c r="BL95" s="865"/>
      <c r="BM95" s="865"/>
      <c r="BN95" s="865"/>
      <c r="BO95" s="865"/>
      <c r="BP95" s="865"/>
      <c r="BQ95" s="865"/>
      <c r="BR95" s="865"/>
      <c r="BS95" s="865"/>
      <c r="BT95" s="865"/>
      <c r="BU95" s="865"/>
      <c r="BV95" s="865"/>
      <c r="BW95" s="865"/>
      <c r="BX95" s="865"/>
      <c r="BY95" s="865"/>
      <c r="BZ95" s="865"/>
      <c r="CA95" s="865"/>
      <c r="CB95" s="865"/>
    </row>
    <row r="96" spans="1:80" ht="14.25" thickTop="1" thickBot="1">
      <c r="A96" s="673">
        <v>76</v>
      </c>
      <c r="B96" s="674">
        <v>7</v>
      </c>
      <c r="C96" s="921" t="s">
        <v>1222</v>
      </c>
      <c r="D96" s="1149">
        <v>2.5000000000000001E-3</v>
      </c>
      <c r="E96" s="1054">
        <v>0.126</v>
      </c>
      <c r="F96" s="661">
        <v>0.122</v>
      </c>
      <c r="G96" s="1001">
        <v>2.5000000000000001E-3</v>
      </c>
      <c r="H96" s="922">
        <v>0.1227</v>
      </c>
      <c r="I96" s="661">
        <v>0.1187</v>
      </c>
      <c r="J96" s="1002">
        <v>2.5000000000000001E-3</v>
      </c>
      <c r="K96" s="923">
        <v>0.1101</v>
      </c>
      <c r="L96" s="661">
        <v>0.1061</v>
      </c>
      <c r="M96" s="1003"/>
      <c r="N96" s="923"/>
      <c r="O96" s="666"/>
      <c r="P96" s="468"/>
      <c r="Q96" s="1006"/>
      <c r="R96" s="468"/>
      <c r="S96" s="1004">
        <v>2.5000000000000001E-3</v>
      </c>
      <c r="T96" s="924">
        <v>8.8400000000000006E-2</v>
      </c>
      <c r="U96" s="924">
        <v>8.4400000000000003E-2</v>
      </c>
      <c r="V96" s="468"/>
      <c r="W96" s="491"/>
      <c r="X96" s="505"/>
      <c r="Y96" s="468"/>
      <c r="Z96" s="907">
        <v>100</v>
      </c>
      <c r="AA96" s="499">
        <v>10000</v>
      </c>
      <c r="AB96" s="500">
        <v>0.2</v>
      </c>
      <c r="AC96" s="496"/>
      <c r="AD96" s="497"/>
      <c r="AE96" s="496"/>
      <c r="AF96" s="497"/>
      <c r="AG96" s="496"/>
      <c r="AH96" s="497"/>
      <c r="AI96" s="496"/>
      <c r="AJ96" s="497"/>
      <c r="AK96" s="206"/>
      <c r="AL96" s="642">
        <v>100</v>
      </c>
      <c r="AM96" s="642">
        <v>100</v>
      </c>
      <c r="AN96" s="206"/>
      <c r="AO96" s="499">
        <v>750</v>
      </c>
      <c r="AP96" s="499">
        <v>4</v>
      </c>
      <c r="AQ96" s="642"/>
      <c r="AR96" s="206"/>
      <c r="AS96" s="499">
        <v>10000</v>
      </c>
      <c r="AT96" s="499">
        <v>100</v>
      </c>
      <c r="AU96" s="499">
        <v>10</v>
      </c>
      <c r="AV96" s="499">
        <v>10000</v>
      </c>
      <c r="AW96" s="206"/>
      <c r="AX96" s="1280">
        <v>10</v>
      </c>
      <c r="AY96" s="1281"/>
      <c r="AZ96" s="1282">
        <v>40</v>
      </c>
      <c r="BA96" s="1281"/>
      <c r="BB96" s="1283">
        <v>750</v>
      </c>
      <c r="BC96" s="1281"/>
      <c r="BD96" s="1347"/>
      <c r="BE96" s="1281"/>
      <c r="BF96" s="206"/>
      <c r="BG96" s="206"/>
      <c r="BH96" s="206"/>
      <c r="BI96" s="206"/>
      <c r="BJ96" s="206"/>
      <c r="BK96" s="865"/>
      <c r="BL96" s="865"/>
      <c r="BM96" s="865"/>
      <c r="BN96" s="865"/>
      <c r="BO96" s="865"/>
      <c r="BP96" s="865"/>
      <c r="BQ96" s="865"/>
      <c r="BR96" s="865"/>
      <c r="BS96" s="865"/>
      <c r="BT96" s="865"/>
      <c r="BU96" s="865"/>
      <c r="BV96" s="865"/>
      <c r="BW96" s="865"/>
      <c r="BX96" s="865"/>
      <c r="BY96" s="865"/>
      <c r="BZ96" s="865"/>
      <c r="CA96" s="865"/>
      <c r="CB96" s="865"/>
    </row>
    <row r="97" spans="1:80" ht="14.25" thickTop="1" thickBot="1">
      <c r="A97" s="673">
        <v>77</v>
      </c>
      <c r="B97" s="674">
        <v>8</v>
      </c>
      <c r="C97" s="921" t="s">
        <v>1226</v>
      </c>
      <c r="D97" s="1149">
        <v>0</v>
      </c>
      <c r="E97" s="1054">
        <v>0.126</v>
      </c>
      <c r="F97" s="661">
        <v>0.122</v>
      </c>
      <c r="G97" s="1001">
        <v>0</v>
      </c>
      <c r="H97" s="922">
        <v>0.1227</v>
      </c>
      <c r="I97" s="661">
        <v>0.1187</v>
      </c>
      <c r="J97" s="1002">
        <v>0</v>
      </c>
      <c r="K97" s="923">
        <v>0.1101</v>
      </c>
      <c r="L97" s="661">
        <v>0.1061</v>
      </c>
      <c r="M97" s="1003"/>
      <c r="N97" s="923"/>
      <c r="O97" s="666"/>
      <c r="P97" s="468"/>
      <c r="Q97" s="1006"/>
      <c r="R97" s="468"/>
      <c r="S97" s="1004">
        <v>0</v>
      </c>
      <c r="T97" s="924">
        <v>8.8400000000000006E-2</v>
      </c>
      <c r="U97" s="924">
        <v>8.4400000000000003E-2</v>
      </c>
      <c r="V97" s="468"/>
      <c r="W97" s="491"/>
      <c r="X97" s="505"/>
      <c r="Y97" s="468"/>
      <c r="Z97" s="907">
        <v>100</v>
      </c>
      <c r="AA97" s="499">
        <v>10000</v>
      </c>
      <c r="AB97" s="500">
        <v>0.2</v>
      </c>
      <c r="AC97" s="496"/>
      <c r="AD97" s="497"/>
      <c r="AE97" s="496"/>
      <c r="AF97" s="497"/>
      <c r="AG97" s="496"/>
      <c r="AH97" s="497"/>
      <c r="AI97" s="496"/>
      <c r="AJ97" s="497"/>
      <c r="AK97" s="206"/>
      <c r="AL97" s="642">
        <v>100</v>
      </c>
      <c r="AM97" s="642">
        <v>100</v>
      </c>
      <c r="AN97" s="206"/>
      <c r="AO97" s="499">
        <v>750</v>
      </c>
      <c r="AP97" s="499">
        <v>4</v>
      </c>
      <c r="AQ97" s="642"/>
      <c r="AR97" s="206"/>
      <c r="AS97" s="499">
        <v>10000</v>
      </c>
      <c r="AT97" s="499">
        <v>100</v>
      </c>
      <c r="AU97" s="499">
        <v>10</v>
      </c>
      <c r="AV97" s="499">
        <v>10000</v>
      </c>
      <c r="AW97" s="206"/>
      <c r="AX97" s="1280">
        <v>10</v>
      </c>
      <c r="AY97" s="1281"/>
      <c r="AZ97" s="1282">
        <v>40</v>
      </c>
      <c r="BA97" s="1281"/>
      <c r="BB97" s="1283">
        <v>750</v>
      </c>
      <c r="BC97" s="1281"/>
      <c r="BD97" s="1347"/>
      <c r="BE97" s="1281"/>
      <c r="BF97" s="206"/>
      <c r="BG97" s="206"/>
      <c r="BH97" s="206"/>
      <c r="BI97" s="206"/>
      <c r="BJ97" s="206"/>
      <c r="BK97" s="865"/>
      <c r="BL97" s="865"/>
      <c r="BM97" s="865"/>
      <c r="BN97" s="865"/>
      <c r="BO97" s="865"/>
      <c r="BP97" s="865"/>
      <c r="BQ97" s="865"/>
      <c r="BR97" s="865"/>
      <c r="BS97" s="865"/>
      <c r="BT97" s="865"/>
      <c r="BU97" s="865"/>
      <c r="BV97" s="865"/>
      <c r="BW97" s="865"/>
      <c r="BX97" s="865"/>
      <c r="BY97" s="865"/>
      <c r="BZ97" s="865"/>
      <c r="CA97" s="865"/>
      <c r="CB97" s="865"/>
    </row>
    <row r="98" spans="1:80" ht="14.25" thickTop="1" thickBot="1">
      <c r="A98" s="673">
        <v>78</v>
      </c>
      <c r="B98" s="674">
        <v>9</v>
      </c>
      <c r="C98" s="921" t="s">
        <v>1227</v>
      </c>
      <c r="D98" s="1149">
        <v>0</v>
      </c>
      <c r="E98" s="1054">
        <v>0.126</v>
      </c>
      <c r="F98" s="661">
        <v>0.122</v>
      </c>
      <c r="G98" s="1001">
        <v>0</v>
      </c>
      <c r="H98" s="922">
        <v>0.1227</v>
      </c>
      <c r="I98" s="661">
        <v>0.1187</v>
      </c>
      <c r="J98" s="1002">
        <v>0</v>
      </c>
      <c r="K98" s="923">
        <v>0.1101</v>
      </c>
      <c r="L98" s="661">
        <v>0.1061</v>
      </c>
      <c r="M98" s="1003"/>
      <c r="N98" s="923"/>
      <c r="O98" s="666"/>
      <c r="P98" s="468"/>
      <c r="Q98" s="1006"/>
      <c r="R98" s="468"/>
      <c r="S98" s="1004">
        <v>0</v>
      </c>
      <c r="T98" s="924">
        <v>8.8400000000000006E-2</v>
      </c>
      <c r="U98" s="924">
        <v>8.4400000000000003E-2</v>
      </c>
      <c r="V98" s="468"/>
      <c r="W98" s="491"/>
      <c r="X98" s="505"/>
      <c r="Y98" s="468"/>
      <c r="Z98" s="907">
        <v>100</v>
      </c>
      <c r="AA98" s="499">
        <v>10000</v>
      </c>
      <c r="AB98" s="500">
        <v>0.2</v>
      </c>
      <c r="AC98" s="496"/>
      <c r="AD98" s="497"/>
      <c r="AE98" s="496"/>
      <c r="AF98" s="497"/>
      <c r="AG98" s="496"/>
      <c r="AH98" s="497"/>
      <c r="AI98" s="496"/>
      <c r="AJ98" s="497"/>
      <c r="AK98" s="206"/>
      <c r="AL98" s="642">
        <v>100</v>
      </c>
      <c r="AM98" s="642">
        <v>100</v>
      </c>
      <c r="AN98" s="206"/>
      <c r="AO98" s="499">
        <v>750</v>
      </c>
      <c r="AP98" s="499">
        <v>4</v>
      </c>
      <c r="AQ98" s="642"/>
      <c r="AR98" s="206"/>
      <c r="AS98" s="499">
        <v>10000</v>
      </c>
      <c r="AT98" s="499">
        <v>100</v>
      </c>
      <c r="AU98" s="499">
        <v>10</v>
      </c>
      <c r="AV98" s="499">
        <v>10000</v>
      </c>
      <c r="AW98" s="206"/>
      <c r="AX98" s="1280">
        <v>10</v>
      </c>
      <c r="AY98" s="1281"/>
      <c r="AZ98" s="1282">
        <v>40</v>
      </c>
      <c r="BA98" s="1281"/>
      <c r="BB98" s="1283">
        <v>750</v>
      </c>
      <c r="BC98" s="1281"/>
      <c r="BD98" s="1347"/>
      <c r="BE98" s="1281"/>
      <c r="BF98" s="206"/>
      <c r="BG98" s="206"/>
      <c r="BH98" s="206"/>
      <c r="BI98" s="206"/>
      <c r="BJ98" s="206"/>
      <c r="BK98" s="865"/>
      <c r="BL98" s="865"/>
      <c r="BM98" s="865"/>
      <c r="BN98" s="865"/>
      <c r="BO98" s="865"/>
      <c r="BP98" s="865"/>
      <c r="BQ98" s="865"/>
      <c r="BR98" s="865"/>
      <c r="BS98" s="865"/>
      <c r="BT98" s="865"/>
      <c r="BU98" s="865"/>
      <c r="BV98" s="865"/>
      <c r="BW98" s="865"/>
      <c r="BX98" s="865"/>
      <c r="BY98" s="865"/>
      <c r="BZ98" s="865"/>
      <c r="CA98" s="865"/>
      <c r="CB98" s="865"/>
    </row>
    <row r="99" spans="1:80" ht="14.25" thickTop="1" thickBot="1">
      <c r="A99" s="673">
        <v>79</v>
      </c>
      <c r="B99" s="674">
        <v>10</v>
      </c>
      <c r="C99" s="921" t="s">
        <v>1228</v>
      </c>
      <c r="D99" s="1149">
        <v>0</v>
      </c>
      <c r="E99" s="1054">
        <v>0.126</v>
      </c>
      <c r="F99" s="661">
        <v>0.122</v>
      </c>
      <c r="G99" s="1001">
        <v>0</v>
      </c>
      <c r="H99" s="922">
        <v>0.1227</v>
      </c>
      <c r="I99" s="661">
        <v>0.1187</v>
      </c>
      <c r="J99" s="1002">
        <v>0</v>
      </c>
      <c r="K99" s="923">
        <v>0.1101</v>
      </c>
      <c r="L99" s="661">
        <v>0.1061</v>
      </c>
      <c r="M99" s="1003"/>
      <c r="N99" s="923"/>
      <c r="O99" s="666"/>
      <c r="P99" s="468"/>
      <c r="Q99" s="1006"/>
      <c r="R99" s="468"/>
      <c r="S99" s="1004">
        <v>0</v>
      </c>
      <c r="T99" s="924">
        <v>8.8400000000000006E-2</v>
      </c>
      <c r="U99" s="924">
        <v>8.4400000000000003E-2</v>
      </c>
      <c r="V99" s="468"/>
      <c r="W99" s="491"/>
      <c r="X99" s="505"/>
      <c r="Y99" s="468"/>
      <c r="Z99" s="907">
        <v>100</v>
      </c>
      <c r="AA99" s="499">
        <v>10000</v>
      </c>
      <c r="AB99" s="500">
        <v>0.2</v>
      </c>
      <c r="AC99" s="496"/>
      <c r="AD99" s="497"/>
      <c r="AE99" s="496"/>
      <c r="AF99" s="497"/>
      <c r="AG99" s="496"/>
      <c r="AH99" s="497"/>
      <c r="AI99" s="496"/>
      <c r="AJ99" s="497"/>
      <c r="AK99" s="206"/>
      <c r="AL99" s="642">
        <v>100</v>
      </c>
      <c r="AM99" s="642">
        <v>100</v>
      </c>
      <c r="AN99" s="206"/>
      <c r="AO99" s="499">
        <v>750</v>
      </c>
      <c r="AP99" s="499">
        <v>4</v>
      </c>
      <c r="AQ99" s="642"/>
      <c r="AR99" s="206"/>
      <c r="AS99" s="499">
        <v>10000</v>
      </c>
      <c r="AT99" s="499">
        <v>100</v>
      </c>
      <c r="AU99" s="499">
        <v>10</v>
      </c>
      <c r="AV99" s="499">
        <v>10000</v>
      </c>
      <c r="AW99" s="206"/>
      <c r="AX99" s="1280">
        <v>10</v>
      </c>
      <c r="AY99" s="1281"/>
      <c r="AZ99" s="1282">
        <v>40</v>
      </c>
      <c r="BA99" s="1281"/>
      <c r="BB99" s="1283">
        <v>750</v>
      </c>
      <c r="BC99" s="1281"/>
      <c r="BD99" s="1347"/>
      <c r="BE99" s="1281"/>
      <c r="BF99" s="206"/>
      <c r="BG99" s="206"/>
      <c r="BH99" s="206"/>
      <c r="BI99" s="206"/>
      <c r="BJ99" s="206"/>
      <c r="BK99" s="865"/>
      <c r="BL99" s="865"/>
      <c r="BM99" s="865"/>
      <c r="BN99" s="865"/>
      <c r="BO99" s="865"/>
      <c r="BP99" s="865"/>
      <c r="BQ99" s="865"/>
      <c r="BR99" s="865"/>
      <c r="BS99" s="865"/>
      <c r="BT99" s="865"/>
      <c r="BU99" s="865"/>
      <c r="BV99" s="865"/>
      <c r="BW99" s="865"/>
      <c r="BX99" s="865"/>
      <c r="BY99" s="865"/>
      <c r="BZ99" s="865"/>
      <c r="CA99" s="865"/>
      <c r="CB99" s="865"/>
    </row>
    <row r="100" spans="1:80" ht="14.25" thickTop="1" thickBot="1">
      <c r="A100" s="673">
        <v>80</v>
      </c>
      <c r="B100" s="674">
        <v>11</v>
      </c>
      <c r="C100" s="921" t="s">
        <v>1232</v>
      </c>
      <c r="D100" s="1149">
        <v>0</v>
      </c>
      <c r="E100" s="1054">
        <v>0.126</v>
      </c>
      <c r="F100" s="661">
        <v>0.122</v>
      </c>
      <c r="G100" s="1001">
        <v>0</v>
      </c>
      <c r="H100" s="922">
        <v>0.1227</v>
      </c>
      <c r="I100" s="661">
        <v>0.1187</v>
      </c>
      <c r="J100" s="1002">
        <v>0</v>
      </c>
      <c r="K100" s="923">
        <v>0.1101</v>
      </c>
      <c r="L100" s="661">
        <v>0.1061</v>
      </c>
      <c r="M100" s="1003"/>
      <c r="N100" s="923"/>
      <c r="O100" s="666"/>
      <c r="P100" s="468"/>
      <c r="Q100" s="1006"/>
      <c r="R100" s="468"/>
      <c r="S100" s="1004">
        <f>IF(ISNUMBER($D100),$D100,"")</f>
        <v>0</v>
      </c>
      <c r="T100" s="924">
        <v>8.8400000000000006E-2</v>
      </c>
      <c r="U100" s="924">
        <v>8.4400000000000003E-2</v>
      </c>
      <c r="V100" s="468"/>
      <c r="W100" s="491"/>
      <c r="X100" s="505"/>
      <c r="Y100" s="468"/>
      <c r="Z100" s="907">
        <v>100</v>
      </c>
      <c r="AA100" s="499">
        <v>10000</v>
      </c>
      <c r="AB100" s="500">
        <v>0.2</v>
      </c>
      <c r="AC100" s="496"/>
      <c r="AD100" s="497"/>
      <c r="AE100" s="496"/>
      <c r="AF100" s="497"/>
      <c r="AG100" s="496"/>
      <c r="AH100" s="497"/>
      <c r="AI100" s="496"/>
      <c r="AJ100" s="497"/>
      <c r="AK100" s="206"/>
      <c r="AL100" s="642">
        <v>100</v>
      </c>
      <c r="AM100" s="642">
        <v>100</v>
      </c>
      <c r="AN100" s="206"/>
      <c r="AO100" s="499">
        <v>750</v>
      </c>
      <c r="AP100" s="499">
        <v>4</v>
      </c>
      <c r="AQ100" s="642"/>
      <c r="AR100" s="206"/>
      <c r="AS100" s="499">
        <v>10000</v>
      </c>
      <c r="AT100" s="499">
        <v>100</v>
      </c>
      <c r="AU100" s="499">
        <v>10</v>
      </c>
      <c r="AV100" s="499">
        <v>10000</v>
      </c>
      <c r="AW100" s="206"/>
      <c r="AX100" s="1280">
        <v>10</v>
      </c>
      <c r="AY100" s="1281"/>
      <c r="AZ100" s="1282">
        <v>40</v>
      </c>
      <c r="BA100" s="1281"/>
      <c r="BB100" s="1283">
        <v>750</v>
      </c>
      <c r="BC100" s="1281"/>
      <c r="BD100" s="1347"/>
      <c r="BE100" s="1281"/>
      <c r="BF100" s="206"/>
      <c r="BG100" s="206"/>
      <c r="BH100" s="206"/>
      <c r="BI100" s="206"/>
      <c r="BJ100" s="206"/>
      <c r="BK100" s="865"/>
      <c r="BL100" s="865"/>
      <c r="BM100" s="865"/>
      <c r="BN100" s="865"/>
      <c r="BO100" s="865"/>
      <c r="BP100" s="865"/>
      <c r="BQ100" s="865"/>
      <c r="BR100" s="865"/>
      <c r="BS100" s="865"/>
      <c r="BT100" s="865"/>
      <c r="BU100" s="865"/>
      <c r="BV100" s="865"/>
      <c r="BW100" s="865"/>
      <c r="BX100" s="865"/>
      <c r="BY100" s="865"/>
      <c r="BZ100" s="865"/>
      <c r="CA100" s="865"/>
      <c r="CB100" s="865"/>
    </row>
    <row r="101" spans="1:80" ht="14.25" thickTop="1" thickBot="1">
      <c r="A101" s="673">
        <v>81</v>
      </c>
      <c r="B101" s="674">
        <v>12</v>
      </c>
      <c r="C101" s="921" t="s">
        <v>1231</v>
      </c>
      <c r="D101" s="1149">
        <v>0</v>
      </c>
      <c r="E101" s="1054">
        <v>0.126</v>
      </c>
      <c r="F101" s="661">
        <v>0.122</v>
      </c>
      <c r="G101" s="1001">
        <v>0</v>
      </c>
      <c r="H101" s="922">
        <v>0.1227</v>
      </c>
      <c r="I101" s="661">
        <v>0.1187</v>
      </c>
      <c r="J101" s="1002">
        <v>0</v>
      </c>
      <c r="K101" s="923">
        <v>0.1101</v>
      </c>
      <c r="L101" s="661">
        <v>0.1061</v>
      </c>
      <c r="M101" s="1003"/>
      <c r="N101" s="923"/>
      <c r="O101" s="666"/>
      <c r="P101" s="468"/>
      <c r="Q101" s="1006"/>
      <c r="R101" s="468"/>
      <c r="S101" s="1004">
        <f>IF(ISNUMBER($D101),$D101,"")</f>
        <v>0</v>
      </c>
      <c r="T101" s="924">
        <v>8.8400000000000006E-2</v>
      </c>
      <c r="U101" s="924">
        <v>8.4400000000000003E-2</v>
      </c>
      <c r="V101" s="468"/>
      <c r="W101" s="491"/>
      <c r="X101" s="505"/>
      <c r="Y101" s="468"/>
      <c r="Z101" s="907">
        <v>100</v>
      </c>
      <c r="AA101" s="499">
        <v>10000</v>
      </c>
      <c r="AB101" s="500">
        <v>0.2</v>
      </c>
      <c r="AC101" s="496"/>
      <c r="AD101" s="497"/>
      <c r="AE101" s="496"/>
      <c r="AF101" s="497"/>
      <c r="AG101" s="496"/>
      <c r="AH101" s="497"/>
      <c r="AI101" s="496"/>
      <c r="AJ101" s="497"/>
      <c r="AK101" s="206"/>
      <c r="AL101" s="642">
        <v>100</v>
      </c>
      <c r="AM101" s="642">
        <v>100</v>
      </c>
      <c r="AN101" s="206"/>
      <c r="AO101" s="499">
        <v>750</v>
      </c>
      <c r="AP101" s="499">
        <v>4</v>
      </c>
      <c r="AQ101" s="642"/>
      <c r="AR101" s="206"/>
      <c r="AS101" s="499">
        <v>10000</v>
      </c>
      <c r="AT101" s="499">
        <v>100</v>
      </c>
      <c r="AU101" s="499">
        <v>10</v>
      </c>
      <c r="AV101" s="499">
        <v>10000</v>
      </c>
      <c r="AW101" s="206"/>
      <c r="AX101" s="1280">
        <v>10</v>
      </c>
      <c r="AY101" s="1281"/>
      <c r="AZ101" s="1282">
        <v>40</v>
      </c>
      <c r="BA101" s="1281"/>
      <c r="BB101" s="1283">
        <v>750</v>
      </c>
      <c r="BC101" s="1281"/>
      <c r="BD101" s="1347"/>
      <c r="BE101" s="1281"/>
      <c r="BF101" s="206"/>
      <c r="BG101" s="206"/>
      <c r="BH101" s="206"/>
      <c r="BI101" s="206"/>
      <c r="BJ101" s="206"/>
      <c r="BK101" s="865"/>
      <c r="BL101" s="865"/>
      <c r="BM101" s="865"/>
      <c r="BN101" s="865"/>
      <c r="BO101" s="865"/>
      <c r="BP101" s="865"/>
      <c r="BQ101" s="865"/>
      <c r="BR101" s="865"/>
      <c r="BS101" s="865"/>
      <c r="BT101" s="865"/>
      <c r="BU101" s="865"/>
      <c r="BV101" s="865"/>
      <c r="BW101" s="865"/>
      <c r="BX101" s="865"/>
      <c r="BY101" s="865"/>
      <c r="BZ101" s="865"/>
      <c r="CA101" s="865"/>
      <c r="CB101" s="865"/>
    </row>
    <row r="102" spans="1:80" ht="14.25" thickTop="1" thickBot="1">
      <c r="A102" s="673">
        <v>82</v>
      </c>
      <c r="B102" s="674">
        <v>1</v>
      </c>
      <c r="C102" s="921" t="s">
        <v>1233</v>
      </c>
      <c r="D102" s="1149">
        <v>0</v>
      </c>
      <c r="E102" s="1054">
        <v>0.126</v>
      </c>
      <c r="F102" s="661">
        <v>0.122</v>
      </c>
      <c r="G102" s="1001">
        <v>0</v>
      </c>
      <c r="H102" s="922">
        <v>0.1227</v>
      </c>
      <c r="I102" s="661">
        <v>0.1187</v>
      </c>
      <c r="J102" s="1002">
        <v>0</v>
      </c>
      <c r="K102" s="923">
        <v>0.1101</v>
      </c>
      <c r="L102" s="661">
        <v>0.1061</v>
      </c>
      <c r="M102" s="1003"/>
      <c r="N102" s="923"/>
      <c r="O102" s="666"/>
      <c r="P102" s="468"/>
      <c r="Q102" s="1006"/>
      <c r="R102" s="468"/>
      <c r="S102" s="1004">
        <f t="shared" ref="S102:S190" si="13">IF(ISNUMBER($D102),$D102,"")</f>
        <v>0</v>
      </c>
      <c r="T102" s="924">
        <v>8.8400000000000006E-2</v>
      </c>
      <c r="U102" s="924">
        <v>8.4400000000000003E-2</v>
      </c>
      <c r="V102" s="468"/>
      <c r="W102" s="491"/>
      <c r="X102" s="505"/>
      <c r="Y102" s="468"/>
      <c r="Z102" s="907">
        <v>100</v>
      </c>
      <c r="AA102" s="499">
        <v>10000</v>
      </c>
      <c r="AB102" s="500">
        <v>0.2</v>
      </c>
      <c r="AC102" s="496"/>
      <c r="AD102" s="497"/>
      <c r="AE102" s="496"/>
      <c r="AF102" s="497"/>
      <c r="AG102" s="496"/>
      <c r="AH102" s="497"/>
      <c r="AI102" s="496"/>
      <c r="AJ102" s="497"/>
      <c r="AK102" s="206"/>
      <c r="AL102" s="642">
        <v>100</v>
      </c>
      <c r="AM102" s="642">
        <v>100</v>
      </c>
      <c r="AN102" s="206"/>
      <c r="AO102" s="499">
        <v>750</v>
      </c>
      <c r="AP102" s="499">
        <v>4</v>
      </c>
      <c r="AQ102" s="642"/>
      <c r="AR102" s="206"/>
      <c r="AS102" s="499">
        <v>10000</v>
      </c>
      <c r="AT102" s="499">
        <v>100</v>
      </c>
      <c r="AU102" s="499">
        <v>10</v>
      </c>
      <c r="AV102" s="499">
        <v>10000</v>
      </c>
      <c r="AW102" s="206"/>
      <c r="AX102" s="1280">
        <v>10</v>
      </c>
      <c r="AY102" s="1281"/>
      <c r="AZ102" s="1282">
        <v>40</v>
      </c>
      <c r="BA102" s="1281"/>
      <c r="BB102" s="1283">
        <v>750</v>
      </c>
      <c r="BC102" s="1281"/>
      <c r="BD102" s="1347"/>
      <c r="BE102" s="1281"/>
      <c r="BF102" s="206"/>
      <c r="BG102" s="206"/>
      <c r="BH102" s="206"/>
      <c r="BI102" s="206"/>
      <c r="BJ102" s="206"/>
      <c r="BK102" s="865"/>
      <c r="BL102" s="865"/>
      <c r="BM102" s="865"/>
      <c r="BN102" s="865"/>
      <c r="BO102" s="865"/>
      <c r="BP102" s="865"/>
      <c r="BQ102" s="865"/>
      <c r="BR102" s="865"/>
      <c r="BS102" s="865"/>
      <c r="BT102" s="865"/>
      <c r="BU102" s="865"/>
      <c r="BV102" s="865"/>
      <c r="BW102" s="865"/>
      <c r="BX102" s="865"/>
      <c r="BY102" s="865"/>
      <c r="BZ102" s="865"/>
      <c r="CA102" s="865"/>
      <c r="CB102" s="865"/>
    </row>
    <row r="103" spans="1:80" ht="14.25" thickTop="1" thickBot="1">
      <c r="A103" s="673">
        <v>83</v>
      </c>
      <c r="B103" s="674">
        <v>2</v>
      </c>
      <c r="C103" s="921" t="s">
        <v>1234</v>
      </c>
      <c r="D103" s="1149">
        <v>0</v>
      </c>
      <c r="E103" s="1054">
        <v>0.126</v>
      </c>
      <c r="F103" s="661">
        <v>0.122</v>
      </c>
      <c r="G103" s="1001">
        <f t="shared" ref="G103:G190" si="14">IF(ISNUMBER($D103),$D103,"")</f>
        <v>0</v>
      </c>
      <c r="H103" s="922">
        <v>0.1227</v>
      </c>
      <c r="I103" s="661">
        <v>0.1187</v>
      </c>
      <c r="J103" s="1002">
        <f t="shared" ref="J103:J190" si="15">IF(ISNUMBER($D103),$D103,"")</f>
        <v>0</v>
      </c>
      <c r="K103" s="923">
        <v>0.1101</v>
      </c>
      <c r="L103" s="661">
        <v>0.1061</v>
      </c>
      <c r="M103" s="1003"/>
      <c r="N103" s="923"/>
      <c r="O103" s="666"/>
      <c r="P103" s="468"/>
      <c r="Q103" s="1006"/>
      <c r="R103" s="468"/>
      <c r="S103" s="1004">
        <f t="shared" si="13"/>
        <v>0</v>
      </c>
      <c r="T103" s="924">
        <v>8.8400000000000006E-2</v>
      </c>
      <c r="U103" s="924">
        <v>8.4400000000000003E-2</v>
      </c>
      <c r="V103" s="468"/>
      <c r="W103" s="491"/>
      <c r="X103" s="505"/>
      <c r="Y103" s="468"/>
      <c r="Z103" s="907">
        <v>100</v>
      </c>
      <c r="AA103" s="499">
        <v>10000</v>
      </c>
      <c r="AB103" s="500">
        <v>0.2</v>
      </c>
      <c r="AC103" s="496"/>
      <c r="AD103" s="497"/>
      <c r="AE103" s="496"/>
      <c r="AF103" s="497"/>
      <c r="AG103" s="496"/>
      <c r="AH103" s="497"/>
      <c r="AI103" s="496"/>
      <c r="AJ103" s="497"/>
      <c r="AK103" s="206"/>
      <c r="AL103" s="642">
        <v>100</v>
      </c>
      <c r="AM103" s="642">
        <v>100</v>
      </c>
      <c r="AN103" s="206"/>
      <c r="AO103" s="499">
        <v>750</v>
      </c>
      <c r="AP103" s="499">
        <v>4</v>
      </c>
      <c r="AQ103" s="642"/>
      <c r="AR103" s="206"/>
      <c r="AS103" s="499">
        <v>10000</v>
      </c>
      <c r="AT103" s="499">
        <v>100</v>
      </c>
      <c r="AU103" s="499">
        <v>10</v>
      </c>
      <c r="AV103" s="499">
        <v>10000</v>
      </c>
      <c r="AW103" s="206"/>
      <c r="AX103" s="1280">
        <v>10</v>
      </c>
      <c r="AY103" s="1281"/>
      <c r="AZ103" s="1282">
        <v>40</v>
      </c>
      <c r="BA103" s="1281"/>
      <c r="BB103" s="1283">
        <v>750</v>
      </c>
      <c r="BC103" s="1281"/>
      <c r="BD103" s="1347"/>
      <c r="BE103" s="1281"/>
      <c r="BF103" s="206"/>
      <c r="BG103" s="206"/>
      <c r="BH103" s="206"/>
      <c r="BI103" s="206"/>
      <c r="BJ103" s="206"/>
      <c r="BK103" s="865"/>
      <c r="BL103" s="865"/>
      <c r="BM103" s="865"/>
      <c r="BN103" s="865"/>
      <c r="BO103" s="865"/>
      <c r="BP103" s="865"/>
      <c r="BQ103" s="865"/>
      <c r="BR103" s="865"/>
      <c r="BS103" s="865"/>
      <c r="BT103" s="865"/>
      <c r="BU103" s="865"/>
      <c r="BV103" s="865"/>
      <c r="BW103" s="865"/>
      <c r="BX103" s="865"/>
      <c r="BY103" s="865"/>
      <c r="BZ103" s="865"/>
      <c r="CA103" s="865"/>
      <c r="CB103" s="865"/>
    </row>
    <row r="104" spans="1:80" ht="14.25" thickTop="1" thickBot="1">
      <c r="A104" s="673">
        <v>84</v>
      </c>
      <c r="B104" s="674">
        <v>3</v>
      </c>
      <c r="C104" s="921" t="s">
        <v>1235</v>
      </c>
      <c r="D104" s="1149">
        <v>0</v>
      </c>
      <c r="E104" s="1054">
        <v>0.126</v>
      </c>
      <c r="F104" s="661">
        <v>0.122</v>
      </c>
      <c r="G104" s="1001">
        <f t="shared" si="14"/>
        <v>0</v>
      </c>
      <c r="H104" s="922">
        <v>0.1227</v>
      </c>
      <c r="I104" s="661">
        <v>0.1187</v>
      </c>
      <c r="J104" s="1002">
        <f t="shared" si="15"/>
        <v>0</v>
      </c>
      <c r="K104" s="923">
        <v>0.1101</v>
      </c>
      <c r="L104" s="661">
        <v>0.1061</v>
      </c>
      <c r="M104" s="1003"/>
      <c r="N104" s="923"/>
      <c r="O104" s="666"/>
      <c r="P104" s="468"/>
      <c r="Q104" s="1006"/>
      <c r="R104" s="468"/>
      <c r="S104" s="1004">
        <f t="shared" si="13"/>
        <v>0</v>
      </c>
      <c r="T104" s="924">
        <v>8.8400000000000006E-2</v>
      </c>
      <c r="U104" s="924">
        <v>8.4400000000000003E-2</v>
      </c>
      <c r="V104" s="468"/>
      <c r="W104" s="491"/>
      <c r="X104" s="505"/>
      <c r="Y104" s="468"/>
      <c r="Z104" s="907">
        <v>100</v>
      </c>
      <c r="AA104" s="499">
        <v>10000</v>
      </c>
      <c r="AB104" s="500">
        <v>0.2</v>
      </c>
      <c r="AC104" s="496"/>
      <c r="AD104" s="497"/>
      <c r="AE104" s="496"/>
      <c r="AF104" s="497"/>
      <c r="AG104" s="496"/>
      <c r="AH104" s="497"/>
      <c r="AI104" s="496"/>
      <c r="AJ104" s="497"/>
      <c r="AK104" s="206"/>
      <c r="AL104" s="642">
        <v>100</v>
      </c>
      <c r="AM104" s="642">
        <v>100</v>
      </c>
      <c r="AN104" s="206"/>
      <c r="AO104" s="499">
        <v>750</v>
      </c>
      <c r="AP104" s="499">
        <v>4</v>
      </c>
      <c r="AQ104" s="642"/>
      <c r="AR104" s="206"/>
      <c r="AS104" s="499">
        <v>10000</v>
      </c>
      <c r="AT104" s="499">
        <v>100</v>
      </c>
      <c r="AU104" s="499">
        <v>10</v>
      </c>
      <c r="AV104" s="499">
        <v>10000</v>
      </c>
      <c r="AW104" s="206"/>
      <c r="AX104" s="1280">
        <v>10</v>
      </c>
      <c r="AY104" s="1281"/>
      <c r="AZ104" s="1282">
        <v>40</v>
      </c>
      <c r="BA104" s="1281"/>
      <c r="BB104" s="1283">
        <v>750</v>
      </c>
      <c r="BC104" s="1281"/>
      <c r="BD104" s="1347"/>
      <c r="BE104" s="1281"/>
      <c r="BF104" s="206"/>
      <c r="BG104" s="206"/>
      <c r="BH104" s="206"/>
      <c r="BI104" s="206"/>
      <c r="BJ104" s="206"/>
      <c r="BK104" s="865"/>
      <c r="BL104" s="865"/>
      <c r="BM104" s="865"/>
      <c r="BN104" s="865"/>
      <c r="BO104" s="865"/>
      <c r="BP104" s="865"/>
      <c r="BQ104" s="865"/>
      <c r="BR104" s="865"/>
      <c r="BS104" s="865"/>
      <c r="BT104" s="865"/>
      <c r="BU104" s="865"/>
      <c r="BV104" s="865"/>
      <c r="BW104" s="865"/>
      <c r="BX104" s="865"/>
      <c r="BY104" s="865"/>
      <c r="BZ104" s="865"/>
      <c r="CA104" s="865"/>
      <c r="CB104" s="865"/>
    </row>
    <row r="105" spans="1:80" ht="14.25" thickTop="1" thickBot="1">
      <c r="A105" s="673">
        <v>85</v>
      </c>
      <c r="B105" s="674">
        <v>4</v>
      </c>
      <c r="C105" s="921" t="s">
        <v>1236</v>
      </c>
      <c r="D105" s="1149">
        <v>0</v>
      </c>
      <c r="E105" s="1054">
        <v>0.126</v>
      </c>
      <c r="F105" s="661">
        <v>0.122</v>
      </c>
      <c r="G105" s="1001">
        <f t="shared" si="14"/>
        <v>0</v>
      </c>
      <c r="H105" s="922">
        <v>0.1227</v>
      </c>
      <c r="I105" s="661">
        <v>0.1187</v>
      </c>
      <c r="J105" s="1002">
        <f t="shared" si="15"/>
        <v>0</v>
      </c>
      <c r="K105" s="923">
        <v>0.1101</v>
      </c>
      <c r="L105" s="661">
        <v>0.1061</v>
      </c>
      <c r="M105" s="1003"/>
      <c r="N105" s="923"/>
      <c r="O105" s="666"/>
      <c r="P105" s="468"/>
      <c r="Q105" s="1006"/>
      <c r="R105" s="468"/>
      <c r="S105" s="1004">
        <f t="shared" si="13"/>
        <v>0</v>
      </c>
      <c r="T105" s="924">
        <v>8.8400000000000006E-2</v>
      </c>
      <c r="U105" s="924">
        <v>8.4400000000000003E-2</v>
      </c>
      <c r="V105" s="468"/>
      <c r="W105" s="491"/>
      <c r="X105" s="505"/>
      <c r="Y105" s="468"/>
      <c r="Z105" s="907">
        <v>100</v>
      </c>
      <c r="AA105" s="499">
        <v>10000</v>
      </c>
      <c r="AB105" s="500">
        <v>0.2</v>
      </c>
      <c r="AC105" s="496"/>
      <c r="AD105" s="497"/>
      <c r="AE105" s="496"/>
      <c r="AF105" s="497"/>
      <c r="AG105" s="496"/>
      <c r="AH105" s="497"/>
      <c r="AI105" s="496"/>
      <c r="AJ105" s="497"/>
      <c r="AK105" s="206"/>
      <c r="AL105" s="642">
        <v>100</v>
      </c>
      <c r="AM105" s="642">
        <v>100</v>
      </c>
      <c r="AN105" s="206"/>
      <c r="AO105" s="499">
        <v>750</v>
      </c>
      <c r="AP105" s="499">
        <v>4</v>
      </c>
      <c r="AQ105" s="642"/>
      <c r="AR105" s="206"/>
      <c r="AS105" s="499">
        <v>10000</v>
      </c>
      <c r="AT105" s="499">
        <v>100</v>
      </c>
      <c r="AU105" s="499">
        <v>10</v>
      </c>
      <c r="AV105" s="499">
        <v>10000</v>
      </c>
      <c r="AW105" s="206"/>
      <c r="AX105" s="1280">
        <v>10</v>
      </c>
      <c r="AY105" s="1281"/>
      <c r="AZ105" s="1282">
        <v>40</v>
      </c>
      <c r="BA105" s="1281"/>
      <c r="BB105" s="1283">
        <v>750</v>
      </c>
      <c r="BC105" s="1281"/>
      <c r="BD105" s="1347"/>
      <c r="BE105" s="1281"/>
      <c r="BF105" s="206"/>
      <c r="BG105" s="206"/>
      <c r="BH105" s="206"/>
      <c r="BI105" s="206"/>
      <c r="BJ105" s="206"/>
      <c r="BK105" s="865"/>
      <c r="BL105" s="865"/>
      <c r="BM105" s="865"/>
      <c r="BN105" s="865"/>
      <c r="BO105" s="865"/>
      <c r="BP105" s="865"/>
      <c r="BQ105" s="865"/>
      <c r="BR105" s="865"/>
      <c r="BS105" s="865"/>
      <c r="BT105" s="865"/>
      <c r="BU105" s="865"/>
      <c r="BV105" s="865"/>
      <c r="BW105" s="865"/>
      <c r="BX105" s="865"/>
      <c r="BY105" s="865"/>
      <c r="BZ105" s="865"/>
      <c r="CA105" s="865"/>
      <c r="CB105" s="865"/>
    </row>
    <row r="106" spans="1:80" ht="14.25" thickTop="1" thickBot="1">
      <c r="A106" s="673">
        <v>86</v>
      </c>
      <c r="B106" s="674">
        <v>5</v>
      </c>
      <c r="C106" s="921" t="s">
        <v>1239</v>
      </c>
      <c r="D106" s="1149">
        <v>0</v>
      </c>
      <c r="E106" s="1054">
        <v>0.126</v>
      </c>
      <c r="F106" s="661">
        <v>0.122</v>
      </c>
      <c r="G106" s="1001">
        <f t="shared" si="14"/>
        <v>0</v>
      </c>
      <c r="H106" s="922">
        <v>0.1227</v>
      </c>
      <c r="I106" s="661">
        <v>0.1187</v>
      </c>
      <c r="J106" s="1002">
        <f t="shared" si="15"/>
        <v>0</v>
      </c>
      <c r="K106" s="923">
        <v>0.1101</v>
      </c>
      <c r="L106" s="661">
        <v>0.1061</v>
      </c>
      <c r="M106" s="1003"/>
      <c r="N106" s="923"/>
      <c r="O106" s="666"/>
      <c r="P106" s="468"/>
      <c r="Q106" s="1006"/>
      <c r="R106" s="468"/>
      <c r="S106" s="1004">
        <f t="shared" si="13"/>
        <v>0</v>
      </c>
      <c r="T106" s="924">
        <v>8.8400000000000006E-2</v>
      </c>
      <c r="U106" s="924">
        <v>8.4400000000000003E-2</v>
      </c>
      <c r="V106" s="468"/>
      <c r="W106" s="491"/>
      <c r="X106" s="505"/>
      <c r="Y106" s="468"/>
      <c r="Z106" s="907">
        <v>100</v>
      </c>
      <c r="AA106" s="499">
        <v>10000</v>
      </c>
      <c r="AB106" s="500">
        <v>0.2</v>
      </c>
      <c r="AC106" s="496"/>
      <c r="AD106" s="497"/>
      <c r="AE106" s="496"/>
      <c r="AF106" s="497"/>
      <c r="AG106" s="496"/>
      <c r="AH106" s="497"/>
      <c r="AI106" s="496"/>
      <c r="AJ106" s="497"/>
      <c r="AK106" s="206"/>
      <c r="AL106" s="642">
        <v>100</v>
      </c>
      <c r="AM106" s="642">
        <v>100</v>
      </c>
      <c r="AN106" s="206"/>
      <c r="AO106" s="499">
        <v>750</v>
      </c>
      <c r="AP106" s="499">
        <v>4</v>
      </c>
      <c r="AQ106" s="642"/>
      <c r="AR106" s="206"/>
      <c r="AS106" s="499">
        <v>10000</v>
      </c>
      <c r="AT106" s="499">
        <v>100</v>
      </c>
      <c r="AU106" s="499">
        <v>10</v>
      </c>
      <c r="AV106" s="499">
        <v>10000</v>
      </c>
      <c r="AW106" s="206"/>
      <c r="AX106" s="1280">
        <v>10</v>
      </c>
      <c r="AY106" s="1281"/>
      <c r="AZ106" s="1282">
        <v>40</v>
      </c>
      <c r="BA106" s="1281"/>
      <c r="BB106" s="1283">
        <v>750</v>
      </c>
      <c r="BC106" s="1281"/>
      <c r="BD106" s="1347"/>
      <c r="BE106" s="1281"/>
      <c r="BF106" s="206"/>
      <c r="BG106" s="206"/>
      <c r="BH106" s="206"/>
      <c r="BI106" s="206"/>
      <c r="BJ106" s="206"/>
      <c r="BK106" s="865"/>
      <c r="BL106" s="865"/>
      <c r="BM106" s="865"/>
      <c r="BN106" s="865"/>
      <c r="BO106" s="865"/>
      <c r="BP106" s="865"/>
      <c r="BQ106" s="865"/>
      <c r="BR106" s="865"/>
      <c r="BS106" s="865"/>
      <c r="BT106" s="865"/>
      <c r="BU106" s="865"/>
      <c r="BV106" s="865"/>
      <c r="BW106" s="865"/>
      <c r="BX106" s="865"/>
      <c r="BY106" s="865"/>
      <c r="BZ106" s="865"/>
      <c r="CA106" s="865"/>
      <c r="CB106" s="865"/>
    </row>
    <row r="107" spans="1:80" ht="14.25" thickTop="1" thickBot="1">
      <c r="A107" s="673">
        <v>87</v>
      </c>
      <c r="B107" s="674">
        <v>6</v>
      </c>
      <c r="C107" s="921" t="s">
        <v>1240</v>
      </c>
      <c r="D107" s="1149">
        <v>0</v>
      </c>
      <c r="E107" s="1054">
        <v>0.126</v>
      </c>
      <c r="F107" s="661">
        <v>0.122</v>
      </c>
      <c r="G107" s="1001">
        <f t="shared" si="14"/>
        <v>0</v>
      </c>
      <c r="H107" s="922">
        <v>0.1227</v>
      </c>
      <c r="I107" s="661">
        <v>0.1187</v>
      </c>
      <c r="J107" s="1002">
        <f t="shared" si="15"/>
        <v>0</v>
      </c>
      <c r="K107" s="923">
        <v>0.1101</v>
      </c>
      <c r="L107" s="661">
        <v>0.1061</v>
      </c>
      <c r="M107" s="1003"/>
      <c r="N107" s="923"/>
      <c r="O107" s="666"/>
      <c r="P107" s="468"/>
      <c r="Q107" s="1006"/>
      <c r="R107" s="468"/>
      <c r="S107" s="1004">
        <f t="shared" si="13"/>
        <v>0</v>
      </c>
      <c r="T107" s="924">
        <v>8.8400000000000006E-2</v>
      </c>
      <c r="U107" s="924">
        <v>8.4400000000000003E-2</v>
      </c>
      <c r="V107" s="468"/>
      <c r="W107" s="491"/>
      <c r="X107" s="505"/>
      <c r="Y107" s="468"/>
      <c r="Z107" s="907">
        <v>100</v>
      </c>
      <c r="AA107" s="499">
        <v>10000</v>
      </c>
      <c r="AB107" s="500">
        <v>0.2</v>
      </c>
      <c r="AC107" s="496"/>
      <c r="AD107" s="497"/>
      <c r="AE107" s="496"/>
      <c r="AF107" s="497"/>
      <c r="AG107" s="496"/>
      <c r="AH107" s="497"/>
      <c r="AI107" s="496"/>
      <c r="AJ107" s="497"/>
      <c r="AK107" s="206"/>
      <c r="AL107" s="642">
        <v>100</v>
      </c>
      <c r="AM107" s="642">
        <v>100</v>
      </c>
      <c r="AN107" s="206"/>
      <c r="AO107" s="499">
        <v>750</v>
      </c>
      <c r="AP107" s="499">
        <v>4</v>
      </c>
      <c r="AQ107" s="642"/>
      <c r="AR107" s="206"/>
      <c r="AS107" s="499">
        <v>10000</v>
      </c>
      <c r="AT107" s="499">
        <v>100</v>
      </c>
      <c r="AU107" s="499">
        <v>10</v>
      </c>
      <c r="AV107" s="499">
        <v>10000</v>
      </c>
      <c r="AW107" s="206"/>
      <c r="AX107" s="1280">
        <v>10</v>
      </c>
      <c r="AY107" s="1281"/>
      <c r="AZ107" s="1282">
        <v>40</v>
      </c>
      <c r="BA107" s="1281"/>
      <c r="BB107" s="1283">
        <v>750</v>
      </c>
      <c r="BC107" s="1281"/>
      <c r="BD107" s="1347"/>
      <c r="BE107" s="1281"/>
      <c r="BF107" s="206"/>
      <c r="BG107" s="206"/>
      <c r="BH107" s="206"/>
      <c r="BI107" s="206"/>
      <c r="BJ107" s="206"/>
      <c r="BK107" s="865"/>
      <c r="BL107" s="865"/>
      <c r="BM107" s="865"/>
      <c r="BN107" s="865"/>
      <c r="BO107" s="865"/>
      <c r="BP107" s="865"/>
      <c r="BQ107" s="865"/>
      <c r="BR107" s="865"/>
      <c r="BS107" s="865"/>
      <c r="BT107" s="865"/>
      <c r="BU107" s="865"/>
      <c r="BV107" s="865"/>
      <c r="BW107" s="865"/>
      <c r="BX107" s="865"/>
      <c r="BY107" s="865"/>
      <c r="BZ107" s="865"/>
      <c r="CA107" s="865"/>
      <c r="CB107" s="865"/>
    </row>
    <row r="108" spans="1:80" ht="14.25" thickTop="1" thickBot="1">
      <c r="A108" s="673">
        <v>88</v>
      </c>
      <c r="B108" s="674">
        <v>7</v>
      </c>
      <c r="C108" s="921" t="s">
        <v>1241</v>
      </c>
      <c r="D108" s="1149">
        <v>0</v>
      </c>
      <c r="E108" s="1054">
        <v>0.126</v>
      </c>
      <c r="F108" s="661">
        <v>0.122</v>
      </c>
      <c r="G108" s="1001">
        <f t="shared" si="14"/>
        <v>0</v>
      </c>
      <c r="H108" s="922">
        <v>0.1227</v>
      </c>
      <c r="I108" s="661">
        <v>0.1187</v>
      </c>
      <c r="J108" s="1002">
        <f t="shared" si="15"/>
        <v>0</v>
      </c>
      <c r="K108" s="923">
        <v>0.1101</v>
      </c>
      <c r="L108" s="661">
        <v>0.1061</v>
      </c>
      <c r="M108" s="1003"/>
      <c r="N108" s="923"/>
      <c r="O108" s="666"/>
      <c r="P108" s="468"/>
      <c r="Q108" s="1006"/>
      <c r="R108" s="468"/>
      <c r="S108" s="1004">
        <f t="shared" si="13"/>
        <v>0</v>
      </c>
      <c r="T108" s="924">
        <v>8.8400000000000006E-2</v>
      </c>
      <c r="U108" s="924">
        <v>8.4400000000000003E-2</v>
      </c>
      <c r="V108" s="468"/>
      <c r="W108" s="491"/>
      <c r="X108" s="505"/>
      <c r="Y108" s="468"/>
      <c r="Z108" s="907">
        <v>100</v>
      </c>
      <c r="AA108" s="499">
        <v>10000</v>
      </c>
      <c r="AB108" s="500">
        <v>0.2</v>
      </c>
      <c r="AC108" s="496"/>
      <c r="AD108" s="497"/>
      <c r="AE108" s="496"/>
      <c r="AF108" s="497"/>
      <c r="AG108" s="496"/>
      <c r="AH108" s="497"/>
      <c r="AI108" s="496"/>
      <c r="AJ108" s="497"/>
      <c r="AK108" s="206"/>
      <c r="AL108" s="642">
        <v>100</v>
      </c>
      <c r="AM108" s="642">
        <v>100</v>
      </c>
      <c r="AN108" s="206"/>
      <c r="AO108" s="499">
        <v>750</v>
      </c>
      <c r="AP108" s="499">
        <v>4</v>
      </c>
      <c r="AQ108" s="642"/>
      <c r="AR108" s="206"/>
      <c r="AS108" s="499">
        <v>10000</v>
      </c>
      <c r="AT108" s="499">
        <v>100</v>
      </c>
      <c r="AU108" s="499">
        <v>10</v>
      </c>
      <c r="AV108" s="499">
        <v>10000</v>
      </c>
      <c r="AW108" s="206"/>
      <c r="AX108" s="1280">
        <v>10</v>
      </c>
      <c r="AY108" s="1281"/>
      <c r="AZ108" s="1282">
        <v>40</v>
      </c>
      <c r="BA108" s="1281"/>
      <c r="BB108" s="1283">
        <v>750</v>
      </c>
      <c r="BC108" s="1281"/>
      <c r="BD108" s="1347"/>
      <c r="BE108" s="1281"/>
      <c r="BF108" s="206"/>
      <c r="BG108" s="206"/>
      <c r="BH108" s="206"/>
      <c r="BI108" s="206"/>
      <c r="BJ108" s="206"/>
      <c r="BK108" s="865"/>
      <c r="BL108" s="865"/>
      <c r="BM108" s="865"/>
      <c r="BN108" s="865"/>
      <c r="BO108" s="865"/>
      <c r="BP108" s="865"/>
      <c r="BQ108" s="865"/>
      <c r="BR108" s="865"/>
      <c r="BS108" s="865"/>
      <c r="BT108" s="865"/>
      <c r="BU108" s="865"/>
      <c r="BV108" s="865"/>
      <c r="BW108" s="865"/>
      <c r="BX108" s="865"/>
      <c r="BY108" s="865"/>
      <c r="BZ108" s="865"/>
      <c r="CA108" s="865"/>
      <c r="CB108" s="865"/>
    </row>
    <row r="109" spans="1:80" ht="14.25" thickTop="1" thickBot="1">
      <c r="A109" s="673">
        <v>89</v>
      </c>
      <c r="B109" s="674">
        <v>8</v>
      </c>
      <c r="C109" s="1154" t="s">
        <v>1242</v>
      </c>
      <c r="D109" s="1149">
        <v>0.01</v>
      </c>
      <c r="E109" s="1054">
        <v>0.12479999999999999</v>
      </c>
      <c r="F109" s="661">
        <v>0.1208</v>
      </c>
      <c r="G109" s="1001">
        <f t="shared" si="14"/>
        <v>0.01</v>
      </c>
      <c r="H109" s="922">
        <v>0.12139999999999999</v>
      </c>
      <c r="I109" s="661">
        <v>0.1174</v>
      </c>
      <c r="J109" s="1002">
        <f t="shared" si="15"/>
        <v>0.01</v>
      </c>
      <c r="K109" s="923">
        <v>0.109</v>
      </c>
      <c r="L109" s="661">
        <v>0.105</v>
      </c>
      <c r="M109" s="1003"/>
      <c r="N109" s="923"/>
      <c r="O109" s="666"/>
      <c r="P109" s="468"/>
      <c r="Q109" s="1006"/>
      <c r="R109" s="468"/>
      <c r="S109" s="1004">
        <f t="shared" si="13"/>
        <v>0.01</v>
      </c>
      <c r="T109" s="924">
        <v>8.7499999999999994E-2</v>
      </c>
      <c r="U109" s="924">
        <v>8.3500000000000005E-2</v>
      </c>
      <c r="V109" s="468"/>
      <c r="W109" s="491"/>
      <c r="X109" s="505"/>
      <c r="Y109" s="468"/>
      <c r="Z109" s="907">
        <v>100</v>
      </c>
      <c r="AA109" s="499">
        <v>10000</v>
      </c>
      <c r="AB109" s="500">
        <v>0.2</v>
      </c>
      <c r="AC109" s="496"/>
      <c r="AD109" s="497"/>
      <c r="AE109" s="496"/>
      <c r="AF109" s="497"/>
      <c r="AG109" s="496"/>
      <c r="AH109" s="497"/>
      <c r="AI109" s="496"/>
      <c r="AJ109" s="497"/>
      <c r="AK109" s="206"/>
      <c r="AL109" s="642">
        <v>100</v>
      </c>
      <c r="AM109" s="642">
        <v>100</v>
      </c>
      <c r="AN109" s="206"/>
      <c r="AO109" s="499">
        <v>750</v>
      </c>
      <c r="AP109" s="499">
        <v>4</v>
      </c>
      <c r="AQ109" s="642"/>
      <c r="AR109" s="206"/>
      <c r="AS109" s="499">
        <v>10000</v>
      </c>
      <c r="AT109" s="499">
        <v>100</v>
      </c>
      <c r="AU109" s="499">
        <v>10</v>
      </c>
      <c r="AV109" s="499">
        <v>10000</v>
      </c>
      <c r="AW109" s="206"/>
      <c r="AX109" s="1280">
        <v>10</v>
      </c>
      <c r="AY109" s="1281"/>
      <c r="AZ109" s="1282">
        <v>40</v>
      </c>
      <c r="BA109" s="1281"/>
      <c r="BB109" s="1283">
        <v>750</v>
      </c>
      <c r="BC109" s="1281"/>
      <c r="BD109" s="1347"/>
      <c r="BE109" s="1281"/>
      <c r="BF109" s="206"/>
      <c r="BG109" s="206"/>
      <c r="BH109" s="206"/>
      <c r="BI109" s="206"/>
      <c r="BJ109" s="206"/>
      <c r="BK109" s="865"/>
      <c r="BL109" s="865"/>
      <c r="BM109" s="865"/>
      <c r="BN109" s="865"/>
      <c r="BO109" s="865"/>
      <c r="BP109" s="865"/>
      <c r="BQ109" s="865"/>
      <c r="BR109" s="865"/>
      <c r="BS109" s="865"/>
      <c r="BT109" s="865"/>
      <c r="BU109" s="865"/>
      <c r="BV109" s="865"/>
      <c r="BW109" s="865"/>
      <c r="BX109" s="865"/>
      <c r="BY109" s="865"/>
      <c r="BZ109" s="865"/>
      <c r="CA109" s="865"/>
      <c r="CB109" s="865"/>
    </row>
    <row r="110" spans="1:80" ht="14.25" thickTop="1" thickBot="1">
      <c r="A110" s="673">
        <v>90</v>
      </c>
      <c r="B110" s="674">
        <v>9</v>
      </c>
      <c r="C110" s="1154" t="s">
        <v>1243</v>
      </c>
      <c r="D110" s="1149">
        <v>0.01</v>
      </c>
      <c r="E110" s="1054">
        <v>0.1235</v>
      </c>
      <c r="F110" s="661">
        <v>0.1195</v>
      </c>
      <c r="G110" s="1001">
        <f t="shared" si="14"/>
        <v>0.01</v>
      </c>
      <c r="H110" s="922">
        <v>0.1202</v>
      </c>
      <c r="I110" s="661">
        <v>0.1162</v>
      </c>
      <c r="J110" s="1002">
        <f t="shared" si="15"/>
        <v>0.01</v>
      </c>
      <c r="K110" s="923">
        <v>0.1079</v>
      </c>
      <c r="L110" s="661">
        <v>0.10390000000000001</v>
      </c>
      <c r="M110" s="1003"/>
      <c r="N110" s="923"/>
      <c r="O110" s="666"/>
      <c r="P110" s="468"/>
      <c r="Q110" s="1006"/>
      <c r="R110" s="468"/>
      <c r="S110" s="1004">
        <f t="shared" si="13"/>
        <v>0.01</v>
      </c>
      <c r="T110" s="924">
        <v>8.6699999999999999E-2</v>
      </c>
      <c r="U110" s="924">
        <v>8.2699999999999996E-2</v>
      </c>
      <c r="V110" s="468"/>
      <c r="W110" s="491"/>
      <c r="X110" s="505"/>
      <c r="Y110" s="468"/>
      <c r="Z110" s="907">
        <v>100</v>
      </c>
      <c r="AA110" s="499">
        <v>10000</v>
      </c>
      <c r="AB110" s="500">
        <v>0.2</v>
      </c>
      <c r="AC110" s="496"/>
      <c r="AD110" s="497"/>
      <c r="AE110" s="496"/>
      <c r="AF110" s="497"/>
      <c r="AG110" s="496"/>
      <c r="AH110" s="497"/>
      <c r="AI110" s="496"/>
      <c r="AJ110" s="497"/>
      <c r="AK110" s="206"/>
      <c r="AL110" s="642">
        <v>100</v>
      </c>
      <c r="AM110" s="642">
        <v>100</v>
      </c>
      <c r="AN110" s="206"/>
      <c r="AO110" s="499">
        <v>750</v>
      </c>
      <c r="AP110" s="499">
        <v>4</v>
      </c>
      <c r="AQ110" s="642"/>
      <c r="AR110" s="206"/>
      <c r="AS110" s="499">
        <v>10000</v>
      </c>
      <c r="AT110" s="499">
        <v>100</v>
      </c>
      <c r="AU110" s="499">
        <v>10</v>
      </c>
      <c r="AV110" s="499">
        <v>10000</v>
      </c>
      <c r="AW110" s="206"/>
      <c r="AX110" s="1280">
        <v>10</v>
      </c>
      <c r="AY110" s="1281"/>
      <c r="AZ110" s="1282">
        <v>40</v>
      </c>
      <c r="BA110" s="1281"/>
      <c r="BB110" s="1283">
        <v>750</v>
      </c>
      <c r="BC110" s="1281"/>
      <c r="BD110" s="1347"/>
      <c r="BE110" s="1281"/>
      <c r="BF110" s="206"/>
      <c r="BG110" s="206"/>
      <c r="BH110" s="206"/>
      <c r="BI110" s="206"/>
      <c r="BJ110" s="206"/>
      <c r="BK110" s="865"/>
      <c r="BL110" s="865"/>
      <c r="BM110" s="865"/>
      <c r="BN110" s="865"/>
      <c r="BO110" s="865"/>
      <c r="BP110" s="865"/>
      <c r="BQ110" s="865"/>
      <c r="BR110" s="865"/>
      <c r="BS110" s="865"/>
      <c r="BT110" s="865"/>
      <c r="BU110" s="865"/>
      <c r="BV110" s="865"/>
      <c r="BW110" s="865"/>
      <c r="BX110" s="865"/>
      <c r="BY110" s="865"/>
      <c r="BZ110" s="865"/>
      <c r="CA110" s="865"/>
      <c r="CB110" s="865"/>
    </row>
    <row r="111" spans="1:80" ht="14.25" thickTop="1" thickBot="1">
      <c r="A111" s="673">
        <v>91</v>
      </c>
      <c r="B111" s="674">
        <v>10</v>
      </c>
      <c r="C111" s="1154" t="s">
        <v>1244</v>
      </c>
      <c r="D111" s="1149">
        <v>0.01</v>
      </c>
      <c r="E111" s="1054">
        <v>0.12230000000000001</v>
      </c>
      <c r="F111" s="661">
        <f t="shared" ref="F111" si="16">IF(E111&gt;0,E111-0.004,0)</f>
        <v>0.1183</v>
      </c>
      <c r="G111" s="1001">
        <f t="shared" si="14"/>
        <v>0.01</v>
      </c>
      <c r="H111" s="922">
        <v>0.11899999999999999</v>
      </c>
      <c r="I111" s="661">
        <v>0.115</v>
      </c>
      <c r="J111" s="1002">
        <f t="shared" si="15"/>
        <v>0.01</v>
      </c>
      <c r="K111" s="923">
        <v>0.10680000000000001</v>
      </c>
      <c r="L111" s="661">
        <v>0.1028</v>
      </c>
      <c r="M111" s="1003"/>
      <c r="N111" s="923"/>
      <c r="O111" s="666"/>
      <c r="P111" s="468"/>
      <c r="Q111" s="1006"/>
      <c r="R111" s="468"/>
      <c r="S111" s="1004">
        <f t="shared" si="13"/>
        <v>0.01</v>
      </c>
      <c r="T111" s="924">
        <v>8.5800000000000001E-2</v>
      </c>
      <c r="U111" s="924">
        <v>8.1799999999999998E-2</v>
      </c>
      <c r="V111" s="468"/>
      <c r="W111" s="491"/>
      <c r="X111" s="505"/>
      <c r="Y111" s="468"/>
      <c r="Z111" s="907">
        <v>100</v>
      </c>
      <c r="AA111" s="499">
        <v>10000</v>
      </c>
      <c r="AB111" s="500">
        <v>0.2</v>
      </c>
      <c r="AC111" s="496"/>
      <c r="AD111" s="497"/>
      <c r="AE111" s="496"/>
      <c r="AF111" s="497"/>
      <c r="AG111" s="496"/>
      <c r="AH111" s="497"/>
      <c r="AI111" s="496"/>
      <c r="AJ111" s="497"/>
      <c r="AK111" s="206"/>
      <c r="AL111" s="642">
        <v>100</v>
      </c>
      <c r="AM111" s="642">
        <v>100</v>
      </c>
      <c r="AN111" s="206"/>
      <c r="AO111" s="499">
        <v>750</v>
      </c>
      <c r="AP111" s="499">
        <v>4</v>
      </c>
      <c r="AQ111" s="642"/>
      <c r="AR111" s="206"/>
      <c r="AS111" s="499">
        <v>10000</v>
      </c>
      <c r="AT111" s="499">
        <v>100</v>
      </c>
      <c r="AU111" s="499">
        <v>10</v>
      </c>
      <c r="AV111" s="499">
        <v>10000</v>
      </c>
      <c r="AW111" s="206"/>
      <c r="AX111" s="1280">
        <v>10</v>
      </c>
      <c r="AY111" s="1281"/>
      <c r="AZ111" s="1282">
        <v>40</v>
      </c>
      <c r="BA111" s="1281"/>
      <c r="BB111" s="1283">
        <v>750</v>
      </c>
      <c r="BC111" s="1281"/>
      <c r="BD111" s="1347"/>
      <c r="BE111" s="1281"/>
      <c r="BF111" s="206"/>
      <c r="BG111" s="206"/>
      <c r="BH111" s="206"/>
      <c r="BI111" s="206"/>
      <c r="BJ111" s="206"/>
      <c r="BK111" s="865"/>
      <c r="BL111" s="865"/>
      <c r="BM111" s="865"/>
      <c r="BN111" s="865"/>
      <c r="BO111" s="865"/>
      <c r="BP111" s="865"/>
      <c r="BQ111" s="865"/>
      <c r="BR111" s="865"/>
      <c r="BS111" s="865"/>
      <c r="BT111" s="865"/>
      <c r="BU111" s="865"/>
      <c r="BV111" s="865"/>
      <c r="BW111" s="865"/>
      <c r="BX111" s="865"/>
      <c r="BY111" s="865"/>
      <c r="BZ111" s="865"/>
      <c r="CA111" s="865"/>
      <c r="CB111" s="865"/>
    </row>
    <row r="112" spans="1:80" ht="14.25" thickTop="1" thickBot="1">
      <c r="A112" s="673">
        <v>92</v>
      </c>
      <c r="B112" s="674">
        <v>11</v>
      </c>
      <c r="C112" s="1154" t="s">
        <v>1245</v>
      </c>
      <c r="D112" s="1149">
        <v>0.01</v>
      </c>
      <c r="E112" s="1054">
        <v>0.1211</v>
      </c>
      <c r="F112" s="661">
        <v>0.1171</v>
      </c>
      <c r="G112" s="1001">
        <f t="shared" si="14"/>
        <v>0.01</v>
      </c>
      <c r="H112" s="922">
        <v>0.1178</v>
      </c>
      <c r="I112" s="661">
        <v>0.1138</v>
      </c>
      <c r="J112" s="1002">
        <f t="shared" si="15"/>
        <v>0.01</v>
      </c>
      <c r="K112" s="923">
        <v>0.1057</v>
      </c>
      <c r="L112" s="661">
        <v>0.1017</v>
      </c>
      <c r="M112" s="1003"/>
      <c r="N112" s="923"/>
      <c r="O112" s="666"/>
      <c r="P112" s="468"/>
      <c r="Q112" s="1006"/>
      <c r="R112" s="468"/>
      <c r="S112" s="1004">
        <f t="shared" si="13"/>
        <v>0.01</v>
      </c>
      <c r="T112" s="924">
        <v>8.4900000000000003E-2</v>
      </c>
      <c r="U112" s="924">
        <v>8.09E-2</v>
      </c>
      <c r="V112" s="468"/>
      <c r="W112" s="491"/>
      <c r="X112" s="505"/>
      <c r="Y112" s="468"/>
      <c r="Z112" s="907">
        <v>100</v>
      </c>
      <c r="AA112" s="499">
        <v>10000</v>
      </c>
      <c r="AB112" s="500">
        <v>0.2</v>
      </c>
      <c r="AC112" s="496"/>
      <c r="AD112" s="497"/>
      <c r="AE112" s="496"/>
      <c r="AF112" s="497"/>
      <c r="AG112" s="496"/>
      <c r="AH112" s="497"/>
      <c r="AI112" s="496"/>
      <c r="AJ112" s="497"/>
      <c r="AK112" s="206"/>
      <c r="AL112" s="642">
        <v>100</v>
      </c>
      <c r="AM112" s="642">
        <v>100</v>
      </c>
      <c r="AN112" s="206"/>
      <c r="AO112" s="499">
        <v>750</v>
      </c>
      <c r="AP112" s="499">
        <v>4</v>
      </c>
      <c r="AQ112" s="642"/>
      <c r="AR112" s="206"/>
      <c r="AS112" s="499">
        <v>10000</v>
      </c>
      <c r="AT112" s="499">
        <v>100</v>
      </c>
      <c r="AU112" s="499">
        <v>10</v>
      </c>
      <c r="AV112" s="499">
        <v>10000</v>
      </c>
      <c r="AW112" s="206"/>
      <c r="AX112" s="1280">
        <v>10</v>
      </c>
      <c r="AY112" s="1281"/>
      <c r="AZ112" s="1282">
        <v>40</v>
      </c>
      <c r="BA112" s="1281"/>
      <c r="BB112" s="1283">
        <v>750</v>
      </c>
      <c r="BC112" s="1281"/>
      <c r="BD112" s="1347"/>
      <c r="BE112" s="1281"/>
      <c r="BF112" s="206"/>
      <c r="BG112" s="206"/>
      <c r="BH112" s="206"/>
      <c r="BI112" s="206"/>
      <c r="BJ112" s="206"/>
      <c r="BK112" s="865"/>
      <c r="BL112" s="865"/>
      <c r="BM112" s="865"/>
      <c r="BN112" s="865"/>
      <c r="BO112" s="865"/>
      <c r="BP112" s="865"/>
      <c r="BQ112" s="865"/>
      <c r="BR112" s="865"/>
      <c r="BS112" s="865"/>
      <c r="BT112" s="865"/>
      <c r="BU112" s="865"/>
      <c r="BV112" s="865"/>
      <c r="BW112" s="865"/>
      <c r="BX112" s="865"/>
      <c r="BY112" s="865"/>
      <c r="BZ112" s="865"/>
      <c r="CA112" s="865"/>
      <c r="CB112" s="865"/>
    </row>
    <row r="113" spans="1:80" ht="14.25" thickTop="1" thickBot="1">
      <c r="A113" s="673">
        <v>93</v>
      </c>
      <c r="B113" s="674">
        <v>12</v>
      </c>
      <c r="C113" s="1154" t="s">
        <v>1246</v>
      </c>
      <c r="D113" s="1149">
        <v>0.01</v>
      </c>
      <c r="E113" s="1054">
        <v>0.11990000000000001</v>
      </c>
      <c r="F113" s="661">
        <v>0.1159</v>
      </c>
      <c r="G113" s="1001">
        <f t="shared" si="14"/>
        <v>0.01</v>
      </c>
      <c r="H113" s="922">
        <v>0.1167</v>
      </c>
      <c r="I113" s="661">
        <v>0.11269999999999999</v>
      </c>
      <c r="J113" s="1002">
        <f t="shared" si="15"/>
        <v>0.01</v>
      </c>
      <c r="K113" s="923">
        <v>0.1047</v>
      </c>
      <c r="L113" s="661">
        <v>0.1007</v>
      </c>
      <c r="M113" s="1003"/>
      <c r="N113" s="923"/>
      <c r="O113" s="666"/>
      <c r="P113" s="468"/>
      <c r="Q113" s="1006"/>
      <c r="R113" s="468"/>
      <c r="S113" s="1004">
        <f t="shared" si="13"/>
        <v>0.01</v>
      </c>
      <c r="T113" s="924">
        <v>8.4099999999999994E-2</v>
      </c>
      <c r="U113" s="924">
        <v>8.0100000000000005E-2</v>
      </c>
      <c r="V113" s="468"/>
      <c r="W113" s="491"/>
      <c r="X113" s="505"/>
      <c r="Y113" s="468"/>
      <c r="Z113" s="907">
        <v>100</v>
      </c>
      <c r="AA113" s="499">
        <v>10000</v>
      </c>
      <c r="AB113" s="500">
        <v>0.2</v>
      </c>
      <c r="AC113" s="496"/>
      <c r="AD113" s="497"/>
      <c r="AE113" s="496"/>
      <c r="AF113" s="497"/>
      <c r="AG113" s="496"/>
      <c r="AH113" s="497"/>
      <c r="AI113" s="496"/>
      <c r="AJ113" s="497"/>
      <c r="AK113" s="206"/>
      <c r="AL113" s="642">
        <v>100</v>
      </c>
      <c r="AM113" s="642">
        <v>100</v>
      </c>
      <c r="AN113" s="206"/>
      <c r="AO113" s="499">
        <v>750</v>
      </c>
      <c r="AP113" s="499">
        <v>4</v>
      </c>
      <c r="AQ113" s="642"/>
      <c r="AR113" s="206"/>
      <c r="AS113" s="499">
        <v>10000</v>
      </c>
      <c r="AT113" s="499">
        <v>100</v>
      </c>
      <c r="AU113" s="499">
        <v>10</v>
      </c>
      <c r="AV113" s="499">
        <v>10000</v>
      </c>
      <c r="AW113" s="206"/>
      <c r="AX113" s="1280">
        <v>10</v>
      </c>
      <c r="AY113" s="1281"/>
      <c r="AZ113" s="1282">
        <v>40</v>
      </c>
      <c r="BA113" s="1281"/>
      <c r="BB113" s="1283">
        <v>750</v>
      </c>
      <c r="BC113" s="1281"/>
      <c r="BD113" s="1347"/>
      <c r="BE113" s="1281"/>
      <c r="BF113" s="206"/>
      <c r="BG113" s="206"/>
      <c r="BH113" s="206"/>
      <c r="BI113" s="206"/>
      <c r="BJ113" s="206"/>
      <c r="BK113" s="865"/>
      <c r="BL113" s="865"/>
      <c r="BM113" s="865"/>
      <c r="BN113" s="865"/>
      <c r="BO113" s="865"/>
      <c r="BP113" s="865"/>
      <c r="BQ113" s="865"/>
      <c r="BR113" s="865"/>
      <c r="BS113" s="865"/>
      <c r="BT113" s="865"/>
      <c r="BU113" s="865"/>
      <c r="BV113" s="865"/>
      <c r="BW113" s="865"/>
      <c r="BX113" s="865"/>
      <c r="BY113" s="865"/>
      <c r="BZ113" s="865"/>
      <c r="CA113" s="865"/>
      <c r="CB113" s="865"/>
    </row>
    <row r="114" spans="1:80" ht="14.25" thickTop="1" thickBot="1">
      <c r="A114" s="673">
        <v>94</v>
      </c>
      <c r="B114" s="674">
        <v>1</v>
      </c>
      <c r="C114" s="1154" t="s">
        <v>1247</v>
      </c>
      <c r="D114" s="1149">
        <v>0.01</v>
      </c>
      <c r="E114" s="1054">
        <v>0.1187</v>
      </c>
      <c r="F114" s="661">
        <v>0.1147</v>
      </c>
      <c r="G114" s="1001">
        <f t="shared" si="14"/>
        <v>0.01</v>
      </c>
      <c r="H114" s="922">
        <v>0.11550000000000001</v>
      </c>
      <c r="I114" s="661">
        <v>0.1115</v>
      </c>
      <c r="J114" s="1002">
        <f t="shared" si="15"/>
        <v>0.01</v>
      </c>
      <c r="K114" s="923">
        <v>0.1036</v>
      </c>
      <c r="L114" s="661">
        <v>9.9599999999999994E-2</v>
      </c>
      <c r="M114" s="1003"/>
      <c r="N114" s="923"/>
      <c r="O114" s="666"/>
      <c r="P114" s="468"/>
      <c r="Q114" s="1006"/>
      <c r="R114" s="468"/>
      <c r="S114" s="1004">
        <f t="shared" si="13"/>
        <v>0.01</v>
      </c>
      <c r="T114" s="924">
        <v>8.3299999999999999E-2</v>
      </c>
      <c r="U114" s="924">
        <v>7.9299999999999995E-2</v>
      </c>
      <c r="V114" s="468"/>
      <c r="W114" s="491"/>
      <c r="X114" s="505"/>
      <c r="Y114" s="468"/>
      <c r="Z114" s="907">
        <v>100</v>
      </c>
      <c r="AA114" s="499">
        <v>10000</v>
      </c>
      <c r="AB114" s="500">
        <v>0.2</v>
      </c>
      <c r="AC114" s="496"/>
      <c r="AD114" s="497"/>
      <c r="AE114" s="496"/>
      <c r="AF114" s="497"/>
      <c r="AG114" s="496"/>
      <c r="AH114" s="497"/>
      <c r="AI114" s="496"/>
      <c r="AJ114" s="497"/>
      <c r="AK114" s="206"/>
      <c r="AL114" s="642">
        <v>100</v>
      </c>
      <c r="AM114" s="642">
        <v>100</v>
      </c>
      <c r="AN114" s="206"/>
      <c r="AO114" s="499">
        <v>750</v>
      </c>
      <c r="AP114" s="499">
        <v>4</v>
      </c>
      <c r="AQ114" s="642"/>
      <c r="AR114" s="206"/>
      <c r="AS114" s="499">
        <v>10000</v>
      </c>
      <c r="AT114" s="499">
        <v>100</v>
      </c>
      <c r="AU114" s="499">
        <v>10</v>
      </c>
      <c r="AV114" s="499">
        <v>10000</v>
      </c>
      <c r="AW114" s="206"/>
      <c r="AX114" s="1280">
        <v>10</v>
      </c>
      <c r="AY114" s="1281"/>
      <c r="AZ114" s="1282">
        <v>40</v>
      </c>
      <c r="BA114" s="1281"/>
      <c r="BB114" s="1283">
        <v>750</v>
      </c>
      <c r="BC114" s="1281"/>
      <c r="BD114" s="1347"/>
      <c r="BE114" s="1281"/>
      <c r="BF114" s="206"/>
      <c r="BG114" s="206"/>
      <c r="BH114" s="206"/>
      <c r="BI114" s="206"/>
      <c r="BJ114" s="206"/>
      <c r="BK114" s="865"/>
      <c r="BL114" s="865"/>
      <c r="BM114" s="865"/>
      <c r="BN114" s="865"/>
      <c r="BO114" s="865"/>
      <c r="BP114" s="865"/>
      <c r="BQ114" s="865"/>
      <c r="BR114" s="865"/>
      <c r="BS114" s="865"/>
      <c r="BT114" s="865"/>
      <c r="BU114" s="865"/>
      <c r="BV114" s="865"/>
      <c r="BW114" s="865"/>
      <c r="BX114" s="865"/>
      <c r="BY114" s="865"/>
      <c r="BZ114" s="865"/>
      <c r="CA114" s="865"/>
      <c r="CB114" s="865"/>
    </row>
    <row r="115" spans="1:80" ht="14.25" thickTop="1" thickBot="1">
      <c r="A115" s="673">
        <v>95</v>
      </c>
      <c r="B115" s="674">
        <v>2</v>
      </c>
      <c r="C115" s="1154" t="s">
        <v>1252</v>
      </c>
      <c r="D115" s="1149">
        <v>0.01</v>
      </c>
      <c r="E115" s="1054">
        <v>0.11749999999999999</v>
      </c>
      <c r="F115" s="661">
        <v>0.1135</v>
      </c>
      <c r="G115" s="1001">
        <f t="shared" si="14"/>
        <v>0.01</v>
      </c>
      <c r="H115" s="922">
        <v>0.1143</v>
      </c>
      <c r="I115" s="661">
        <v>0.1103</v>
      </c>
      <c r="J115" s="1156" t="s">
        <v>1248</v>
      </c>
      <c r="K115" s="923">
        <v>9.8699999999999996E-2</v>
      </c>
      <c r="L115" s="661">
        <v>9.4700000000000006E-2</v>
      </c>
      <c r="M115" s="1003"/>
      <c r="N115" s="923"/>
      <c r="O115" s="666"/>
      <c r="P115" s="468"/>
      <c r="Q115" s="1006"/>
      <c r="R115" s="468"/>
      <c r="S115" s="1004">
        <f t="shared" si="13"/>
        <v>0.01</v>
      </c>
      <c r="T115" s="924">
        <v>8.2400000000000001E-2</v>
      </c>
      <c r="U115" s="924">
        <v>7.8399999999999997E-2</v>
      </c>
      <c r="V115" s="468"/>
      <c r="W115" s="491"/>
      <c r="X115" s="505"/>
      <c r="Y115" s="468"/>
      <c r="Z115" s="907">
        <v>100</v>
      </c>
      <c r="AA115" s="499">
        <v>10000</v>
      </c>
      <c r="AB115" s="500">
        <v>0.2</v>
      </c>
      <c r="AC115" s="496"/>
      <c r="AD115" s="497"/>
      <c r="AE115" s="496"/>
      <c r="AF115" s="497"/>
      <c r="AG115" s="496"/>
      <c r="AH115" s="497"/>
      <c r="AI115" s="496"/>
      <c r="AJ115" s="497"/>
      <c r="AK115" s="206"/>
      <c r="AL115" s="642">
        <v>100</v>
      </c>
      <c r="AM115" s="642">
        <v>100</v>
      </c>
      <c r="AN115" s="206"/>
      <c r="AO115" s="499">
        <v>750</v>
      </c>
      <c r="AP115" s="499">
        <v>4</v>
      </c>
      <c r="AQ115" s="642"/>
      <c r="AR115" s="206"/>
      <c r="AS115" s="499">
        <v>10000</v>
      </c>
      <c r="AT115" s="499">
        <v>100</v>
      </c>
      <c r="AU115" s="499">
        <v>10</v>
      </c>
      <c r="AV115" s="499">
        <v>10000</v>
      </c>
      <c r="AW115" s="206"/>
      <c r="AX115" s="1280">
        <v>10</v>
      </c>
      <c r="AY115" s="1281"/>
      <c r="AZ115" s="1282">
        <v>40</v>
      </c>
      <c r="BA115" s="1281"/>
      <c r="BB115" s="1283">
        <v>750</v>
      </c>
      <c r="BC115" s="1281"/>
      <c r="BD115" s="1347"/>
      <c r="BE115" s="1281"/>
      <c r="BF115" s="206"/>
      <c r="BG115" s="206"/>
      <c r="BH115" s="206"/>
      <c r="BI115" s="206"/>
      <c r="BJ115" s="206"/>
      <c r="BK115" s="865"/>
      <c r="BL115" s="865"/>
      <c r="BM115" s="865"/>
      <c r="BN115" s="865"/>
      <c r="BO115" s="865"/>
      <c r="BP115" s="865"/>
      <c r="BQ115" s="865"/>
      <c r="BR115" s="865"/>
      <c r="BS115" s="865"/>
      <c r="BT115" s="865"/>
      <c r="BU115" s="865"/>
      <c r="BV115" s="865"/>
      <c r="BW115" s="865"/>
      <c r="BX115" s="865"/>
      <c r="BY115" s="865"/>
      <c r="BZ115" s="865"/>
      <c r="CA115" s="865"/>
      <c r="CB115" s="865"/>
    </row>
    <row r="116" spans="1:80" ht="14.25" thickTop="1" thickBot="1">
      <c r="A116" s="673">
        <v>96</v>
      </c>
      <c r="B116" s="674">
        <v>3</v>
      </c>
      <c r="C116" s="1154" t="s">
        <v>1253</v>
      </c>
      <c r="D116" s="1149">
        <v>0.01</v>
      </c>
      <c r="E116" s="1054">
        <v>0.1163</v>
      </c>
      <c r="F116" s="661">
        <v>0.1123</v>
      </c>
      <c r="G116" s="1001">
        <f t="shared" si="14"/>
        <v>0.01</v>
      </c>
      <c r="H116" s="922">
        <v>0.1132</v>
      </c>
      <c r="I116" s="661">
        <v>0.10920000000000001</v>
      </c>
      <c r="J116" s="1156" t="s">
        <v>1248</v>
      </c>
      <c r="K116" s="923">
        <v>9.3899999999999997E-2</v>
      </c>
      <c r="L116" s="661">
        <v>8.9899999999999994E-2</v>
      </c>
      <c r="M116" s="1003"/>
      <c r="N116" s="923"/>
      <c r="O116" s="666"/>
      <c r="P116" s="468"/>
      <c r="Q116" s="1006"/>
      <c r="R116" s="468"/>
      <c r="S116" s="1004">
        <f t="shared" si="13"/>
        <v>0.01</v>
      </c>
      <c r="T116" s="924">
        <v>8.1600000000000006E-2</v>
      </c>
      <c r="U116" s="924">
        <v>7.7600000000000002E-2</v>
      </c>
      <c r="V116" s="468"/>
      <c r="W116" s="491"/>
      <c r="X116" s="505"/>
      <c r="Y116" s="468"/>
      <c r="Z116" s="907">
        <v>100</v>
      </c>
      <c r="AA116" s="499">
        <v>10000</v>
      </c>
      <c r="AB116" s="500">
        <v>0.2</v>
      </c>
      <c r="AC116" s="496"/>
      <c r="AD116" s="497"/>
      <c r="AE116" s="496"/>
      <c r="AF116" s="497"/>
      <c r="AG116" s="496"/>
      <c r="AH116" s="497"/>
      <c r="AI116" s="496"/>
      <c r="AJ116" s="497"/>
      <c r="AK116" s="206"/>
      <c r="AL116" s="642">
        <v>100</v>
      </c>
      <c r="AM116" s="642">
        <v>100</v>
      </c>
      <c r="AN116" s="206"/>
      <c r="AO116" s="499">
        <v>750</v>
      </c>
      <c r="AP116" s="499">
        <v>4</v>
      </c>
      <c r="AQ116" s="642"/>
      <c r="AR116" s="206"/>
      <c r="AS116" s="499">
        <v>10000</v>
      </c>
      <c r="AT116" s="499">
        <v>100</v>
      </c>
      <c r="AU116" s="499">
        <v>10</v>
      </c>
      <c r="AV116" s="499">
        <v>10000</v>
      </c>
      <c r="AW116" s="206"/>
      <c r="AX116" s="1280">
        <v>10</v>
      </c>
      <c r="AY116" s="1281"/>
      <c r="AZ116" s="1282">
        <v>40</v>
      </c>
      <c r="BA116" s="1281"/>
      <c r="BB116" s="1283">
        <v>750</v>
      </c>
      <c r="BC116" s="1281"/>
      <c r="BD116" s="1347"/>
      <c r="BE116" s="1281"/>
      <c r="BF116" s="206"/>
      <c r="BG116" s="206"/>
      <c r="BH116" s="206"/>
      <c r="BI116" s="206"/>
      <c r="BJ116" s="206"/>
      <c r="BK116" s="865"/>
      <c r="BL116" s="865"/>
      <c r="BM116" s="865"/>
      <c r="BN116" s="865"/>
      <c r="BO116" s="865"/>
      <c r="BP116" s="865"/>
      <c r="BQ116" s="865"/>
      <c r="BR116" s="865"/>
      <c r="BS116" s="865"/>
      <c r="BT116" s="865"/>
      <c r="BU116" s="865"/>
      <c r="BV116" s="865"/>
      <c r="BW116" s="865"/>
      <c r="BX116" s="865"/>
      <c r="BY116" s="865"/>
      <c r="BZ116" s="865"/>
      <c r="CA116" s="865"/>
      <c r="CB116" s="865"/>
    </row>
    <row r="117" spans="1:80" ht="14.25" thickTop="1" thickBot="1">
      <c r="A117" s="673">
        <v>97</v>
      </c>
      <c r="B117" s="674">
        <v>4</v>
      </c>
      <c r="C117" s="1154" t="s">
        <v>1261</v>
      </c>
      <c r="D117" s="1149">
        <v>0.01</v>
      </c>
      <c r="E117" s="1054">
        <v>0.11509999999999999</v>
      </c>
      <c r="F117" s="661">
        <v>0.1111</v>
      </c>
      <c r="G117" s="1001">
        <f t="shared" si="14"/>
        <v>0.01</v>
      </c>
      <c r="H117" s="922">
        <v>0.11210000000000001</v>
      </c>
      <c r="I117" s="661">
        <v>0.1081</v>
      </c>
      <c r="J117" s="1156" t="s">
        <v>1248</v>
      </c>
      <c r="K117" s="923">
        <v>8.8999999999999996E-2</v>
      </c>
      <c r="L117" s="661">
        <v>8.5000000000000006E-2</v>
      </c>
      <c r="M117" s="1003"/>
      <c r="N117" s="923"/>
      <c r="O117" s="666"/>
      <c r="P117" s="468"/>
      <c r="Q117" s="1006"/>
      <c r="R117" s="468"/>
      <c r="S117" s="1004">
        <f t="shared" si="13"/>
        <v>0.01</v>
      </c>
      <c r="T117" s="924">
        <v>8.0799999999999997E-2</v>
      </c>
      <c r="U117" s="924">
        <v>7.6799999999999993E-2</v>
      </c>
      <c r="V117" s="468"/>
      <c r="W117" s="491"/>
      <c r="X117" s="505"/>
      <c r="Y117" s="468"/>
      <c r="Z117" s="907">
        <v>100</v>
      </c>
      <c r="AA117" s="499">
        <v>10000</v>
      </c>
      <c r="AB117" s="500">
        <v>0.2</v>
      </c>
      <c r="AC117" s="496"/>
      <c r="AD117" s="497"/>
      <c r="AE117" s="496"/>
      <c r="AF117" s="497"/>
      <c r="AG117" s="496"/>
      <c r="AH117" s="497"/>
      <c r="AI117" s="496"/>
      <c r="AJ117" s="497"/>
      <c r="AK117" s="206"/>
      <c r="AL117" s="642">
        <v>100</v>
      </c>
      <c r="AM117" s="642">
        <v>100</v>
      </c>
      <c r="AN117" s="206"/>
      <c r="AO117" s="499">
        <v>750</v>
      </c>
      <c r="AP117" s="499">
        <v>4</v>
      </c>
      <c r="AQ117" s="642"/>
      <c r="AR117" s="206"/>
      <c r="AS117" s="499">
        <v>10000</v>
      </c>
      <c r="AT117" s="499">
        <v>100</v>
      </c>
      <c r="AU117" s="499">
        <v>10</v>
      </c>
      <c r="AV117" s="499">
        <v>10000</v>
      </c>
      <c r="AW117" s="206"/>
      <c r="AX117" s="1280">
        <v>10</v>
      </c>
      <c r="AY117" s="1281"/>
      <c r="AZ117" s="1282">
        <v>40</v>
      </c>
      <c r="BA117" s="1281"/>
      <c r="BB117" s="1283">
        <v>750</v>
      </c>
      <c r="BC117" s="1281"/>
      <c r="BD117" s="1347"/>
      <c r="BE117" s="1281"/>
      <c r="BF117" s="206"/>
      <c r="BG117" s="206"/>
      <c r="BH117" s="206"/>
      <c r="BI117" s="206"/>
      <c r="BJ117" s="206"/>
      <c r="BK117" s="865"/>
      <c r="BL117" s="865"/>
      <c r="BM117" s="865"/>
      <c r="BN117" s="865"/>
      <c r="BO117" s="865"/>
      <c r="BP117" s="865"/>
      <c r="BQ117" s="865"/>
      <c r="BR117" s="865"/>
      <c r="BS117" s="865"/>
      <c r="BT117" s="865"/>
      <c r="BU117" s="865"/>
      <c r="BV117" s="865"/>
      <c r="BW117" s="865"/>
      <c r="BX117" s="865"/>
      <c r="BY117" s="865"/>
      <c r="BZ117" s="865"/>
      <c r="CA117" s="865"/>
      <c r="CB117" s="865"/>
    </row>
    <row r="118" spans="1:80" ht="14.25" thickTop="1" thickBot="1">
      <c r="A118" s="673">
        <v>98</v>
      </c>
      <c r="B118" s="674">
        <v>5</v>
      </c>
      <c r="C118" s="1154" t="s">
        <v>1254</v>
      </c>
      <c r="D118" s="1149">
        <v>1.4E-2</v>
      </c>
      <c r="E118" s="1054">
        <v>0.1135</v>
      </c>
      <c r="F118" s="661">
        <v>0.1095</v>
      </c>
      <c r="G118" s="1001">
        <f t="shared" si="14"/>
        <v>1.4E-2</v>
      </c>
      <c r="H118" s="922">
        <v>0.1105</v>
      </c>
      <c r="I118" s="661">
        <v>0.1065</v>
      </c>
      <c r="J118" s="1002">
        <f t="shared" si="15"/>
        <v>1.4E-2</v>
      </c>
      <c r="K118" s="923">
        <v>8.7800000000000003E-2</v>
      </c>
      <c r="L118" s="661">
        <v>8.3799999999999999E-2</v>
      </c>
      <c r="M118" s="1003"/>
      <c r="N118" s="923"/>
      <c r="O118" s="666"/>
      <c r="P118" s="468"/>
      <c r="Q118" s="1006"/>
      <c r="R118" s="468"/>
      <c r="S118" s="1004">
        <f t="shared" si="13"/>
        <v>1.4E-2</v>
      </c>
      <c r="T118" s="924">
        <v>7.9699999999999993E-2</v>
      </c>
      <c r="U118" s="924">
        <v>7.5700000000000003E-2</v>
      </c>
      <c r="V118" s="468"/>
      <c r="W118" s="491"/>
      <c r="X118" s="505"/>
      <c r="Y118" s="468"/>
      <c r="Z118" s="907">
        <v>100</v>
      </c>
      <c r="AA118" s="499">
        <v>10000</v>
      </c>
      <c r="AB118" s="500">
        <v>0.2</v>
      </c>
      <c r="AC118" s="496"/>
      <c r="AD118" s="497"/>
      <c r="AE118" s="496"/>
      <c r="AF118" s="497"/>
      <c r="AG118" s="496"/>
      <c r="AH118" s="497"/>
      <c r="AI118" s="496"/>
      <c r="AJ118" s="497"/>
      <c r="AK118" s="206"/>
      <c r="AL118" s="642">
        <v>100</v>
      </c>
      <c r="AM118" s="642">
        <v>100</v>
      </c>
      <c r="AN118" s="206"/>
      <c r="AO118" s="499">
        <v>750</v>
      </c>
      <c r="AP118" s="499">
        <v>4</v>
      </c>
      <c r="AQ118" s="642"/>
      <c r="AR118" s="206"/>
      <c r="AS118" s="499">
        <v>10000</v>
      </c>
      <c r="AT118" s="499">
        <v>100</v>
      </c>
      <c r="AU118" s="499">
        <v>10</v>
      </c>
      <c r="AV118" s="499">
        <v>10000</v>
      </c>
      <c r="AW118" s="206"/>
      <c r="AX118" s="1280">
        <v>10</v>
      </c>
      <c r="AY118" s="1281"/>
      <c r="AZ118" s="1282">
        <v>40</v>
      </c>
      <c r="BA118" s="1281"/>
      <c r="BB118" s="1283">
        <v>750</v>
      </c>
      <c r="BC118" s="1281"/>
      <c r="BD118" s="1347"/>
      <c r="BE118" s="1281"/>
      <c r="BF118" s="206"/>
      <c r="BG118" s="206"/>
      <c r="BH118" s="206"/>
      <c r="BI118" s="206"/>
      <c r="BJ118" s="206"/>
      <c r="BK118" s="865"/>
      <c r="BL118" s="865"/>
      <c r="BM118" s="865"/>
      <c r="BN118" s="865"/>
      <c r="BO118" s="865"/>
      <c r="BP118" s="865"/>
      <c r="BQ118" s="865"/>
      <c r="BR118" s="865"/>
      <c r="BS118" s="865"/>
      <c r="BT118" s="865"/>
      <c r="BU118" s="865"/>
      <c r="BV118" s="865"/>
      <c r="BW118" s="865"/>
      <c r="BX118" s="865"/>
      <c r="BY118" s="865"/>
      <c r="BZ118" s="865"/>
      <c r="CA118" s="865"/>
      <c r="CB118" s="865"/>
    </row>
    <row r="119" spans="1:80" ht="14.25" thickTop="1" thickBot="1">
      <c r="A119" s="673">
        <v>99</v>
      </c>
      <c r="B119" s="674">
        <v>6</v>
      </c>
      <c r="C119" s="1154" t="s">
        <v>1255</v>
      </c>
      <c r="D119" s="1149">
        <v>1.4E-2</v>
      </c>
      <c r="E119" s="1054">
        <v>0.1119</v>
      </c>
      <c r="F119" s="661">
        <v>0.1079</v>
      </c>
      <c r="G119" s="1001">
        <f t="shared" si="14"/>
        <v>1.4E-2</v>
      </c>
      <c r="H119" s="922">
        <v>0.109</v>
      </c>
      <c r="I119" s="661">
        <v>0.105</v>
      </c>
      <c r="J119" s="1002">
        <f t="shared" si="15"/>
        <v>1.4E-2</v>
      </c>
      <c r="K119" s="923">
        <v>8.6499999999999994E-2</v>
      </c>
      <c r="L119" s="661">
        <v>8.2500000000000004E-2</v>
      </c>
      <c r="M119" s="1003"/>
      <c r="N119" s="923"/>
      <c r="O119" s="666"/>
      <c r="P119" s="468"/>
      <c r="Q119" s="1006"/>
      <c r="R119" s="468"/>
      <c r="S119" s="1004">
        <f t="shared" si="13"/>
        <v>1.4E-2</v>
      </c>
      <c r="T119" s="924">
        <v>7.85E-2</v>
      </c>
      <c r="U119" s="924">
        <v>7.4499999999999997E-2</v>
      </c>
      <c r="V119" s="468"/>
      <c r="W119" s="491"/>
      <c r="X119" s="505"/>
      <c r="Y119" s="468"/>
      <c r="Z119" s="907">
        <v>100</v>
      </c>
      <c r="AA119" s="499">
        <v>10000</v>
      </c>
      <c r="AB119" s="500">
        <v>0.2</v>
      </c>
      <c r="AC119" s="496"/>
      <c r="AD119" s="497"/>
      <c r="AE119" s="496"/>
      <c r="AF119" s="497"/>
      <c r="AG119" s="496"/>
      <c r="AH119" s="497"/>
      <c r="AI119" s="496"/>
      <c r="AJ119" s="497"/>
      <c r="AK119" s="206"/>
      <c r="AL119" s="642">
        <v>100</v>
      </c>
      <c r="AM119" s="642">
        <v>100</v>
      </c>
      <c r="AN119" s="206"/>
      <c r="AO119" s="499">
        <v>750</v>
      </c>
      <c r="AP119" s="499">
        <v>4</v>
      </c>
      <c r="AQ119" s="642"/>
      <c r="AR119" s="206"/>
      <c r="AS119" s="499">
        <v>10000</v>
      </c>
      <c r="AT119" s="499">
        <v>100</v>
      </c>
      <c r="AU119" s="499">
        <v>10</v>
      </c>
      <c r="AV119" s="499">
        <v>10000</v>
      </c>
      <c r="AW119" s="206"/>
      <c r="AX119" s="1280">
        <v>10</v>
      </c>
      <c r="AY119" s="1281"/>
      <c r="AZ119" s="1282">
        <v>40</v>
      </c>
      <c r="BA119" s="1281"/>
      <c r="BB119" s="1283">
        <v>750</v>
      </c>
      <c r="BC119" s="1281"/>
      <c r="BD119" s="1347"/>
      <c r="BE119" s="1281"/>
      <c r="BF119" s="206"/>
      <c r="BG119" s="206"/>
      <c r="BH119" s="206"/>
      <c r="BI119" s="206"/>
      <c r="BJ119" s="206"/>
      <c r="BK119" s="865"/>
      <c r="BL119" s="865"/>
      <c r="BM119" s="865"/>
      <c r="BN119" s="865"/>
      <c r="BO119" s="865"/>
      <c r="BP119" s="865"/>
      <c r="BQ119" s="865"/>
      <c r="BR119" s="865"/>
      <c r="BS119" s="865"/>
      <c r="BT119" s="865"/>
      <c r="BU119" s="865"/>
      <c r="BV119" s="865"/>
      <c r="BW119" s="865"/>
      <c r="BX119" s="865"/>
      <c r="BY119" s="865"/>
      <c r="BZ119" s="865"/>
      <c r="CA119" s="865"/>
      <c r="CB119" s="865"/>
    </row>
    <row r="120" spans="1:80" ht="14.25" thickTop="1" thickBot="1">
      <c r="A120" s="673">
        <v>100</v>
      </c>
      <c r="B120" s="674">
        <v>7</v>
      </c>
      <c r="C120" s="1154" t="s">
        <v>1256</v>
      </c>
      <c r="D120" s="1149">
        <v>1.4E-2</v>
      </c>
      <c r="E120" s="1054">
        <v>0.1104</v>
      </c>
      <c r="F120" s="661">
        <v>0.10639999999999999</v>
      </c>
      <c r="G120" s="1001">
        <f t="shared" si="14"/>
        <v>1.4E-2</v>
      </c>
      <c r="H120" s="922">
        <v>0.1074</v>
      </c>
      <c r="I120" s="661">
        <v>0.1043</v>
      </c>
      <c r="J120" s="1002">
        <f t="shared" si="15"/>
        <v>1.4E-2</v>
      </c>
      <c r="K120" s="923">
        <v>8.5300000000000001E-2</v>
      </c>
      <c r="L120" s="661">
        <v>8.1299999999999997E-2</v>
      </c>
      <c r="M120" s="1003"/>
      <c r="N120" s="923"/>
      <c r="O120" s="666"/>
      <c r="P120" s="468"/>
      <c r="Q120" s="1006"/>
      <c r="R120" s="468"/>
      <c r="S120" s="1004">
        <f t="shared" si="13"/>
        <v>1.4E-2</v>
      </c>
      <c r="T120" s="924">
        <v>7.7399999999999997E-2</v>
      </c>
      <c r="U120" s="924">
        <v>7.3400000000000007E-2</v>
      </c>
      <c r="V120" s="468"/>
      <c r="W120" s="491"/>
      <c r="X120" s="505"/>
      <c r="Y120" s="468"/>
      <c r="Z120" s="907">
        <v>100</v>
      </c>
      <c r="AA120" s="499">
        <v>10000</v>
      </c>
      <c r="AB120" s="500">
        <v>0.2</v>
      </c>
      <c r="AC120" s="496"/>
      <c r="AD120" s="497"/>
      <c r="AE120" s="496"/>
      <c r="AF120" s="497"/>
      <c r="AG120" s="496"/>
      <c r="AH120" s="497"/>
      <c r="AI120" s="496"/>
      <c r="AJ120" s="497"/>
      <c r="AK120" s="206"/>
      <c r="AL120" s="642">
        <v>100</v>
      </c>
      <c r="AM120" s="642">
        <v>100</v>
      </c>
      <c r="AN120" s="206"/>
      <c r="AO120" s="499">
        <v>750</v>
      </c>
      <c r="AP120" s="499">
        <v>4</v>
      </c>
      <c r="AQ120" s="642"/>
      <c r="AR120" s="206"/>
      <c r="AS120" s="499">
        <v>10000</v>
      </c>
      <c r="AT120" s="499">
        <v>100</v>
      </c>
      <c r="AU120" s="499">
        <v>10</v>
      </c>
      <c r="AV120" s="499">
        <v>10000</v>
      </c>
      <c r="AW120" s="206"/>
      <c r="AX120" s="1280">
        <v>10</v>
      </c>
      <c r="AY120" s="1281"/>
      <c r="AZ120" s="1282">
        <v>40</v>
      </c>
      <c r="BA120" s="1281"/>
      <c r="BB120" s="1283">
        <v>750</v>
      </c>
      <c r="BC120" s="1281"/>
      <c r="BD120" s="1347"/>
      <c r="BE120" s="1281"/>
      <c r="BF120" s="206"/>
      <c r="BG120" s="206"/>
      <c r="BH120" s="206"/>
      <c r="BI120" s="206"/>
      <c r="BJ120" s="206"/>
      <c r="BK120" s="865"/>
      <c r="BL120" s="865"/>
      <c r="BM120" s="865"/>
      <c r="BN120" s="865"/>
      <c r="BO120" s="865"/>
      <c r="BP120" s="865"/>
      <c r="BQ120" s="865"/>
      <c r="BR120" s="865"/>
      <c r="BS120" s="865"/>
      <c r="BT120" s="865"/>
      <c r="BU120" s="865"/>
      <c r="BV120" s="865"/>
      <c r="BW120" s="865"/>
      <c r="BX120" s="865"/>
      <c r="BY120" s="865"/>
      <c r="BZ120" s="865"/>
      <c r="CA120" s="865"/>
      <c r="CB120" s="865"/>
    </row>
    <row r="121" spans="1:80" ht="14.25" thickTop="1" thickBot="1">
      <c r="A121" s="673">
        <v>101</v>
      </c>
      <c r="B121" s="674">
        <v>8</v>
      </c>
      <c r="C121" s="1154" t="s">
        <v>1262</v>
      </c>
      <c r="D121" s="1149">
        <v>1.4E-2</v>
      </c>
      <c r="E121" s="1054">
        <v>0.10879999999999999</v>
      </c>
      <c r="F121" s="661">
        <v>0.1048</v>
      </c>
      <c r="G121" s="1001">
        <f t="shared" si="14"/>
        <v>1.4E-2</v>
      </c>
      <c r="H121" s="922">
        <v>0.10589999999999999</v>
      </c>
      <c r="I121" s="661">
        <v>0.1019</v>
      </c>
      <c r="J121" s="1002">
        <f t="shared" si="15"/>
        <v>1.4E-2</v>
      </c>
      <c r="K121" s="923">
        <v>8.4099999999999994E-2</v>
      </c>
      <c r="L121" s="661">
        <v>8.0100000000000005E-2</v>
      </c>
      <c r="M121" s="1003"/>
      <c r="N121" s="923"/>
      <c r="O121" s="666"/>
      <c r="P121" s="468"/>
      <c r="Q121" s="1006"/>
      <c r="R121" s="468"/>
      <c r="S121" s="1004">
        <f t="shared" si="13"/>
        <v>1.4E-2</v>
      </c>
      <c r="T121" s="924">
        <v>7.6399999999999996E-2</v>
      </c>
      <c r="U121" s="924">
        <v>7.2400000000000006E-2</v>
      </c>
      <c r="V121" s="468"/>
      <c r="W121" s="491"/>
      <c r="X121" s="505"/>
      <c r="Y121" s="468"/>
      <c r="Z121" s="907">
        <v>100</v>
      </c>
      <c r="AA121" s="499">
        <v>10000</v>
      </c>
      <c r="AB121" s="500">
        <v>0.2</v>
      </c>
      <c r="AC121" s="496"/>
      <c r="AD121" s="497"/>
      <c r="AE121" s="496"/>
      <c r="AF121" s="497"/>
      <c r="AG121" s="496"/>
      <c r="AH121" s="497"/>
      <c r="AI121" s="496"/>
      <c r="AJ121" s="497"/>
      <c r="AK121" s="206"/>
      <c r="AL121" s="642">
        <v>100</v>
      </c>
      <c r="AM121" s="642">
        <v>100</v>
      </c>
      <c r="AN121" s="206"/>
      <c r="AO121" s="499">
        <v>750</v>
      </c>
      <c r="AP121" s="499">
        <v>4</v>
      </c>
      <c r="AQ121" s="642"/>
      <c r="AR121" s="206"/>
      <c r="AS121" s="499">
        <v>10000</v>
      </c>
      <c r="AT121" s="499">
        <v>100</v>
      </c>
      <c r="AU121" s="499">
        <v>10</v>
      </c>
      <c r="AV121" s="499">
        <v>10000</v>
      </c>
      <c r="AW121" s="206"/>
      <c r="AX121" s="1280">
        <v>10</v>
      </c>
      <c r="AY121" s="1281"/>
      <c r="AZ121" s="1282">
        <v>40</v>
      </c>
      <c r="BA121" s="1281"/>
      <c r="BB121" s="1283">
        <v>750</v>
      </c>
      <c r="BC121" s="1281"/>
      <c r="BD121" s="1347"/>
      <c r="BE121" s="1281"/>
      <c r="BF121" s="206"/>
      <c r="BG121" s="206"/>
      <c r="BH121" s="206"/>
      <c r="BI121" s="206"/>
      <c r="BJ121" s="206"/>
      <c r="BK121" s="865"/>
      <c r="BL121" s="865"/>
      <c r="BM121" s="865"/>
      <c r="BN121" s="865"/>
      <c r="BO121" s="865"/>
      <c r="BP121" s="865"/>
      <c r="BQ121" s="865"/>
      <c r="BR121" s="865"/>
      <c r="BS121" s="865"/>
      <c r="BT121" s="865"/>
      <c r="BU121" s="865"/>
      <c r="BV121" s="865"/>
      <c r="BW121" s="865"/>
      <c r="BX121" s="865"/>
      <c r="BY121" s="865"/>
      <c r="BZ121" s="865"/>
      <c r="CA121" s="865"/>
      <c r="CB121" s="865"/>
    </row>
    <row r="122" spans="1:80" ht="14.25" thickTop="1" thickBot="1">
      <c r="A122" s="673">
        <v>102</v>
      </c>
      <c r="B122" s="674">
        <v>9</v>
      </c>
      <c r="C122" s="1154" t="s">
        <v>1263</v>
      </c>
      <c r="D122" s="1149">
        <v>1.4E-2</v>
      </c>
      <c r="E122" s="1054">
        <v>0.10730000000000001</v>
      </c>
      <c r="F122" s="661">
        <v>0.1033</v>
      </c>
      <c r="G122" s="1001">
        <f t="shared" si="14"/>
        <v>1.4E-2</v>
      </c>
      <c r="H122" s="922">
        <v>0.10440000000000001</v>
      </c>
      <c r="I122" s="661">
        <v>0.1004</v>
      </c>
      <c r="J122" s="1002">
        <f t="shared" si="15"/>
        <v>1.4E-2</v>
      </c>
      <c r="K122" s="923">
        <v>8.2900000000000001E-2</v>
      </c>
      <c r="L122" s="661">
        <v>7.8899999999999998E-2</v>
      </c>
      <c r="M122" s="1003"/>
      <c r="N122" s="923"/>
      <c r="O122" s="666"/>
      <c r="P122" s="468"/>
      <c r="Q122" s="1006"/>
      <c r="R122" s="468"/>
      <c r="S122" s="1004">
        <f t="shared" si="13"/>
        <v>1.4E-2</v>
      </c>
      <c r="T122" s="924">
        <v>7.5300000000000006E-2</v>
      </c>
      <c r="U122" s="924">
        <v>7.1300000000000002E-2</v>
      </c>
      <c r="V122" s="468"/>
      <c r="W122" s="491"/>
      <c r="X122" s="505"/>
      <c r="Y122" s="468"/>
      <c r="Z122" s="907">
        <v>100</v>
      </c>
      <c r="AA122" s="499">
        <v>10000</v>
      </c>
      <c r="AB122" s="500">
        <v>0.2</v>
      </c>
      <c r="AC122" s="496"/>
      <c r="AD122" s="497"/>
      <c r="AE122" s="496"/>
      <c r="AF122" s="497"/>
      <c r="AG122" s="496"/>
      <c r="AH122" s="497"/>
      <c r="AI122" s="496"/>
      <c r="AJ122" s="497"/>
      <c r="AK122" s="206"/>
      <c r="AL122" s="642">
        <v>100</v>
      </c>
      <c r="AM122" s="642">
        <v>100</v>
      </c>
      <c r="AN122" s="206"/>
      <c r="AO122" s="499">
        <v>750</v>
      </c>
      <c r="AP122" s="499">
        <v>4</v>
      </c>
      <c r="AQ122" s="642"/>
      <c r="AR122" s="206"/>
      <c r="AS122" s="499">
        <v>10000</v>
      </c>
      <c r="AT122" s="499">
        <v>100</v>
      </c>
      <c r="AU122" s="499">
        <v>10</v>
      </c>
      <c r="AV122" s="499">
        <v>10000</v>
      </c>
      <c r="AW122" s="206"/>
      <c r="AX122" s="1280">
        <v>10</v>
      </c>
      <c r="AY122" s="1281"/>
      <c r="AZ122" s="1282">
        <v>40</v>
      </c>
      <c r="BA122" s="1281"/>
      <c r="BB122" s="1283">
        <v>750</v>
      </c>
      <c r="BC122" s="1281"/>
      <c r="BD122" s="1347"/>
      <c r="BE122" s="1281"/>
      <c r="BF122" s="206"/>
      <c r="BG122" s="206"/>
      <c r="BH122" s="206"/>
      <c r="BI122" s="206"/>
      <c r="BJ122" s="206"/>
      <c r="BK122" s="865"/>
      <c r="BL122" s="865"/>
      <c r="BM122" s="865"/>
      <c r="BN122" s="865"/>
      <c r="BO122" s="865"/>
      <c r="BP122" s="865"/>
      <c r="BQ122" s="865"/>
      <c r="BR122" s="865"/>
      <c r="BS122" s="865"/>
      <c r="BT122" s="865"/>
      <c r="BU122" s="865"/>
      <c r="BV122" s="865"/>
      <c r="BW122" s="865"/>
      <c r="BX122" s="865"/>
      <c r="BY122" s="865"/>
      <c r="BZ122" s="865"/>
      <c r="CA122" s="865"/>
      <c r="CB122" s="865"/>
    </row>
    <row r="123" spans="1:80" ht="14.25" thickTop="1" thickBot="1">
      <c r="A123" s="673">
        <v>103</v>
      </c>
      <c r="B123" s="674">
        <v>10</v>
      </c>
      <c r="C123" s="1154" t="s">
        <v>1264</v>
      </c>
      <c r="D123" s="1149">
        <v>1.4E-2</v>
      </c>
      <c r="E123" s="1054">
        <v>0.10580000000000001</v>
      </c>
      <c r="F123" s="661">
        <v>0.1018</v>
      </c>
      <c r="G123" s="1001">
        <f t="shared" si="14"/>
        <v>1.4E-2</v>
      </c>
      <c r="H123" s="922">
        <v>0.10299999999999999</v>
      </c>
      <c r="I123" s="661">
        <v>9.9000000000000005E-2</v>
      </c>
      <c r="J123" s="1002">
        <f t="shared" si="15"/>
        <v>1.4E-2</v>
      </c>
      <c r="K123" s="923">
        <v>8.1799999999999998E-2</v>
      </c>
      <c r="L123" s="661">
        <v>7.7799999999999994E-2</v>
      </c>
      <c r="M123" s="1003"/>
      <c r="N123" s="923"/>
      <c r="O123" s="666"/>
      <c r="P123" s="468"/>
      <c r="Q123" s="1006"/>
      <c r="R123" s="468"/>
      <c r="S123" s="1004">
        <f t="shared" si="13"/>
        <v>1.4E-2</v>
      </c>
      <c r="T123" s="924">
        <v>7.4200000000000002E-2</v>
      </c>
      <c r="U123" s="924">
        <v>7.0199999999999999E-2</v>
      </c>
      <c r="V123" s="468"/>
      <c r="W123" s="491"/>
      <c r="X123" s="505"/>
      <c r="Y123" s="468"/>
      <c r="Z123" s="907">
        <v>100</v>
      </c>
      <c r="AA123" s="499">
        <v>10000</v>
      </c>
      <c r="AB123" s="500">
        <v>0.2</v>
      </c>
      <c r="AC123" s="496"/>
      <c r="AD123" s="497"/>
      <c r="AE123" s="496"/>
      <c r="AF123" s="497"/>
      <c r="AG123" s="496"/>
      <c r="AH123" s="497"/>
      <c r="AI123" s="496"/>
      <c r="AJ123" s="497"/>
      <c r="AK123" s="206"/>
      <c r="AL123" s="642">
        <v>100</v>
      </c>
      <c r="AM123" s="642">
        <v>100</v>
      </c>
      <c r="AN123" s="206"/>
      <c r="AO123" s="499">
        <v>750</v>
      </c>
      <c r="AP123" s="499">
        <v>4</v>
      </c>
      <c r="AQ123" s="642"/>
      <c r="AR123" s="206"/>
      <c r="AS123" s="499">
        <v>10000</v>
      </c>
      <c r="AT123" s="499">
        <v>100</v>
      </c>
      <c r="AU123" s="499">
        <v>10</v>
      </c>
      <c r="AV123" s="499">
        <v>10000</v>
      </c>
      <c r="AW123" s="206"/>
      <c r="AX123" s="1280">
        <v>10</v>
      </c>
      <c r="AY123" s="1281"/>
      <c r="AZ123" s="1282">
        <v>40</v>
      </c>
      <c r="BA123" s="1281"/>
      <c r="BB123" s="1283">
        <v>750</v>
      </c>
      <c r="BC123" s="1281"/>
      <c r="BD123" s="1347"/>
      <c r="BE123" s="1281"/>
      <c r="BF123" s="206"/>
      <c r="BG123" s="206"/>
      <c r="BH123" s="206"/>
      <c r="BI123" s="206"/>
      <c r="BJ123" s="206"/>
      <c r="BK123" s="865"/>
      <c r="BL123" s="865"/>
      <c r="BM123" s="865"/>
      <c r="BN123" s="865"/>
      <c r="BO123" s="865"/>
      <c r="BP123" s="865"/>
      <c r="BQ123" s="865"/>
      <c r="BR123" s="865"/>
      <c r="BS123" s="865"/>
      <c r="BT123" s="865"/>
      <c r="BU123" s="865"/>
      <c r="BV123" s="865"/>
      <c r="BW123" s="865"/>
      <c r="BX123" s="865"/>
      <c r="BY123" s="865"/>
      <c r="BZ123" s="865"/>
      <c r="CA123" s="865"/>
      <c r="CB123" s="865"/>
    </row>
    <row r="124" spans="1:80" ht="14.25" thickTop="1" thickBot="1">
      <c r="A124" s="673">
        <v>104</v>
      </c>
      <c r="B124" s="674">
        <v>11</v>
      </c>
      <c r="C124" s="1154" t="s">
        <v>1265</v>
      </c>
      <c r="D124" s="1149">
        <v>0.01</v>
      </c>
      <c r="E124" s="1054">
        <v>0.1048</v>
      </c>
      <c r="F124" s="661">
        <v>0.1008</v>
      </c>
      <c r="G124" s="1001">
        <f t="shared" si="14"/>
        <v>0.01</v>
      </c>
      <c r="H124" s="922">
        <v>0.1019</v>
      </c>
      <c r="I124" s="661">
        <v>9.7900000000000001E-2</v>
      </c>
      <c r="J124" s="1002">
        <f t="shared" si="15"/>
        <v>0.01</v>
      </c>
      <c r="K124" s="923">
        <v>8.1000000000000003E-2</v>
      </c>
      <c r="L124" s="661">
        <v>7.6999999999999999E-2</v>
      </c>
      <c r="M124" s="1003"/>
      <c r="N124" s="923"/>
      <c r="O124" s="666"/>
      <c r="P124" s="468"/>
      <c r="Q124" s="1006"/>
      <c r="R124" s="468"/>
      <c r="S124" s="1004">
        <f t="shared" si="13"/>
        <v>0.01</v>
      </c>
      <c r="T124" s="923">
        <v>7.3499999999999996E-2</v>
      </c>
      <c r="U124" s="924">
        <v>6.9500000000000006E-2</v>
      </c>
      <c r="V124" s="468"/>
      <c r="W124" s="491"/>
      <c r="X124" s="505"/>
      <c r="Y124" s="468"/>
      <c r="Z124" s="907">
        <v>100</v>
      </c>
      <c r="AA124" s="499">
        <v>10000</v>
      </c>
      <c r="AB124" s="500">
        <v>0.2</v>
      </c>
      <c r="AC124" s="496"/>
      <c r="AD124" s="497"/>
      <c r="AE124" s="496"/>
      <c r="AF124" s="497"/>
      <c r="AG124" s="496"/>
      <c r="AH124" s="497"/>
      <c r="AI124" s="496"/>
      <c r="AJ124" s="497"/>
      <c r="AK124" s="206"/>
      <c r="AL124" s="642">
        <v>100</v>
      </c>
      <c r="AM124" s="642">
        <v>100</v>
      </c>
      <c r="AN124" s="206"/>
      <c r="AO124" s="499">
        <v>750</v>
      </c>
      <c r="AP124" s="499">
        <v>4</v>
      </c>
      <c r="AQ124" s="642"/>
      <c r="AR124" s="206"/>
      <c r="AS124" s="499">
        <v>10000</v>
      </c>
      <c r="AT124" s="499">
        <v>100</v>
      </c>
      <c r="AU124" s="499">
        <v>10</v>
      </c>
      <c r="AV124" s="499">
        <v>10000</v>
      </c>
      <c r="AW124" s="206"/>
      <c r="AX124" s="1280">
        <v>10</v>
      </c>
      <c r="AY124" s="1281"/>
      <c r="AZ124" s="1282">
        <v>40</v>
      </c>
      <c r="BA124" s="1281"/>
      <c r="BB124" s="1283">
        <v>750</v>
      </c>
      <c r="BC124" s="1281"/>
      <c r="BD124" s="1347"/>
      <c r="BE124" s="1281"/>
      <c r="BF124" s="206"/>
      <c r="BG124" s="206"/>
      <c r="BH124" s="206"/>
      <c r="BI124" s="206"/>
      <c r="BJ124" s="206"/>
      <c r="BK124" s="865"/>
      <c r="BL124" s="865"/>
      <c r="BM124" s="865"/>
      <c r="BN124" s="865"/>
      <c r="BO124" s="865"/>
      <c r="BP124" s="865"/>
      <c r="BQ124" s="865"/>
      <c r="BR124" s="865"/>
      <c r="BS124" s="865"/>
      <c r="BT124" s="865"/>
      <c r="BU124" s="865"/>
      <c r="BV124" s="865"/>
      <c r="BW124" s="865"/>
      <c r="BX124" s="865"/>
      <c r="BY124" s="865"/>
      <c r="BZ124" s="865"/>
      <c r="CA124" s="865"/>
      <c r="CB124" s="865"/>
    </row>
    <row r="125" spans="1:80" ht="14.25" thickTop="1" thickBot="1">
      <c r="A125" s="673">
        <v>105</v>
      </c>
      <c r="B125" s="674">
        <v>12</v>
      </c>
      <c r="C125" s="1154" t="s">
        <v>1266</v>
      </c>
      <c r="D125" s="1149">
        <v>0.01</v>
      </c>
      <c r="E125" s="1054">
        <v>0.1037</v>
      </c>
      <c r="F125" s="661">
        <v>9.9699999999999997E-2</v>
      </c>
      <c r="G125" s="1001">
        <f t="shared" si="14"/>
        <v>0.01</v>
      </c>
      <c r="H125" s="922">
        <v>0.1009</v>
      </c>
      <c r="I125" s="661">
        <v>9.69E-2</v>
      </c>
      <c r="J125" s="1002">
        <f t="shared" si="15"/>
        <v>0.01</v>
      </c>
      <c r="K125" s="923">
        <v>8.0199999999999994E-2</v>
      </c>
      <c r="L125" s="661">
        <v>7.6200000000000004E-2</v>
      </c>
      <c r="M125" s="1003"/>
      <c r="N125" s="923"/>
      <c r="O125" s="666"/>
      <c r="P125" s="468"/>
      <c r="Q125" s="1006"/>
      <c r="R125" s="468"/>
      <c r="S125" s="1004">
        <f t="shared" si="13"/>
        <v>0.01</v>
      </c>
      <c r="T125" s="923">
        <v>7.2800000000000004E-2</v>
      </c>
      <c r="U125" s="924">
        <v>6.88E-2</v>
      </c>
      <c r="V125" s="468"/>
      <c r="W125" s="491"/>
      <c r="X125" s="505"/>
      <c r="Y125" s="468"/>
      <c r="Z125" s="907">
        <v>100</v>
      </c>
      <c r="AA125" s="499">
        <v>10000</v>
      </c>
      <c r="AB125" s="500">
        <v>0.2</v>
      </c>
      <c r="AC125" s="496"/>
      <c r="AD125" s="497"/>
      <c r="AE125" s="496"/>
      <c r="AF125" s="497"/>
      <c r="AG125" s="496"/>
      <c r="AH125" s="497"/>
      <c r="AI125" s="496"/>
      <c r="AJ125" s="497"/>
      <c r="AK125" s="206"/>
      <c r="AL125" s="642">
        <v>100</v>
      </c>
      <c r="AM125" s="642">
        <v>100</v>
      </c>
      <c r="AN125" s="206"/>
      <c r="AO125" s="499">
        <v>750</v>
      </c>
      <c r="AP125" s="499">
        <v>4</v>
      </c>
      <c r="AQ125" s="642"/>
      <c r="AR125" s="206"/>
      <c r="AS125" s="499">
        <v>10000</v>
      </c>
      <c r="AT125" s="499">
        <v>100</v>
      </c>
      <c r="AU125" s="499">
        <v>10</v>
      </c>
      <c r="AV125" s="499">
        <v>10000</v>
      </c>
      <c r="AW125" s="206"/>
      <c r="AX125" s="1280">
        <v>10</v>
      </c>
      <c r="AY125" s="1281"/>
      <c r="AZ125" s="1282">
        <v>40</v>
      </c>
      <c r="BA125" s="1281"/>
      <c r="BB125" s="1283">
        <v>750</v>
      </c>
      <c r="BC125" s="1281"/>
      <c r="BD125" s="1347"/>
      <c r="BE125" s="1281"/>
      <c r="BF125" s="206"/>
      <c r="BG125" s="206"/>
      <c r="BH125" s="206"/>
      <c r="BI125" s="206"/>
      <c r="BJ125" s="206"/>
      <c r="BK125" s="865"/>
      <c r="BL125" s="865"/>
      <c r="BM125" s="865"/>
      <c r="BN125" s="865"/>
      <c r="BO125" s="865"/>
      <c r="BP125" s="865"/>
      <c r="BQ125" s="865"/>
      <c r="BR125" s="865"/>
      <c r="BS125" s="865"/>
      <c r="BT125" s="865"/>
      <c r="BU125" s="865"/>
      <c r="BV125" s="865"/>
      <c r="BW125" s="865"/>
      <c r="BX125" s="865"/>
      <c r="BY125" s="865"/>
      <c r="BZ125" s="865"/>
      <c r="CA125" s="865"/>
      <c r="CB125" s="865"/>
    </row>
    <row r="126" spans="1:80" ht="14.25" thickTop="1" thickBot="1">
      <c r="A126" s="673">
        <v>106</v>
      </c>
      <c r="B126" s="674">
        <v>1</v>
      </c>
      <c r="C126" s="1154" t="s">
        <v>1267</v>
      </c>
      <c r="D126" s="1149">
        <v>0.01</v>
      </c>
      <c r="E126" s="1054">
        <v>0.1027</v>
      </c>
      <c r="F126" s="661">
        <v>9.8699999999999996E-2</v>
      </c>
      <c r="G126" s="1001">
        <f t="shared" si="14"/>
        <v>0.01</v>
      </c>
      <c r="H126" s="922">
        <v>9.9900000000000003E-2</v>
      </c>
      <c r="I126" s="661">
        <v>9.5899999999999999E-2</v>
      </c>
      <c r="J126" s="1002">
        <f t="shared" si="15"/>
        <v>0.01</v>
      </c>
      <c r="K126" s="923">
        <v>7.9399999999999998E-2</v>
      </c>
      <c r="L126" s="661">
        <v>7.5399999999999995E-2</v>
      </c>
      <c r="M126" s="1003"/>
      <c r="N126" s="923"/>
      <c r="O126" s="666"/>
      <c r="P126" s="468"/>
      <c r="Q126" s="1006"/>
      <c r="R126" s="468"/>
      <c r="S126" s="1004">
        <f t="shared" si="13"/>
        <v>0.01</v>
      </c>
      <c r="T126" s="923">
        <v>7.1999999999999995E-2</v>
      </c>
      <c r="U126" s="924">
        <v>6.8000000000000005E-2</v>
      </c>
      <c r="V126" s="468"/>
      <c r="W126" s="491"/>
      <c r="X126" s="505"/>
      <c r="Y126" s="468"/>
      <c r="Z126" s="907">
        <v>100</v>
      </c>
      <c r="AA126" s="499">
        <v>10000</v>
      </c>
      <c r="AB126" s="500">
        <v>0.2</v>
      </c>
      <c r="AC126" s="496"/>
      <c r="AD126" s="497"/>
      <c r="AE126" s="496"/>
      <c r="AF126" s="497"/>
      <c r="AG126" s="496"/>
      <c r="AH126" s="497"/>
      <c r="AI126" s="496"/>
      <c r="AJ126" s="497"/>
      <c r="AK126" s="206"/>
      <c r="AL126" s="642">
        <v>100</v>
      </c>
      <c r="AM126" s="642">
        <v>100</v>
      </c>
      <c r="AN126" s="206"/>
      <c r="AO126" s="499">
        <v>750</v>
      </c>
      <c r="AP126" s="499">
        <v>4</v>
      </c>
      <c r="AQ126" s="642"/>
      <c r="AR126" s="206"/>
      <c r="AS126" s="499">
        <v>10000</v>
      </c>
      <c r="AT126" s="499">
        <v>100</v>
      </c>
      <c r="AU126" s="499">
        <v>10</v>
      </c>
      <c r="AV126" s="499">
        <v>10000</v>
      </c>
      <c r="AW126" s="206"/>
      <c r="AX126" s="1280">
        <v>10</v>
      </c>
      <c r="AY126" s="1281"/>
      <c r="AZ126" s="1282">
        <v>40</v>
      </c>
      <c r="BA126" s="1281"/>
      <c r="BB126" s="1283">
        <v>750</v>
      </c>
      <c r="BC126" s="1281"/>
      <c r="BD126" s="1347"/>
      <c r="BE126" s="1281"/>
      <c r="BF126" s="206"/>
      <c r="BG126" s="206"/>
      <c r="BH126" s="206"/>
      <c r="BI126" s="206"/>
      <c r="BJ126" s="206"/>
      <c r="BK126" s="865"/>
      <c r="BL126" s="865"/>
      <c r="BM126" s="865"/>
      <c r="BN126" s="865"/>
      <c r="BO126" s="865"/>
      <c r="BP126" s="865"/>
      <c r="BQ126" s="865"/>
      <c r="BR126" s="865"/>
      <c r="BS126" s="865"/>
      <c r="BT126" s="865"/>
      <c r="BU126" s="865"/>
      <c r="BV126" s="865"/>
      <c r="BW126" s="865"/>
      <c r="BX126" s="865"/>
      <c r="BY126" s="865"/>
      <c r="BZ126" s="865"/>
      <c r="CA126" s="865"/>
      <c r="CB126" s="865"/>
    </row>
    <row r="127" spans="1:80" ht="14.25" thickTop="1" thickBot="1">
      <c r="A127" s="673">
        <v>107</v>
      </c>
      <c r="B127" s="674">
        <v>2</v>
      </c>
      <c r="C127" s="1154" t="s">
        <v>1268</v>
      </c>
      <c r="D127" s="1149">
        <v>1.4E-2</v>
      </c>
      <c r="E127" s="1054">
        <v>0.1012</v>
      </c>
      <c r="F127" s="661">
        <v>9.7199999999999995E-2</v>
      </c>
      <c r="G127" s="1001">
        <f t="shared" si="14"/>
        <v>1.4E-2</v>
      </c>
      <c r="H127" s="922">
        <v>9.8500000000000004E-2</v>
      </c>
      <c r="I127" s="661">
        <v>9.4500000000000001E-2</v>
      </c>
      <c r="J127" s="1002">
        <f t="shared" si="15"/>
        <v>1.4E-2</v>
      </c>
      <c r="K127" s="923">
        <v>7.8200000000000006E-2</v>
      </c>
      <c r="L127" s="661">
        <v>7.4200000000000002E-2</v>
      </c>
      <c r="M127" s="1003"/>
      <c r="N127" s="923"/>
      <c r="O127" s="666"/>
      <c r="P127" s="468"/>
      <c r="Q127" s="1006"/>
      <c r="R127" s="468"/>
      <c r="S127" s="1004">
        <f t="shared" si="13"/>
        <v>1.4E-2</v>
      </c>
      <c r="T127" s="923">
        <v>7.0999999999999994E-2</v>
      </c>
      <c r="U127" s="924">
        <v>6.7000000000000004E-2</v>
      </c>
      <c r="V127" s="468"/>
      <c r="W127" s="491"/>
      <c r="X127" s="505"/>
      <c r="Y127" s="468"/>
      <c r="Z127" s="907">
        <v>100</v>
      </c>
      <c r="AA127" s="499">
        <v>10000</v>
      </c>
      <c r="AB127" s="500">
        <v>0.2</v>
      </c>
      <c r="AC127" s="496"/>
      <c r="AD127" s="497"/>
      <c r="AE127" s="496"/>
      <c r="AF127" s="497"/>
      <c r="AG127" s="496"/>
      <c r="AH127" s="497"/>
      <c r="AI127" s="496"/>
      <c r="AJ127" s="497"/>
      <c r="AK127" s="206"/>
      <c r="AL127" s="642">
        <v>100</v>
      </c>
      <c r="AM127" s="642">
        <v>100</v>
      </c>
      <c r="AN127" s="206"/>
      <c r="AO127" s="499">
        <v>750</v>
      </c>
      <c r="AP127" s="499">
        <v>4</v>
      </c>
      <c r="AQ127" s="642"/>
      <c r="AR127" s="206"/>
      <c r="AS127" s="499">
        <v>10000</v>
      </c>
      <c r="AT127" s="499">
        <v>100</v>
      </c>
      <c r="AU127" s="499">
        <v>10</v>
      </c>
      <c r="AV127" s="499">
        <v>10000</v>
      </c>
      <c r="AW127" s="206"/>
      <c r="AX127" s="1280">
        <v>10</v>
      </c>
      <c r="AY127" s="1281"/>
      <c r="AZ127" s="1282">
        <v>40</v>
      </c>
      <c r="BA127" s="1281"/>
      <c r="BB127" s="1283">
        <v>750</v>
      </c>
      <c r="BC127" s="1281"/>
      <c r="BD127" s="1347"/>
      <c r="BE127" s="1281"/>
      <c r="BF127" s="206"/>
      <c r="BG127" s="206"/>
      <c r="BH127" s="206"/>
      <c r="BI127" s="206"/>
      <c r="BJ127" s="206"/>
      <c r="BK127" s="865"/>
      <c r="BL127" s="865"/>
      <c r="BM127" s="865"/>
      <c r="BN127" s="865"/>
      <c r="BO127" s="865"/>
      <c r="BP127" s="865"/>
      <c r="BQ127" s="865"/>
      <c r="BR127" s="865"/>
      <c r="BS127" s="865"/>
      <c r="BT127" s="865"/>
      <c r="BU127" s="865"/>
      <c r="BV127" s="865"/>
      <c r="BW127" s="865"/>
      <c r="BX127" s="865"/>
      <c r="BY127" s="865"/>
      <c r="BZ127" s="865"/>
      <c r="CA127" s="865"/>
      <c r="CB127" s="865"/>
    </row>
    <row r="128" spans="1:80" ht="14.25" thickTop="1" thickBot="1">
      <c r="A128" s="673">
        <v>108</v>
      </c>
      <c r="B128" s="674">
        <v>3</v>
      </c>
      <c r="C128" s="1154" t="s">
        <v>1269</v>
      </c>
      <c r="D128" s="1149">
        <v>1.4E-2</v>
      </c>
      <c r="E128" s="1054">
        <v>9.98E-2</v>
      </c>
      <c r="F128" s="661">
        <v>9.5799999999999996E-2</v>
      </c>
      <c r="G128" s="1001">
        <f t="shared" si="14"/>
        <v>1.4E-2</v>
      </c>
      <c r="H128" s="922">
        <v>9.7100000000000006E-2</v>
      </c>
      <c r="I128" s="661">
        <v>9.3100000000000002E-2</v>
      </c>
      <c r="J128" s="1002">
        <f t="shared" si="15"/>
        <v>1.4E-2</v>
      </c>
      <c r="K128" s="923">
        <v>7.7100000000000002E-2</v>
      </c>
      <c r="L128" s="661">
        <v>7.3099999999999998E-2</v>
      </c>
      <c r="M128" s="1003"/>
      <c r="N128" s="923"/>
      <c r="O128" s="666"/>
      <c r="P128" s="468"/>
      <c r="Q128" s="1006"/>
      <c r="R128" s="468"/>
      <c r="S128" s="1004">
        <f t="shared" si="13"/>
        <v>1.4E-2</v>
      </c>
      <c r="T128" s="923">
        <v>7.0000000000000007E-2</v>
      </c>
      <c r="U128" s="924">
        <v>6.6000000000000003E-2</v>
      </c>
      <c r="V128" s="468"/>
      <c r="W128" s="491"/>
      <c r="X128" s="505"/>
      <c r="Y128" s="468"/>
      <c r="Z128" s="907">
        <v>100</v>
      </c>
      <c r="AA128" s="499">
        <v>10000</v>
      </c>
      <c r="AB128" s="500">
        <v>0.2</v>
      </c>
      <c r="AC128" s="496"/>
      <c r="AD128" s="497"/>
      <c r="AE128" s="496"/>
      <c r="AF128" s="497"/>
      <c r="AG128" s="496"/>
      <c r="AH128" s="497"/>
      <c r="AI128" s="496"/>
      <c r="AJ128" s="497"/>
      <c r="AK128" s="206"/>
      <c r="AL128" s="642">
        <v>100</v>
      </c>
      <c r="AM128" s="642">
        <v>100</v>
      </c>
      <c r="AN128" s="206"/>
      <c r="AO128" s="499">
        <v>750</v>
      </c>
      <c r="AP128" s="499">
        <v>4</v>
      </c>
      <c r="AQ128" s="642"/>
      <c r="AR128" s="206"/>
      <c r="AS128" s="499">
        <v>10000</v>
      </c>
      <c r="AT128" s="499">
        <v>100</v>
      </c>
      <c r="AU128" s="499">
        <v>10</v>
      </c>
      <c r="AV128" s="499">
        <v>10000</v>
      </c>
      <c r="AW128" s="206"/>
      <c r="AX128" s="1280">
        <v>10</v>
      </c>
      <c r="AY128" s="1281"/>
      <c r="AZ128" s="1282">
        <v>40</v>
      </c>
      <c r="BA128" s="1281"/>
      <c r="BB128" s="1283">
        <v>750</v>
      </c>
      <c r="BC128" s="1281"/>
      <c r="BD128" s="1347"/>
      <c r="BE128" s="1281"/>
      <c r="BF128" s="206"/>
      <c r="BG128" s="206"/>
      <c r="BH128" s="206"/>
      <c r="BI128" s="206"/>
      <c r="BJ128" s="206"/>
      <c r="BK128" s="865"/>
      <c r="BL128" s="865"/>
      <c r="BM128" s="865"/>
      <c r="BN128" s="865"/>
      <c r="BO128" s="865"/>
      <c r="BP128" s="865"/>
      <c r="BQ128" s="865"/>
      <c r="BR128" s="865"/>
      <c r="BS128" s="865"/>
      <c r="BT128" s="865"/>
      <c r="BU128" s="865"/>
      <c r="BV128" s="865"/>
      <c r="BW128" s="865"/>
      <c r="BX128" s="865"/>
      <c r="BY128" s="865"/>
      <c r="BZ128" s="865"/>
      <c r="CA128" s="865"/>
      <c r="CB128" s="865"/>
    </row>
    <row r="129" spans="1:80" ht="14.25" thickTop="1" thickBot="1">
      <c r="A129" s="673">
        <v>109</v>
      </c>
      <c r="B129" s="674">
        <v>4</v>
      </c>
      <c r="C129" s="1154" t="s">
        <v>1270</v>
      </c>
      <c r="D129" s="1149">
        <v>1.4E-2</v>
      </c>
      <c r="E129" s="1054">
        <v>9.8400000000000001E-2</v>
      </c>
      <c r="F129" s="661">
        <v>9.4399999999999998E-2</v>
      </c>
      <c r="G129" s="1001">
        <f t="shared" si="14"/>
        <v>1.4E-2</v>
      </c>
      <c r="H129" s="922">
        <v>9.5799999999999996E-2</v>
      </c>
      <c r="I129" s="661">
        <v>9.1800000000000007E-2</v>
      </c>
      <c r="J129" s="1002">
        <f t="shared" si="15"/>
        <v>1.4E-2</v>
      </c>
      <c r="K129" s="923">
        <v>7.6100000000000001E-2</v>
      </c>
      <c r="L129" s="661">
        <v>7.2099999999999997E-2</v>
      </c>
      <c r="M129" s="1003"/>
      <c r="N129" s="923"/>
      <c r="O129" s="666"/>
      <c r="P129" s="468"/>
      <c r="Q129" s="1006"/>
      <c r="R129" s="468"/>
      <c r="S129" s="1004">
        <f t="shared" si="13"/>
        <v>1.4E-2</v>
      </c>
      <c r="T129" s="923">
        <v>6.9000000000000006E-2</v>
      </c>
      <c r="U129" s="924">
        <v>6.5000000000000002E-2</v>
      </c>
      <c r="V129" s="468"/>
      <c r="W129" s="491"/>
      <c r="X129" s="505"/>
      <c r="Y129" s="468"/>
      <c r="Z129" s="907">
        <v>100</v>
      </c>
      <c r="AA129" s="499">
        <v>10000</v>
      </c>
      <c r="AB129" s="500">
        <v>0.2</v>
      </c>
      <c r="AC129" s="496"/>
      <c r="AD129" s="497"/>
      <c r="AE129" s="496"/>
      <c r="AF129" s="497"/>
      <c r="AG129" s="496"/>
      <c r="AH129" s="497"/>
      <c r="AI129" s="496"/>
      <c r="AJ129" s="497"/>
      <c r="AK129" s="206"/>
      <c r="AL129" s="642">
        <v>100</v>
      </c>
      <c r="AM129" s="642">
        <v>100</v>
      </c>
      <c r="AN129" s="206"/>
      <c r="AO129" s="499">
        <v>750</v>
      </c>
      <c r="AP129" s="499">
        <v>4</v>
      </c>
      <c r="AQ129" s="642"/>
      <c r="AR129" s="206"/>
      <c r="AS129" s="499">
        <v>10000</v>
      </c>
      <c r="AT129" s="499">
        <v>100</v>
      </c>
      <c r="AU129" s="499">
        <v>10</v>
      </c>
      <c r="AV129" s="499">
        <v>10000</v>
      </c>
      <c r="AW129" s="206"/>
      <c r="AX129" s="1280">
        <v>10</v>
      </c>
      <c r="AY129" s="1281"/>
      <c r="AZ129" s="1282">
        <v>40</v>
      </c>
      <c r="BA129" s="1281"/>
      <c r="BB129" s="1283">
        <v>750</v>
      </c>
      <c r="BC129" s="1281"/>
      <c r="BD129" s="1347"/>
      <c r="BE129" s="1281"/>
      <c r="BF129" s="206"/>
      <c r="BG129" s="206"/>
      <c r="BH129" s="206"/>
      <c r="BI129" s="206"/>
      <c r="BJ129" s="206"/>
      <c r="BK129" s="865"/>
      <c r="BL129" s="865"/>
      <c r="BM129" s="865"/>
      <c r="BN129" s="865"/>
      <c r="BO129" s="865"/>
      <c r="BP129" s="865"/>
      <c r="BQ129" s="865"/>
      <c r="BR129" s="865"/>
      <c r="BS129" s="865"/>
      <c r="BT129" s="865"/>
      <c r="BU129" s="865"/>
      <c r="BV129" s="865"/>
      <c r="BW129" s="865"/>
      <c r="BX129" s="865"/>
      <c r="BY129" s="865"/>
      <c r="BZ129" s="865"/>
      <c r="CA129" s="865"/>
      <c r="CB129" s="865"/>
    </row>
    <row r="130" spans="1:80" ht="14.25" thickTop="1" thickBot="1">
      <c r="A130" s="673">
        <v>110</v>
      </c>
      <c r="B130" s="674">
        <v>5</v>
      </c>
      <c r="C130" s="1154" t="s">
        <v>1271</v>
      </c>
      <c r="D130" s="1149">
        <v>1.4E-2</v>
      </c>
      <c r="E130" s="1054">
        <v>9.7000000000000003E-2</v>
      </c>
      <c r="F130" s="661">
        <v>9.2999999999999999E-2</v>
      </c>
      <c r="G130" s="1001">
        <f t="shared" si="14"/>
        <v>1.4E-2</v>
      </c>
      <c r="H130" s="922">
        <v>9.4399999999999998E-2</v>
      </c>
      <c r="I130" s="661">
        <v>9.0399999999999994E-2</v>
      </c>
      <c r="J130" s="1002">
        <f t="shared" si="15"/>
        <v>1.4E-2</v>
      </c>
      <c r="K130" s="923">
        <v>7.4999999999999997E-2</v>
      </c>
      <c r="L130" s="661">
        <v>7.0999999999999994E-2</v>
      </c>
      <c r="M130" s="1003"/>
      <c r="N130" s="923"/>
      <c r="O130" s="666"/>
      <c r="P130" s="468"/>
      <c r="Q130" s="1006"/>
      <c r="R130" s="468"/>
      <c r="S130" s="1004">
        <f t="shared" si="13"/>
        <v>1.4E-2</v>
      </c>
      <c r="T130" s="924">
        <v>6.8099999999999994E-2</v>
      </c>
      <c r="U130" s="924">
        <v>6.4100000000000004E-2</v>
      </c>
      <c r="V130" s="468"/>
      <c r="W130" s="491"/>
      <c r="X130" s="505"/>
      <c r="Y130" s="468"/>
      <c r="Z130" s="907">
        <v>100</v>
      </c>
      <c r="AA130" s="499">
        <v>10000</v>
      </c>
      <c r="AB130" s="500">
        <v>0.2</v>
      </c>
      <c r="AC130" s="496"/>
      <c r="AD130" s="497"/>
      <c r="AE130" s="496"/>
      <c r="AF130" s="497"/>
      <c r="AG130" s="496"/>
      <c r="AH130" s="497"/>
      <c r="AI130" s="496"/>
      <c r="AJ130" s="497"/>
      <c r="AK130" s="206"/>
      <c r="AL130" s="642">
        <v>100</v>
      </c>
      <c r="AM130" s="642">
        <v>100</v>
      </c>
      <c r="AN130" s="206"/>
      <c r="AO130" s="499">
        <v>750</v>
      </c>
      <c r="AP130" s="499">
        <v>4</v>
      </c>
      <c r="AQ130" s="642"/>
      <c r="AR130" s="206"/>
      <c r="AS130" s="499">
        <v>10000</v>
      </c>
      <c r="AT130" s="499">
        <v>100</v>
      </c>
      <c r="AU130" s="499">
        <v>10</v>
      </c>
      <c r="AV130" s="499">
        <v>10000</v>
      </c>
      <c r="AW130" s="206"/>
      <c r="AX130" s="1280">
        <v>10</v>
      </c>
      <c r="AY130" s="1281"/>
      <c r="AZ130" s="1282">
        <v>40</v>
      </c>
      <c r="BA130" s="1281"/>
      <c r="BB130" s="1283">
        <v>750</v>
      </c>
      <c r="BC130" s="1281"/>
      <c r="BD130" s="1347"/>
      <c r="BE130" s="1281"/>
      <c r="BF130" s="206"/>
      <c r="BG130" s="206"/>
      <c r="BH130" s="206"/>
      <c r="BI130" s="206"/>
      <c r="BJ130" s="206"/>
      <c r="BK130" s="865"/>
      <c r="BL130" s="865"/>
      <c r="BM130" s="865"/>
      <c r="BN130" s="865"/>
      <c r="BO130" s="865"/>
      <c r="BP130" s="865"/>
      <c r="BQ130" s="865"/>
      <c r="BR130" s="865"/>
      <c r="BS130" s="865"/>
      <c r="BT130" s="865"/>
      <c r="BU130" s="865"/>
      <c r="BV130" s="865"/>
      <c r="BW130" s="865"/>
      <c r="BX130" s="865"/>
      <c r="BY130" s="865"/>
      <c r="BZ130" s="865"/>
      <c r="CA130" s="865"/>
      <c r="CB130" s="865"/>
    </row>
    <row r="131" spans="1:80" ht="14.25" thickTop="1" thickBot="1">
      <c r="A131" s="673">
        <v>111</v>
      </c>
      <c r="B131" s="674">
        <v>6</v>
      </c>
      <c r="C131" s="1154" t="s">
        <v>1272</v>
      </c>
      <c r="D131" s="1149">
        <v>1.4E-2</v>
      </c>
      <c r="E131" s="1054">
        <v>9.5699999999999993E-2</v>
      </c>
      <c r="F131" s="661">
        <v>9.1700000000000004E-2</v>
      </c>
      <c r="G131" s="1001">
        <f t="shared" si="14"/>
        <v>1.4E-2</v>
      </c>
      <c r="H131" s="922">
        <v>9.3100000000000002E-2</v>
      </c>
      <c r="I131" s="661">
        <v>8.9099999999999999E-2</v>
      </c>
      <c r="J131" s="1002">
        <f t="shared" si="15"/>
        <v>1.4E-2</v>
      </c>
      <c r="K131" s="923">
        <v>7.3999999999999996E-2</v>
      </c>
      <c r="L131" s="661">
        <v>6.9999999999999993E-2</v>
      </c>
      <c r="M131" s="1003"/>
      <c r="N131" s="923"/>
      <c r="O131" s="666"/>
      <c r="P131" s="468"/>
      <c r="Q131" s="1006"/>
      <c r="R131" s="468"/>
      <c r="S131" s="1004">
        <f t="shared" si="13"/>
        <v>1.4E-2</v>
      </c>
      <c r="T131" s="924">
        <v>6.7100000000000007E-2</v>
      </c>
      <c r="U131" s="924">
        <v>6.3100000000000003E-2</v>
      </c>
      <c r="V131" s="468"/>
      <c r="W131" s="491"/>
      <c r="X131" s="505"/>
      <c r="Y131" s="468"/>
      <c r="Z131" s="907">
        <v>100</v>
      </c>
      <c r="AA131" s="499">
        <v>10000</v>
      </c>
      <c r="AB131" s="500">
        <v>0.2</v>
      </c>
      <c r="AC131" s="496"/>
      <c r="AD131" s="497"/>
      <c r="AE131" s="496"/>
      <c r="AF131" s="497"/>
      <c r="AG131" s="496"/>
      <c r="AH131" s="497"/>
      <c r="AI131" s="496"/>
      <c r="AJ131" s="497"/>
      <c r="AK131" s="206"/>
      <c r="AL131" s="642">
        <v>100</v>
      </c>
      <c r="AM131" s="642">
        <v>100</v>
      </c>
      <c r="AN131" s="206"/>
      <c r="AO131" s="499">
        <v>750</v>
      </c>
      <c r="AP131" s="499">
        <v>4</v>
      </c>
      <c r="AQ131" s="642"/>
      <c r="AR131" s="206"/>
      <c r="AS131" s="499">
        <v>10000</v>
      </c>
      <c r="AT131" s="499">
        <v>100</v>
      </c>
      <c r="AU131" s="499">
        <v>10</v>
      </c>
      <c r="AV131" s="499">
        <v>10000</v>
      </c>
      <c r="AW131" s="206"/>
      <c r="AX131" s="1280">
        <v>10</v>
      </c>
      <c r="AY131" s="1281"/>
      <c r="AZ131" s="1282">
        <v>40</v>
      </c>
      <c r="BA131" s="1281"/>
      <c r="BB131" s="1283">
        <v>750</v>
      </c>
      <c r="BC131" s="1281"/>
      <c r="BD131" s="1347"/>
      <c r="BE131" s="1281"/>
      <c r="BF131" s="206"/>
      <c r="BG131" s="206"/>
      <c r="BH131" s="206"/>
      <c r="BI131" s="206"/>
      <c r="BJ131" s="206"/>
      <c r="BK131" s="865"/>
      <c r="BL131" s="865"/>
      <c r="BM131" s="865"/>
      <c r="BN131" s="865"/>
      <c r="BO131" s="865"/>
      <c r="BP131" s="865"/>
      <c r="BQ131" s="865"/>
      <c r="BR131" s="865"/>
      <c r="BS131" s="865"/>
      <c r="BT131" s="865"/>
      <c r="BU131" s="865"/>
      <c r="BV131" s="865"/>
      <c r="BW131" s="865"/>
      <c r="BX131" s="865"/>
      <c r="BY131" s="865"/>
      <c r="BZ131" s="865"/>
      <c r="CA131" s="865"/>
      <c r="CB131" s="865"/>
    </row>
    <row r="132" spans="1:80" ht="14.25" thickTop="1" thickBot="1">
      <c r="A132" s="673">
        <v>112</v>
      </c>
      <c r="B132" s="674">
        <v>7</v>
      </c>
      <c r="C132" s="1154" t="s">
        <v>1273</v>
      </c>
      <c r="D132" s="1149">
        <v>1.4E-2</v>
      </c>
      <c r="E132" s="1054">
        <v>9.4299999999999995E-2</v>
      </c>
      <c r="F132" s="661">
        <v>9.0299999999999991E-2</v>
      </c>
      <c r="G132" s="1001">
        <f t="shared" si="14"/>
        <v>1.4E-2</v>
      </c>
      <c r="H132" s="922">
        <v>9.1800000000000007E-2</v>
      </c>
      <c r="I132" s="661">
        <v>8.7800000000000003E-2</v>
      </c>
      <c r="J132" s="1002">
        <f t="shared" si="15"/>
        <v>1.4E-2</v>
      </c>
      <c r="K132" s="923">
        <v>7.2900000000000006E-2</v>
      </c>
      <c r="L132" s="661">
        <v>6.8900000000000003E-2</v>
      </c>
      <c r="M132" s="1003"/>
      <c r="N132" s="923"/>
      <c r="O132" s="666"/>
      <c r="P132" s="468"/>
      <c r="Q132" s="1006"/>
      <c r="R132" s="468"/>
      <c r="S132" s="1004">
        <f t="shared" si="13"/>
        <v>1.4E-2</v>
      </c>
      <c r="T132" s="924">
        <v>6.6199999999999995E-2</v>
      </c>
      <c r="U132" s="924">
        <v>6.2199999999999998E-2</v>
      </c>
      <c r="V132" s="468"/>
      <c r="W132" s="491"/>
      <c r="X132" s="505"/>
      <c r="Y132" s="468"/>
      <c r="Z132" s="907">
        <v>100</v>
      </c>
      <c r="AA132" s="499">
        <v>10000</v>
      </c>
      <c r="AB132" s="500">
        <v>0.2</v>
      </c>
      <c r="AC132" s="496"/>
      <c r="AD132" s="497"/>
      <c r="AE132" s="496"/>
      <c r="AF132" s="497"/>
      <c r="AG132" s="496"/>
      <c r="AH132" s="497"/>
      <c r="AI132" s="496"/>
      <c r="AJ132" s="497"/>
      <c r="AK132" s="206"/>
      <c r="AL132" s="642">
        <v>100</v>
      </c>
      <c r="AM132" s="642">
        <v>100</v>
      </c>
      <c r="AN132" s="206"/>
      <c r="AO132" s="499">
        <v>750</v>
      </c>
      <c r="AP132" s="499">
        <v>4</v>
      </c>
      <c r="AQ132" s="642"/>
      <c r="AR132" s="206"/>
      <c r="AS132" s="499">
        <v>10000</v>
      </c>
      <c r="AT132" s="499">
        <v>100</v>
      </c>
      <c r="AU132" s="499">
        <v>10</v>
      </c>
      <c r="AV132" s="499">
        <v>10000</v>
      </c>
      <c r="AW132" s="206"/>
      <c r="AX132" s="1280">
        <v>10</v>
      </c>
      <c r="AY132" s="1281"/>
      <c r="AZ132" s="1282">
        <v>40</v>
      </c>
      <c r="BA132" s="1281"/>
      <c r="BB132" s="1283">
        <v>750</v>
      </c>
      <c r="BC132" s="1281"/>
      <c r="BD132" s="1347"/>
      <c r="BE132" s="1281"/>
      <c r="BF132" s="206"/>
      <c r="BG132" s="206"/>
      <c r="BH132" s="206"/>
      <c r="BI132" s="206"/>
      <c r="BJ132" s="206"/>
      <c r="BK132" s="865"/>
      <c r="BL132" s="865"/>
      <c r="BM132" s="865"/>
      <c r="BN132" s="865"/>
      <c r="BO132" s="865"/>
      <c r="BP132" s="865"/>
      <c r="BQ132" s="865"/>
      <c r="BR132" s="865"/>
      <c r="BS132" s="865"/>
      <c r="BT132" s="865"/>
      <c r="BU132" s="865"/>
      <c r="BV132" s="865"/>
      <c r="BW132" s="865"/>
      <c r="BX132" s="865"/>
      <c r="BY132" s="865"/>
      <c r="BZ132" s="865"/>
      <c r="CA132" s="865"/>
      <c r="CB132" s="865"/>
    </row>
    <row r="133" spans="1:80" ht="14.25" thickTop="1" thickBot="1">
      <c r="A133" s="673">
        <v>113</v>
      </c>
      <c r="B133" s="674">
        <v>8</v>
      </c>
      <c r="C133" s="1154" t="s">
        <v>1274</v>
      </c>
      <c r="D133" s="1149">
        <v>1.4E-2</v>
      </c>
      <c r="E133" s="1054">
        <v>9.2999999999999999E-2</v>
      </c>
      <c r="F133" s="661">
        <v>8.8999999999999996E-2</v>
      </c>
      <c r="G133" s="1001">
        <f t="shared" si="14"/>
        <v>1.4E-2</v>
      </c>
      <c r="H133" s="922">
        <v>9.0499999999999997E-2</v>
      </c>
      <c r="I133" s="661">
        <v>8.6499999999999994E-2</v>
      </c>
      <c r="J133" s="1002">
        <f t="shared" si="15"/>
        <v>1.4E-2</v>
      </c>
      <c r="K133" s="923">
        <v>7.1900000000000006E-2</v>
      </c>
      <c r="L133" s="661">
        <v>6.7900000000000002E-2</v>
      </c>
      <c r="M133" s="1003"/>
      <c r="N133" s="923"/>
      <c r="O133" s="666"/>
      <c r="P133" s="468"/>
      <c r="Q133" s="1006"/>
      <c r="R133" s="468"/>
      <c r="S133" s="1004">
        <f t="shared" si="13"/>
        <v>1.4E-2</v>
      </c>
      <c r="T133" s="924">
        <v>6.5299999999999997E-2</v>
      </c>
      <c r="U133" s="924">
        <v>6.13E-2</v>
      </c>
      <c r="V133" s="468"/>
      <c r="W133" s="491"/>
      <c r="X133" s="505"/>
      <c r="Y133" s="468"/>
      <c r="Z133" s="907">
        <v>100</v>
      </c>
      <c r="AA133" s="499">
        <v>10000</v>
      </c>
      <c r="AB133" s="500">
        <v>0.2</v>
      </c>
      <c r="AC133" s="496"/>
      <c r="AD133" s="497"/>
      <c r="AE133" s="496"/>
      <c r="AF133" s="497"/>
      <c r="AG133" s="496"/>
      <c r="AH133" s="497"/>
      <c r="AI133" s="496"/>
      <c r="AJ133" s="497"/>
      <c r="AK133" s="206"/>
      <c r="AL133" s="642">
        <v>100</v>
      </c>
      <c r="AM133" s="642">
        <v>100</v>
      </c>
      <c r="AN133" s="206"/>
      <c r="AO133" s="499">
        <v>750</v>
      </c>
      <c r="AP133" s="499">
        <v>4</v>
      </c>
      <c r="AQ133" s="642"/>
      <c r="AR133" s="206"/>
      <c r="AS133" s="499">
        <v>10000</v>
      </c>
      <c r="AT133" s="499">
        <v>100</v>
      </c>
      <c r="AU133" s="499">
        <v>10</v>
      </c>
      <c r="AV133" s="499">
        <v>10000</v>
      </c>
      <c r="AW133" s="206"/>
      <c r="AX133" s="1280">
        <v>10</v>
      </c>
      <c r="AY133" s="1281"/>
      <c r="AZ133" s="1282">
        <v>40</v>
      </c>
      <c r="BA133" s="1281"/>
      <c r="BB133" s="1283">
        <v>750</v>
      </c>
      <c r="BC133" s="1281"/>
      <c r="BD133" s="1347"/>
      <c r="BE133" s="1281"/>
      <c r="BF133" s="206"/>
      <c r="BG133" s="206"/>
      <c r="BH133" s="206"/>
      <c r="BI133" s="206"/>
      <c r="BJ133" s="206"/>
      <c r="BK133" s="865"/>
      <c r="BL133" s="865"/>
      <c r="BM133" s="865"/>
      <c r="BN133" s="865"/>
      <c r="BO133" s="865"/>
      <c r="BP133" s="865"/>
      <c r="BQ133" s="865"/>
      <c r="BR133" s="865"/>
      <c r="BS133" s="865"/>
      <c r="BT133" s="865"/>
      <c r="BU133" s="865"/>
      <c r="BV133" s="865"/>
      <c r="BW133" s="865"/>
      <c r="BX133" s="865"/>
      <c r="BY133" s="865"/>
      <c r="BZ133" s="865"/>
      <c r="CA133" s="865"/>
      <c r="CB133" s="865"/>
    </row>
    <row r="134" spans="1:80" ht="14.25" thickTop="1" thickBot="1">
      <c r="A134" s="673">
        <v>114</v>
      </c>
      <c r="B134" s="674">
        <v>9</v>
      </c>
      <c r="C134" s="1154" t="s">
        <v>1275</v>
      </c>
      <c r="D134" s="1149">
        <v>1.4E-2</v>
      </c>
      <c r="E134" s="1054">
        <v>9.1700000000000004E-2</v>
      </c>
      <c r="F134" s="661">
        <v>8.77E-2</v>
      </c>
      <c r="G134" s="1001">
        <f t="shared" si="14"/>
        <v>1.4E-2</v>
      </c>
      <c r="H134" s="922">
        <v>8.9300000000000004E-2</v>
      </c>
      <c r="I134" s="661">
        <v>8.5300000000000001E-2</v>
      </c>
      <c r="J134" s="1002">
        <f t="shared" si="15"/>
        <v>1.4E-2</v>
      </c>
      <c r="K134" s="923">
        <v>7.0900000000000005E-2</v>
      </c>
      <c r="L134" s="661">
        <v>6.6900000000000001E-2</v>
      </c>
      <c r="M134" s="1003"/>
      <c r="N134" s="923"/>
      <c r="O134" s="666"/>
      <c r="P134" s="468"/>
      <c r="Q134" s="1006"/>
      <c r="R134" s="468"/>
      <c r="S134" s="1004">
        <f t="shared" si="13"/>
        <v>1.4E-2</v>
      </c>
      <c r="T134" s="924">
        <v>6.4299999999999996E-2</v>
      </c>
      <c r="U134" s="924">
        <v>6.0299999999999999E-2</v>
      </c>
      <c r="V134" s="468"/>
      <c r="W134" s="491"/>
      <c r="X134" s="505"/>
      <c r="Y134" s="468"/>
      <c r="Z134" s="907">
        <v>100</v>
      </c>
      <c r="AA134" s="499">
        <v>10000</v>
      </c>
      <c r="AB134" s="500">
        <v>0.2</v>
      </c>
      <c r="AC134" s="496"/>
      <c r="AD134" s="497"/>
      <c r="AE134" s="496"/>
      <c r="AF134" s="497"/>
      <c r="AG134" s="496"/>
      <c r="AH134" s="497"/>
      <c r="AI134" s="496"/>
      <c r="AJ134" s="497"/>
      <c r="AK134" s="206"/>
      <c r="AL134" s="642">
        <v>100</v>
      </c>
      <c r="AM134" s="642">
        <v>100</v>
      </c>
      <c r="AN134" s="206"/>
      <c r="AO134" s="499">
        <v>750</v>
      </c>
      <c r="AP134" s="499">
        <v>4</v>
      </c>
      <c r="AQ134" s="642"/>
      <c r="AR134" s="206"/>
      <c r="AS134" s="499">
        <v>10000</v>
      </c>
      <c r="AT134" s="499">
        <v>100</v>
      </c>
      <c r="AU134" s="499">
        <v>10</v>
      </c>
      <c r="AV134" s="499">
        <v>10000</v>
      </c>
      <c r="AW134" s="206"/>
      <c r="AX134" s="1280">
        <v>10</v>
      </c>
      <c r="AY134" s="1281"/>
      <c r="AZ134" s="1282">
        <v>40</v>
      </c>
      <c r="BA134" s="1281"/>
      <c r="BB134" s="1283">
        <v>750</v>
      </c>
      <c r="BC134" s="1281"/>
      <c r="BD134" s="1347"/>
      <c r="BE134" s="1281"/>
      <c r="BF134" s="206"/>
      <c r="BG134" s="206"/>
      <c r="BH134" s="206"/>
      <c r="BI134" s="206"/>
      <c r="BJ134" s="206"/>
      <c r="BK134" s="865"/>
      <c r="BL134" s="865"/>
      <c r="BM134" s="865"/>
      <c r="BN134" s="865"/>
      <c r="BO134" s="865"/>
      <c r="BP134" s="865"/>
      <c r="BQ134" s="865"/>
      <c r="BR134" s="865"/>
      <c r="BS134" s="865"/>
      <c r="BT134" s="865"/>
      <c r="BU134" s="865"/>
      <c r="BV134" s="865"/>
      <c r="BW134" s="865"/>
      <c r="BX134" s="865"/>
      <c r="BY134" s="865"/>
      <c r="BZ134" s="865"/>
      <c r="CA134" s="865"/>
      <c r="CB134" s="865"/>
    </row>
    <row r="135" spans="1:80" ht="14.25" thickTop="1" thickBot="1">
      <c r="A135" s="673">
        <v>115</v>
      </c>
      <c r="B135" s="674">
        <v>10</v>
      </c>
      <c r="C135" s="1154" t="s">
        <v>1276</v>
      </c>
      <c r="D135" s="1149">
        <v>1.4E-2</v>
      </c>
      <c r="E135" s="1054">
        <v>9.0399999999999994E-2</v>
      </c>
      <c r="F135" s="661">
        <v>8.6400000000000005E-2</v>
      </c>
      <c r="G135" s="1001">
        <f t="shared" si="14"/>
        <v>1.4E-2</v>
      </c>
      <c r="H135" s="922">
        <v>8.7999999999999995E-2</v>
      </c>
      <c r="I135" s="661">
        <v>8.4000000000000005E-2</v>
      </c>
      <c r="J135" s="1002">
        <f t="shared" si="15"/>
        <v>1.4E-2</v>
      </c>
      <c r="K135" s="923">
        <v>6.9900000000000004E-2</v>
      </c>
      <c r="L135" s="661">
        <v>6.59E-2</v>
      </c>
      <c r="M135" s="1003"/>
      <c r="N135" s="923"/>
      <c r="O135" s="666"/>
      <c r="P135" s="468"/>
      <c r="Q135" s="1006"/>
      <c r="R135" s="468"/>
      <c r="S135" s="1004">
        <f t="shared" si="13"/>
        <v>1.4E-2</v>
      </c>
      <c r="T135" s="924">
        <v>6.3500000000000001E-2</v>
      </c>
      <c r="U135" s="924">
        <v>5.9400000000000001E-2</v>
      </c>
      <c r="V135" s="468"/>
      <c r="W135" s="491"/>
      <c r="X135" s="505"/>
      <c r="Y135" s="468"/>
      <c r="Z135" s="907">
        <v>100</v>
      </c>
      <c r="AA135" s="499">
        <v>10000</v>
      </c>
      <c r="AB135" s="500">
        <v>0.2</v>
      </c>
      <c r="AC135" s="496"/>
      <c r="AD135" s="497"/>
      <c r="AE135" s="496"/>
      <c r="AF135" s="497"/>
      <c r="AG135" s="496"/>
      <c r="AH135" s="497"/>
      <c r="AI135" s="496"/>
      <c r="AJ135" s="497"/>
      <c r="AK135" s="206"/>
      <c r="AL135" s="642">
        <v>100</v>
      </c>
      <c r="AM135" s="642">
        <v>100</v>
      </c>
      <c r="AN135" s="206"/>
      <c r="AO135" s="499">
        <v>750</v>
      </c>
      <c r="AP135" s="499">
        <v>4</v>
      </c>
      <c r="AQ135" s="642"/>
      <c r="AR135" s="206"/>
      <c r="AS135" s="499">
        <v>10000</v>
      </c>
      <c r="AT135" s="499">
        <v>100</v>
      </c>
      <c r="AU135" s="499">
        <v>10</v>
      </c>
      <c r="AV135" s="499">
        <v>10000</v>
      </c>
      <c r="AW135" s="206"/>
      <c r="AX135" s="1280">
        <v>10</v>
      </c>
      <c r="AY135" s="1281"/>
      <c r="AZ135" s="1282">
        <v>40</v>
      </c>
      <c r="BA135" s="1281"/>
      <c r="BB135" s="1283">
        <v>750</v>
      </c>
      <c r="BC135" s="1281"/>
      <c r="BD135" s="1347"/>
      <c r="BE135" s="1281"/>
      <c r="BF135" s="206"/>
      <c r="BG135" s="206"/>
      <c r="BH135" s="206"/>
      <c r="BI135" s="206"/>
      <c r="BJ135" s="206"/>
      <c r="BK135" s="865"/>
      <c r="BL135" s="865"/>
      <c r="BM135" s="865"/>
      <c r="BN135" s="865"/>
      <c r="BO135" s="865"/>
      <c r="BP135" s="865"/>
      <c r="BQ135" s="865"/>
      <c r="BR135" s="865"/>
      <c r="BS135" s="865"/>
      <c r="BT135" s="865"/>
      <c r="BU135" s="865"/>
      <c r="BV135" s="865"/>
      <c r="BW135" s="865"/>
      <c r="BX135" s="865"/>
      <c r="BY135" s="865"/>
      <c r="BZ135" s="865"/>
      <c r="CA135" s="865"/>
      <c r="CB135" s="865"/>
    </row>
    <row r="136" spans="1:80" ht="14.25" thickTop="1" thickBot="1">
      <c r="A136" s="673">
        <v>116</v>
      </c>
      <c r="B136" s="674">
        <v>11</v>
      </c>
      <c r="C136" s="1154" t="s">
        <v>1278</v>
      </c>
      <c r="D136" s="1149">
        <v>1.7999999999999999E-2</v>
      </c>
      <c r="E136" s="1054">
        <v>8.8800000000000004E-2</v>
      </c>
      <c r="F136" s="661">
        <v>8.48E-2</v>
      </c>
      <c r="G136" s="1001">
        <f t="shared" si="14"/>
        <v>1.7999999999999999E-2</v>
      </c>
      <c r="H136" s="922">
        <v>8.6400000000000005E-2</v>
      </c>
      <c r="I136" s="661">
        <v>8.2400000000000001E-2</v>
      </c>
      <c r="J136" s="1002">
        <f t="shared" si="15"/>
        <v>1.7999999999999999E-2</v>
      </c>
      <c r="K136" s="923">
        <v>6.8599999999999994E-2</v>
      </c>
      <c r="L136" s="661">
        <v>6.4600000000000005E-2</v>
      </c>
      <c r="M136" s="1003"/>
      <c r="N136" s="923"/>
      <c r="O136" s="666"/>
      <c r="P136" s="468"/>
      <c r="Q136" s="1006"/>
      <c r="R136" s="468"/>
      <c r="S136" s="1004">
        <f t="shared" si="13"/>
        <v>1.7999999999999999E-2</v>
      </c>
      <c r="T136" s="923">
        <v>6.2300000000000001E-2</v>
      </c>
      <c r="U136" s="924">
        <v>5.8299999999999998E-2</v>
      </c>
      <c r="V136" s="468"/>
      <c r="W136" s="491"/>
      <c r="X136" s="505"/>
      <c r="Y136" s="468"/>
      <c r="Z136" s="907">
        <v>100</v>
      </c>
      <c r="AA136" s="499">
        <v>10000</v>
      </c>
      <c r="AB136" s="500">
        <v>0.2</v>
      </c>
      <c r="AC136" s="496"/>
      <c r="AD136" s="497"/>
      <c r="AE136" s="496"/>
      <c r="AF136" s="497"/>
      <c r="AG136" s="496"/>
      <c r="AH136" s="497"/>
      <c r="AI136" s="496"/>
      <c r="AJ136" s="497"/>
      <c r="AK136" s="206"/>
      <c r="AL136" s="642">
        <v>100</v>
      </c>
      <c r="AM136" s="642">
        <v>100</v>
      </c>
      <c r="AN136" s="206"/>
      <c r="AO136" s="499">
        <v>750</v>
      </c>
      <c r="AP136" s="499">
        <v>4</v>
      </c>
      <c r="AQ136" s="642"/>
      <c r="AR136" s="206"/>
      <c r="AS136" s="499">
        <v>10000</v>
      </c>
      <c r="AT136" s="499">
        <v>100</v>
      </c>
      <c r="AU136" s="499">
        <v>10</v>
      </c>
      <c r="AV136" s="499">
        <v>10000</v>
      </c>
      <c r="AW136" s="206"/>
      <c r="AX136" s="1280">
        <v>10</v>
      </c>
      <c r="AY136" s="1281"/>
      <c r="AZ136" s="1282">
        <v>40</v>
      </c>
      <c r="BA136" s="1281"/>
      <c r="BB136" s="1283">
        <v>750</v>
      </c>
      <c r="BC136" s="1281"/>
      <c r="BD136" s="1347"/>
      <c r="BE136" s="1281"/>
      <c r="BF136" s="206"/>
      <c r="BG136" s="206"/>
      <c r="BH136" s="206"/>
      <c r="BI136" s="206"/>
      <c r="BJ136" s="206"/>
      <c r="BK136" s="865"/>
      <c r="BL136" s="865"/>
      <c r="BM136" s="865"/>
      <c r="BN136" s="865"/>
      <c r="BO136" s="865"/>
      <c r="BP136" s="865"/>
      <c r="BQ136" s="865"/>
      <c r="BR136" s="865"/>
      <c r="BS136" s="865"/>
      <c r="BT136" s="865"/>
      <c r="BU136" s="865"/>
      <c r="BV136" s="865"/>
      <c r="BW136" s="865"/>
      <c r="BX136" s="865"/>
      <c r="BY136" s="865"/>
      <c r="BZ136" s="865"/>
      <c r="CA136" s="865"/>
      <c r="CB136" s="865"/>
    </row>
    <row r="137" spans="1:80" ht="14.25" thickTop="1" thickBot="1">
      <c r="A137" s="673">
        <v>117</v>
      </c>
      <c r="B137" s="674">
        <v>12</v>
      </c>
      <c r="C137" s="1154" t="s">
        <v>1279</v>
      </c>
      <c r="D137" s="1149">
        <v>1.7999999999999999E-2</v>
      </c>
      <c r="E137" s="1054">
        <v>8.72E-2</v>
      </c>
      <c r="F137" s="661">
        <v>8.3199999999999996E-2</v>
      </c>
      <c r="G137" s="1001">
        <f t="shared" si="14"/>
        <v>1.7999999999999999E-2</v>
      </c>
      <c r="H137" s="922">
        <v>8.4900000000000003E-2</v>
      </c>
      <c r="I137" s="661">
        <v>8.09E-2</v>
      </c>
      <c r="J137" s="1002">
        <f t="shared" si="15"/>
        <v>1.7999999999999999E-2</v>
      </c>
      <c r="K137" s="923">
        <v>6.7400000000000002E-2</v>
      </c>
      <c r="L137" s="661">
        <v>6.3399999999999998E-2</v>
      </c>
      <c r="M137" s="1003"/>
      <c r="N137" s="923"/>
      <c r="O137" s="666"/>
      <c r="P137" s="468"/>
      <c r="Q137" s="1006"/>
      <c r="R137" s="468"/>
      <c r="S137" s="1004">
        <f t="shared" si="13"/>
        <v>1.7999999999999999E-2</v>
      </c>
      <c r="T137" s="923">
        <v>6.1199999999999997E-2</v>
      </c>
      <c r="U137" s="924">
        <v>5.7200000000000001E-2</v>
      </c>
      <c r="V137" s="468"/>
      <c r="W137" s="491"/>
      <c r="X137" s="505"/>
      <c r="Y137" s="468"/>
      <c r="Z137" s="907">
        <v>100</v>
      </c>
      <c r="AA137" s="499">
        <v>10000</v>
      </c>
      <c r="AB137" s="500">
        <v>0.2</v>
      </c>
      <c r="AC137" s="496"/>
      <c r="AD137" s="497"/>
      <c r="AE137" s="496"/>
      <c r="AF137" s="497"/>
      <c r="AG137" s="496"/>
      <c r="AH137" s="497"/>
      <c r="AI137" s="496"/>
      <c r="AJ137" s="497"/>
      <c r="AK137" s="206"/>
      <c r="AL137" s="642">
        <v>100</v>
      </c>
      <c r="AM137" s="642">
        <v>100</v>
      </c>
      <c r="AN137" s="206"/>
      <c r="AO137" s="499">
        <v>750</v>
      </c>
      <c r="AP137" s="499">
        <v>4</v>
      </c>
      <c r="AQ137" s="642"/>
      <c r="AR137" s="206"/>
      <c r="AS137" s="499">
        <v>10000</v>
      </c>
      <c r="AT137" s="499">
        <v>100</v>
      </c>
      <c r="AU137" s="499">
        <v>10</v>
      </c>
      <c r="AV137" s="499">
        <v>10000</v>
      </c>
      <c r="AW137" s="206"/>
      <c r="AX137" s="1280">
        <v>10</v>
      </c>
      <c r="AY137" s="1281"/>
      <c r="AZ137" s="1282">
        <v>40</v>
      </c>
      <c r="BA137" s="1281"/>
      <c r="BB137" s="1283">
        <v>750</v>
      </c>
      <c r="BC137" s="1281"/>
      <c r="BD137" s="1347"/>
      <c r="BE137" s="1281"/>
      <c r="BF137" s="206"/>
      <c r="BG137" s="206"/>
      <c r="BH137" s="206"/>
      <c r="BI137" s="206"/>
      <c r="BJ137" s="206"/>
      <c r="BK137" s="865"/>
      <c r="BL137" s="865"/>
      <c r="BM137" s="865"/>
      <c r="BN137" s="865"/>
      <c r="BO137" s="865"/>
      <c r="BP137" s="865"/>
      <c r="BQ137" s="865"/>
      <c r="BR137" s="865"/>
      <c r="BS137" s="865"/>
      <c r="BT137" s="865"/>
      <c r="BU137" s="865"/>
      <c r="BV137" s="865"/>
      <c r="BW137" s="865"/>
      <c r="BX137" s="865"/>
      <c r="BY137" s="865"/>
      <c r="BZ137" s="865"/>
      <c r="CA137" s="865"/>
      <c r="CB137" s="865"/>
    </row>
    <row r="138" spans="1:80" ht="15.75" thickTop="1" thickBot="1">
      <c r="A138" s="671"/>
      <c r="B138" s="672"/>
      <c r="C138" s="1329" t="s">
        <v>1402</v>
      </c>
      <c r="D138" s="1926" t="s">
        <v>14</v>
      </c>
      <c r="E138" s="1926"/>
      <c r="F138" s="1927"/>
      <c r="G138" s="1928" t="s">
        <v>612</v>
      </c>
      <c r="H138" s="1929"/>
      <c r="I138" s="1930"/>
      <c r="J138" s="1951" t="s">
        <v>1398</v>
      </c>
      <c r="K138" s="1932"/>
      <c r="L138" s="1933"/>
      <c r="M138" s="1997" t="s">
        <v>1042</v>
      </c>
      <c r="N138" s="1912"/>
      <c r="O138" s="1913"/>
      <c r="P138" s="468"/>
      <c r="Q138" s="895"/>
      <c r="R138" s="468"/>
      <c r="S138" s="1987" t="s">
        <v>1401</v>
      </c>
      <c r="T138" s="1915"/>
      <c r="U138" s="1916"/>
      <c r="V138" s="468"/>
      <c r="W138" s="491"/>
      <c r="X138" s="613"/>
      <c r="Y138" s="468"/>
      <c r="Z138" s="1256"/>
      <c r="AA138" s="1257"/>
      <c r="AB138" s="1258"/>
      <c r="AC138" s="1259"/>
      <c r="AD138" s="1259"/>
      <c r="AE138" s="1259"/>
      <c r="AF138" s="1259"/>
      <c r="AG138" s="1259"/>
      <c r="AH138" s="1259"/>
      <c r="AI138" s="1259"/>
      <c r="AJ138" s="1259"/>
      <c r="AK138" s="1260"/>
      <c r="AL138" s="1261"/>
      <c r="AM138" s="1261"/>
      <c r="AN138" s="1260"/>
      <c r="AO138" s="1257"/>
      <c r="AP138" s="1257"/>
      <c r="AQ138" s="1261"/>
      <c r="AR138" s="1260"/>
      <c r="AS138" s="1257"/>
      <c r="AT138" s="1257"/>
      <c r="AU138" s="1257"/>
      <c r="AV138" s="1262"/>
      <c r="AW138" s="1260"/>
      <c r="AX138" s="206"/>
      <c r="AY138" s="206"/>
      <c r="AZ138" s="206"/>
      <c r="BA138" s="206"/>
      <c r="BB138" s="206"/>
      <c r="BC138" s="206"/>
      <c r="BD138" s="1348"/>
      <c r="BE138" s="206"/>
      <c r="BF138" s="206"/>
      <c r="BG138" s="206"/>
      <c r="BH138" s="206"/>
      <c r="BI138" s="206"/>
      <c r="BJ138" s="206"/>
      <c r="BK138" s="865"/>
      <c r="BL138" s="865"/>
      <c r="BM138" s="865"/>
      <c r="BN138" s="865"/>
      <c r="BO138" s="865"/>
      <c r="BP138" s="865"/>
      <c r="BQ138" s="865"/>
      <c r="BR138" s="865"/>
      <c r="BS138" s="865"/>
      <c r="BT138" s="865"/>
      <c r="BU138" s="865"/>
      <c r="BV138" s="865"/>
      <c r="BW138" s="865"/>
      <c r="BX138" s="865"/>
      <c r="BY138" s="865"/>
      <c r="BZ138" s="865"/>
      <c r="CA138" s="865"/>
      <c r="CB138" s="865"/>
    </row>
    <row r="139" spans="1:80" ht="14.25" thickTop="1" thickBot="1">
      <c r="A139" s="673">
        <v>118</v>
      </c>
      <c r="B139" s="674">
        <v>1</v>
      </c>
      <c r="C139" s="1154" t="s">
        <v>1280</v>
      </c>
      <c r="D139" s="1149">
        <v>1.7999999999999999E-2</v>
      </c>
      <c r="E139" s="1054">
        <v>8.5599999999999996E-2</v>
      </c>
      <c r="F139" s="661">
        <v>8.1600000000000006E-2</v>
      </c>
      <c r="G139" s="1001">
        <f t="shared" si="14"/>
        <v>1.7999999999999999E-2</v>
      </c>
      <c r="H139" s="922">
        <v>8.3299999999999999E-2</v>
      </c>
      <c r="I139" s="661">
        <v>7.9299999999999995E-2</v>
      </c>
      <c r="J139" s="1002">
        <f t="shared" si="15"/>
        <v>1.7999999999999999E-2</v>
      </c>
      <c r="K139" s="923">
        <v>6.6199999999999995E-2</v>
      </c>
      <c r="L139" s="661">
        <v>6.2199999999999998E-2</v>
      </c>
      <c r="M139" s="1003"/>
      <c r="N139" s="923"/>
      <c r="O139" s="666"/>
      <c r="P139" s="468"/>
      <c r="Q139" s="1006"/>
      <c r="R139" s="468"/>
      <c r="S139" s="1004">
        <f t="shared" si="13"/>
        <v>1.7999999999999999E-2</v>
      </c>
      <c r="T139" s="923">
        <v>6.0100000000000001E-2</v>
      </c>
      <c r="U139" s="924">
        <v>5.6099999999999997E-2</v>
      </c>
      <c r="V139" s="468"/>
      <c r="W139" s="491"/>
      <c r="X139" s="505"/>
      <c r="Y139" s="468"/>
      <c r="Z139" s="907">
        <v>100</v>
      </c>
      <c r="AA139" s="499">
        <v>20000</v>
      </c>
      <c r="AB139" s="500">
        <v>0.2</v>
      </c>
      <c r="AC139" s="496"/>
      <c r="AD139" s="497"/>
      <c r="AE139" s="496"/>
      <c r="AF139" s="497"/>
      <c r="AG139" s="496"/>
      <c r="AH139" s="497"/>
      <c r="AI139" s="496"/>
      <c r="AJ139" s="497"/>
      <c r="AK139" s="206"/>
      <c r="AL139" s="642">
        <v>100</v>
      </c>
      <c r="AM139" s="642">
        <v>100</v>
      </c>
      <c r="AN139" s="206"/>
      <c r="AO139" s="499">
        <v>750</v>
      </c>
      <c r="AP139" s="499">
        <v>4</v>
      </c>
      <c r="AQ139" s="642"/>
      <c r="AR139" s="206"/>
      <c r="AS139" s="1211">
        <v>10000</v>
      </c>
      <c r="AT139" s="1211">
        <v>100</v>
      </c>
      <c r="AU139" s="499">
        <v>30</v>
      </c>
      <c r="AV139" s="499">
        <v>30000</v>
      </c>
      <c r="AW139" s="206"/>
      <c r="AX139" s="1280">
        <v>10</v>
      </c>
      <c r="AY139" s="1281"/>
      <c r="AZ139" s="1282">
        <v>40</v>
      </c>
      <c r="BA139" s="1281"/>
      <c r="BB139" s="1283">
        <v>750</v>
      </c>
      <c r="BC139" s="1281"/>
      <c r="BD139" s="1347"/>
      <c r="BE139" s="1281"/>
      <c r="BF139" s="206"/>
      <c r="BG139" s="206"/>
      <c r="BH139" s="206"/>
      <c r="BI139" s="206"/>
      <c r="BJ139" s="206"/>
      <c r="BK139" s="865"/>
      <c r="BL139" s="865"/>
      <c r="BM139" s="865"/>
      <c r="BN139" s="865"/>
      <c r="BO139" s="865"/>
      <c r="BP139" s="865"/>
      <c r="BQ139" s="865"/>
      <c r="BR139" s="865"/>
      <c r="BS139" s="865"/>
      <c r="BT139" s="865"/>
      <c r="BU139" s="865"/>
      <c r="BV139" s="865"/>
      <c r="BW139" s="865"/>
      <c r="BX139" s="865"/>
      <c r="BY139" s="865"/>
      <c r="BZ139" s="865"/>
      <c r="CA139" s="865"/>
      <c r="CB139" s="865"/>
    </row>
    <row r="140" spans="1:80" ht="14.25" thickTop="1" thickBot="1">
      <c r="A140" s="673">
        <v>119</v>
      </c>
      <c r="B140" s="674">
        <v>2</v>
      </c>
      <c r="C140" s="1154" t="s">
        <v>1312</v>
      </c>
      <c r="D140" s="1149">
        <v>1.4E-2</v>
      </c>
      <c r="E140" s="1054">
        <v>8.4400000000000003E-2</v>
      </c>
      <c r="F140" s="661">
        <v>8.0399999999999999E-2</v>
      </c>
      <c r="G140" s="1001">
        <f t="shared" si="14"/>
        <v>1.4E-2</v>
      </c>
      <c r="H140" s="922">
        <v>8.2100000000000006E-2</v>
      </c>
      <c r="I140" s="661">
        <v>7.8100000000000003E-2</v>
      </c>
      <c r="J140" s="1002">
        <f t="shared" si="15"/>
        <v>1.4E-2</v>
      </c>
      <c r="K140" s="923">
        <v>6.5299999999999997E-2</v>
      </c>
      <c r="L140" s="661">
        <v>6.13E-2</v>
      </c>
      <c r="M140" s="1003"/>
      <c r="N140" s="923"/>
      <c r="O140" s="666"/>
      <c r="P140" s="468"/>
      <c r="Q140" s="1006"/>
      <c r="R140" s="468"/>
      <c r="S140" s="1004">
        <f t="shared" si="13"/>
        <v>1.4E-2</v>
      </c>
      <c r="T140" s="923">
        <v>5.9299999999999999E-2</v>
      </c>
      <c r="U140" s="924">
        <v>5.5300000000000002E-2</v>
      </c>
      <c r="V140" s="468"/>
      <c r="W140" s="491"/>
      <c r="X140" s="505"/>
      <c r="Y140" s="468"/>
      <c r="Z140" s="907">
        <v>100</v>
      </c>
      <c r="AA140" s="499">
        <v>20000</v>
      </c>
      <c r="AB140" s="500">
        <v>0.2</v>
      </c>
      <c r="AC140" s="496"/>
      <c r="AD140" s="497"/>
      <c r="AE140" s="496"/>
      <c r="AF140" s="497"/>
      <c r="AG140" s="496"/>
      <c r="AH140" s="497"/>
      <c r="AI140" s="496"/>
      <c r="AJ140" s="497"/>
      <c r="AK140" s="206"/>
      <c r="AL140" s="642">
        <v>100</v>
      </c>
      <c r="AM140" s="642">
        <v>100</v>
      </c>
      <c r="AN140" s="206"/>
      <c r="AO140" s="499">
        <v>750</v>
      </c>
      <c r="AP140" s="499">
        <v>4</v>
      </c>
      <c r="AQ140" s="642"/>
      <c r="AR140" s="206"/>
      <c r="AS140" s="1211">
        <v>10000</v>
      </c>
      <c r="AT140" s="1211">
        <v>100</v>
      </c>
      <c r="AU140" s="499">
        <v>30</v>
      </c>
      <c r="AV140" s="499">
        <v>30000</v>
      </c>
      <c r="AW140" s="206"/>
      <c r="AX140" s="1280">
        <v>10</v>
      </c>
      <c r="AY140" s="1281"/>
      <c r="AZ140" s="1282">
        <v>40</v>
      </c>
      <c r="BA140" s="1281"/>
      <c r="BB140" s="1283">
        <v>750</v>
      </c>
      <c r="BC140" s="1281"/>
      <c r="BD140" s="1347"/>
      <c r="BE140" s="1281"/>
      <c r="BF140" s="206"/>
      <c r="BG140" s="206"/>
      <c r="BH140" s="206"/>
      <c r="BI140" s="206"/>
      <c r="BJ140" s="206"/>
      <c r="BK140" s="865"/>
      <c r="BL140" s="865"/>
      <c r="BM140" s="865"/>
      <c r="BN140" s="865"/>
      <c r="BO140" s="865"/>
      <c r="BP140" s="865"/>
      <c r="BQ140" s="865"/>
      <c r="BR140" s="865"/>
      <c r="BS140" s="865"/>
      <c r="BT140" s="865"/>
      <c r="BU140" s="865"/>
      <c r="BV140" s="865"/>
      <c r="BW140" s="865"/>
      <c r="BX140" s="865"/>
      <c r="BY140" s="865"/>
      <c r="BZ140" s="865"/>
      <c r="CA140" s="865"/>
      <c r="CB140" s="865"/>
    </row>
    <row r="141" spans="1:80" ht="14.25" thickTop="1" thickBot="1">
      <c r="A141" s="673">
        <v>120</v>
      </c>
      <c r="B141" s="674">
        <v>3</v>
      </c>
      <c r="C141" s="1154" t="s">
        <v>1313</v>
      </c>
      <c r="D141" s="1149">
        <v>1.4E-2</v>
      </c>
      <c r="E141" s="1054">
        <v>8.3199999999999996E-2</v>
      </c>
      <c r="F141" s="661">
        <v>7.9200000000000007E-2</v>
      </c>
      <c r="G141" s="1001">
        <f t="shared" si="14"/>
        <v>1.4E-2</v>
      </c>
      <c r="H141" s="922">
        <v>8.1000000000000003E-2</v>
      </c>
      <c r="I141" s="661">
        <v>7.6999999999999999E-2</v>
      </c>
      <c r="J141" s="1002">
        <f t="shared" si="15"/>
        <v>1.4E-2</v>
      </c>
      <c r="K141" s="923">
        <v>6.4399999999999999E-2</v>
      </c>
      <c r="L141" s="661">
        <v>6.0400000000000002E-2</v>
      </c>
      <c r="M141" s="1003"/>
      <c r="N141" s="923"/>
      <c r="O141" s="666"/>
      <c r="P141" s="468"/>
      <c r="Q141" s="1006"/>
      <c r="R141" s="468"/>
      <c r="S141" s="1004">
        <f t="shared" si="13"/>
        <v>1.4E-2</v>
      </c>
      <c r="T141" s="923">
        <v>5.8400000000000001E-2</v>
      </c>
      <c r="U141" s="924">
        <v>5.4399999999999997E-2</v>
      </c>
      <c r="V141" s="468"/>
      <c r="W141" s="491"/>
      <c r="X141" s="505"/>
      <c r="Y141" s="468"/>
      <c r="Z141" s="907">
        <v>100</v>
      </c>
      <c r="AA141" s="499">
        <v>20000</v>
      </c>
      <c r="AB141" s="500">
        <v>0.2</v>
      </c>
      <c r="AC141" s="496"/>
      <c r="AD141" s="497"/>
      <c r="AE141" s="496"/>
      <c r="AF141" s="497"/>
      <c r="AG141" s="496"/>
      <c r="AH141" s="497"/>
      <c r="AI141" s="496"/>
      <c r="AJ141" s="497"/>
      <c r="AK141" s="206"/>
      <c r="AL141" s="642">
        <v>100</v>
      </c>
      <c r="AM141" s="642">
        <v>100</v>
      </c>
      <c r="AN141" s="206"/>
      <c r="AO141" s="499">
        <v>750</v>
      </c>
      <c r="AP141" s="499">
        <v>4</v>
      </c>
      <c r="AQ141" s="642"/>
      <c r="AR141" s="206"/>
      <c r="AS141" s="1211">
        <v>10000</v>
      </c>
      <c r="AT141" s="1211">
        <v>100</v>
      </c>
      <c r="AU141" s="499">
        <v>30</v>
      </c>
      <c r="AV141" s="499">
        <v>30000</v>
      </c>
      <c r="AW141" s="206"/>
      <c r="AX141" s="1280">
        <v>10</v>
      </c>
      <c r="AY141" s="1281"/>
      <c r="AZ141" s="1282">
        <v>40</v>
      </c>
      <c r="BA141" s="1281"/>
      <c r="BB141" s="1283">
        <v>750</v>
      </c>
      <c r="BC141" s="1281"/>
      <c r="BD141" s="1347"/>
      <c r="BE141" s="1281"/>
      <c r="BF141" s="206"/>
      <c r="BG141" s="206"/>
      <c r="BH141" s="206"/>
      <c r="BI141" s="206"/>
      <c r="BJ141" s="206"/>
      <c r="BK141" s="865"/>
      <c r="BL141" s="865"/>
      <c r="BM141" s="865"/>
      <c r="BN141" s="865"/>
      <c r="BO141" s="865"/>
      <c r="BP141" s="865"/>
      <c r="BQ141" s="865"/>
      <c r="BR141" s="865"/>
      <c r="BS141" s="865"/>
      <c r="BT141" s="865"/>
      <c r="BU141" s="865"/>
      <c r="BV141" s="865"/>
      <c r="BW141" s="865"/>
      <c r="BX141" s="865"/>
      <c r="BY141" s="865"/>
      <c r="BZ141" s="865"/>
      <c r="CA141" s="865"/>
      <c r="CB141" s="865"/>
    </row>
    <row r="142" spans="1:80" ht="14.25" thickTop="1" thickBot="1">
      <c r="A142" s="673">
        <v>121</v>
      </c>
      <c r="B142" s="674">
        <v>4</v>
      </c>
      <c r="C142" s="1154" t="s">
        <v>1314</v>
      </c>
      <c r="D142" s="1149">
        <v>1.4E-2</v>
      </c>
      <c r="E142" s="1054">
        <v>8.2100000000000006E-2</v>
      </c>
      <c r="F142" s="661">
        <v>7.8100000000000003E-2</v>
      </c>
      <c r="G142" s="1001">
        <f t="shared" si="14"/>
        <v>1.4E-2</v>
      </c>
      <c r="H142" s="922">
        <v>7.9899999999999999E-2</v>
      </c>
      <c r="I142" s="661">
        <v>7.5899999999999995E-2</v>
      </c>
      <c r="J142" s="1002">
        <f t="shared" si="15"/>
        <v>1.4E-2</v>
      </c>
      <c r="K142" s="923">
        <v>6.3500000000000001E-2</v>
      </c>
      <c r="L142" s="661">
        <v>5.9499999999999997E-2</v>
      </c>
      <c r="M142" s="1003"/>
      <c r="N142" s="923"/>
      <c r="O142" s="666"/>
      <c r="P142" s="468"/>
      <c r="Q142" s="1006"/>
      <c r="R142" s="468"/>
      <c r="S142" s="1004">
        <f t="shared" si="13"/>
        <v>1.4E-2</v>
      </c>
      <c r="T142" s="923">
        <v>5.7599999999999998E-2</v>
      </c>
      <c r="U142" s="924">
        <v>5.3600000000000002E-2</v>
      </c>
      <c r="V142" s="468"/>
      <c r="W142" s="491"/>
      <c r="X142" s="505"/>
      <c r="Y142" s="468"/>
      <c r="Z142" s="907">
        <v>100</v>
      </c>
      <c r="AA142" s="499">
        <v>20000</v>
      </c>
      <c r="AB142" s="500">
        <v>0.2</v>
      </c>
      <c r="AC142" s="496"/>
      <c r="AD142" s="497"/>
      <c r="AE142" s="496"/>
      <c r="AF142" s="497"/>
      <c r="AG142" s="496"/>
      <c r="AH142" s="497"/>
      <c r="AI142" s="496"/>
      <c r="AJ142" s="497"/>
      <c r="AK142" s="206"/>
      <c r="AL142" s="642">
        <v>100</v>
      </c>
      <c r="AM142" s="642">
        <v>100</v>
      </c>
      <c r="AN142" s="206"/>
      <c r="AO142" s="499">
        <v>750</v>
      </c>
      <c r="AP142" s="499">
        <v>4</v>
      </c>
      <c r="AQ142" s="642"/>
      <c r="AR142" s="206"/>
      <c r="AS142" s="1243">
        <v>300</v>
      </c>
      <c r="AT142" s="1243">
        <v>50</v>
      </c>
      <c r="AU142" s="499">
        <v>30</v>
      </c>
      <c r="AV142" s="499">
        <v>30000</v>
      </c>
      <c r="AW142" s="206"/>
      <c r="AX142" s="1280">
        <v>10</v>
      </c>
      <c r="AY142" s="1281"/>
      <c r="AZ142" s="1282">
        <v>40</v>
      </c>
      <c r="BA142" s="1281"/>
      <c r="BB142" s="1283">
        <v>750</v>
      </c>
      <c r="BC142" s="1281"/>
      <c r="BD142" s="1347"/>
      <c r="BE142" s="1281"/>
      <c r="BF142" s="206"/>
      <c r="BG142" s="206"/>
      <c r="BH142" s="206"/>
      <c r="BI142" s="206"/>
      <c r="BJ142" s="206"/>
      <c r="BK142" s="865"/>
      <c r="BL142" s="865"/>
      <c r="BM142" s="865"/>
      <c r="BN142" s="865"/>
      <c r="BO142" s="865"/>
      <c r="BP142" s="865"/>
      <c r="BQ142" s="865"/>
      <c r="BR142" s="865"/>
      <c r="BS142" s="865"/>
      <c r="BT142" s="865"/>
      <c r="BU142" s="865"/>
      <c r="BV142" s="865"/>
      <c r="BW142" s="865"/>
      <c r="BX142" s="865"/>
      <c r="BY142" s="865"/>
      <c r="BZ142" s="865"/>
      <c r="CA142" s="865"/>
      <c r="CB142" s="865"/>
    </row>
    <row r="143" spans="1:80" ht="14.25" thickTop="1" thickBot="1">
      <c r="A143" s="673">
        <v>122</v>
      </c>
      <c r="B143" s="674">
        <v>5</v>
      </c>
      <c r="C143" s="1154" t="s">
        <v>1366</v>
      </c>
      <c r="D143" s="1149">
        <v>1.4E-2</v>
      </c>
      <c r="E143" s="1054">
        <v>8.09E-2</v>
      </c>
      <c r="F143" s="661">
        <v>7.6899999999999996E-2</v>
      </c>
      <c r="G143" s="1001">
        <f t="shared" si="14"/>
        <v>1.4E-2</v>
      </c>
      <c r="H143" s="922">
        <v>7.8700000000000006E-2</v>
      </c>
      <c r="I143" s="661">
        <v>7.4700000000000003E-2</v>
      </c>
      <c r="J143" s="1002">
        <f t="shared" si="15"/>
        <v>1.4E-2</v>
      </c>
      <c r="K143" s="923">
        <v>6.2600000000000003E-2</v>
      </c>
      <c r="L143" s="661">
        <v>5.8599999999999999E-2</v>
      </c>
      <c r="M143" s="1003"/>
      <c r="N143" s="923"/>
      <c r="O143" s="666"/>
      <c r="P143" s="468"/>
      <c r="Q143" s="1006"/>
      <c r="R143" s="468"/>
      <c r="S143" s="1004">
        <f t="shared" si="13"/>
        <v>1.4E-2</v>
      </c>
      <c r="T143" s="924">
        <v>5.6800000000000003E-2</v>
      </c>
      <c r="U143" s="924">
        <v>5.28E-2</v>
      </c>
      <c r="V143" s="468"/>
      <c r="W143" s="491"/>
      <c r="X143" s="505"/>
      <c r="Y143" s="468"/>
      <c r="Z143" s="907">
        <v>100</v>
      </c>
      <c r="AA143" s="499">
        <v>20000</v>
      </c>
      <c r="AB143" s="500">
        <v>0.2</v>
      </c>
      <c r="AC143" s="496"/>
      <c r="AD143" s="497"/>
      <c r="AE143" s="496"/>
      <c r="AF143" s="497"/>
      <c r="AG143" s="496"/>
      <c r="AH143" s="497"/>
      <c r="AI143" s="496"/>
      <c r="AJ143" s="497"/>
      <c r="AK143" s="206"/>
      <c r="AL143" s="642">
        <v>100</v>
      </c>
      <c r="AM143" s="642">
        <v>100</v>
      </c>
      <c r="AN143" s="206"/>
      <c r="AO143" s="499">
        <v>750</v>
      </c>
      <c r="AP143" s="499">
        <v>4</v>
      </c>
      <c r="AQ143" s="642"/>
      <c r="AR143" s="206"/>
      <c r="AS143" s="1243">
        <v>300</v>
      </c>
      <c r="AT143" s="1243">
        <v>50</v>
      </c>
      <c r="AU143" s="499">
        <v>30</v>
      </c>
      <c r="AV143" s="499">
        <v>30000</v>
      </c>
      <c r="AW143" s="206"/>
      <c r="AX143" s="1280">
        <v>10</v>
      </c>
      <c r="AY143" s="1281"/>
      <c r="AZ143" s="1282">
        <v>40</v>
      </c>
      <c r="BA143" s="1281"/>
      <c r="BB143" s="1283">
        <v>750</v>
      </c>
      <c r="BC143" s="1281"/>
      <c r="BD143" s="1347"/>
      <c r="BE143" s="1281"/>
      <c r="BF143" s="206"/>
      <c r="BG143" s="206"/>
      <c r="BH143" s="206"/>
      <c r="BI143" s="206"/>
      <c r="BJ143" s="206"/>
      <c r="BK143" s="865"/>
      <c r="BL143" s="865"/>
      <c r="BM143" s="865"/>
      <c r="BN143" s="865"/>
      <c r="BO143" s="865"/>
      <c r="BP143" s="865"/>
      <c r="BQ143" s="865"/>
      <c r="BR143" s="865"/>
      <c r="BS143" s="865"/>
      <c r="BT143" s="865"/>
      <c r="BU143" s="865"/>
      <c r="BV143" s="865"/>
      <c r="BW143" s="865"/>
      <c r="BX143" s="865"/>
      <c r="BY143" s="865"/>
      <c r="BZ143" s="865"/>
      <c r="CA143" s="865"/>
      <c r="CB143" s="865"/>
    </row>
    <row r="144" spans="1:80" ht="14.25" thickTop="1" thickBot="1">
      <c r="A144" s="673">
        <v>123</v>
      </c>
      <c r="B144" s="674">
        <v>6</v>
      </c>
      <c r="C144" s="1154" t="s">
        <v>1367</v>
      </c>
      <c r="D144" s="1149">
        <v>1.4E-2</v>
      </c>
      <c r="E144" s="1054">
        <v>7.9799999999999996E-2</v>
      </c>
      <c r="F144" s="661">
        <v>7.5800000000000006E-2</v>
      </c>
      <c r="G144" s="1001">
        <f t="shared" si="14"/>
        <v>1.4E-2</v>
      </c>
      <c r="H144" s="922">
        <v>7.7600000000000002E-2</v>
      </c>
      <c r="I144" s="661">
        <v>7.3599999999999999E-2</v>
      </c>
      <c r="J144" s="1002">
        <f t="shared" si="15"/>
        <v>1.4E-2</v>
      </c>
      <c r="K144" s="923">
        <v>6.1699999999999998E-2</v>
      </c>
      <c r="L144" s="661">
        <v>5.7700000000000001E-2</v>
      </c>
      <c r="M144" s="1003"/>
      <c r="N144" s="923"/>
      <c r="O144" s="666"/>
      <c r="P144" s="468"/>
      <c r="Q144" s="1006"/>
      <c r="R144" s="468"/>
      <c r="S144" s="1004">
        <f t="shared" si="13"/>
        <v>1.4E-2</v>
      </c>
      <c r="T144" s="924">
        <v>5.6000000000000001E-2</v>
      </c>
      <c r="U144" s="924">
        <v>5.1999999999999998E-2</v>
      </c>
      <c r="V144" s="468"/>
      <c r="W144" s="491"/>
      <c r="X144" s="505"/>
      <c r="Y144" s="468"/>
      <c r="Z144" s="907">
        <v>100</v>
      </c>
      <c r="AA144" s="499">
        <v>20000</v>
      </c>
      <c r="AB144" s="500">
        <v>0.2</v>
      </c>
      <c r="AC144" s="496"/>
      <c r="AD144" s="497"/>
      <c r="AE144" s="496"/>
      <c r="AF144" s="497"/>
      <c r="AG144" s="496"/>
      <c r="AH144" s="497"/>
      <c r="AI144" s="496"/>
      <c r="AJ144" s="497"/>
      <c r="AK144" s="206"/>
      <c r="AL144" s="642">
        <v>100</v>
      </c>
      <c r="AM144" s="642">
        <v>100</v>
      </c>
      <c r="AN144" s="206"/>
      <c r="AO144" s="499">
        <v>750</v>
      </c>
      <c r="AP144" s="499">
        <v>4</v>
      </c>
      <c r="AQ144" s="642"/>
      <c r="AR144" s="206"/>
      <c r="AS144" s="1243">
        <v>300</v>
      </c>
      <c r="AT144" s="1243">
        <v>50</v>
      </c>
      <c r="AU144" s="499">
        <v>30</v>
      </c>
      <c r="AV144" s="499">
        <v>30000</v>
      </c>
      <c r="AW144" s="206"/>
      <c r="AX144" s="1280">
        <v>10</v>
      </c>
      <c r="AY144" s="1281"/>
      <c r="AZ144" s="1282">
        <v>40</v>
      </c>
      <c r="BA144" s="1281"/>
      <c r="BB144" s="1283">
        <v>750</v>
      </c>
      <c r="BC144" s="1281"/>
      <c r="BD144" s="1347"/>
      <c r="BE144" s="1281"/>
      <c r="BF144" s="206"/>
      <c r="BG144" s="206"/>
      <c r="BH144" s="206"/>
      <c r="BI144" s="206"/>
      <c r="BJ144" s="206"/>
      <c r="BK144" s="865"/>
      <c r="BL144" s="865"/>
      <c r="BM144" s="865"/>
      <c r="BN144" s="865"/>
      <c r="BO144" s="865"/>
      <c r="BP144" s="865"/>
      <c r="BQ144" s="865"/>
      <c r="BR144" s="865"/>
      <c r="BS144" s="865"/>
      <c r="BT144" s="865"/>
      <c r="BU144" s="865"/>
      <c r="BV144" s="865"/>
      <c r="BW144" s="865"/>
      <c r="BX144" s="865"/>
      <c r="BY144" s="865"/>
      <c r="BZ144" s="865"/>
      <c r="CA144" s="865"/>
      <c r="CB144" s="865"/>
    </row>
    <row r="145" spans="1:80" ht="14.25" thickTop="1" thickBot="1">
      <c r="A145" s="673">
        <v>124</v>
      </c>
      <c r="B145" s="674">
        <v>7</v>
      </c>
      <c r="C145" s="1154" t="s">
        <v>1368</v>
      </c>
      <c r="D145" s="1149">
        <v>1.4E-2</v>
      </c>
      <c r="E145" s="1054">
        <v>7.8700000000000006E-2</v>
      </c>
      <c r="F145" s="661">
        <v>7.4700000000000003E-2</v>
      </c>
      <c r="G145" s="1001">
        <f t="shared" si="14"/>
        <v>1.4E-2</v>
      </c>
      <c r="H145" s="922">
        <v>7.6499999999999999E-2</v>
      </c>
      <c r="I145" s="661">
        <v>7.2499999999999995E-2</v>
      </c>
      <c r="J145" s="1002">
        <f t="shared" si="15"/>
        <v>1.4E-2</v>
      </c>
      <c r="K145" s="923">
        <v>6.08E-2</v>
      </c>
      <c r="L145" s="661">
        <v>5.6800000000000003E-2</v>
      </c>
      <c r="M145" s="1003"/>
      <c r="N145" s="923"/>
      <c r="O145" s="666"/>
      <c r="P145" s="468"/>
      <c r="Q145" s="1006"/>
      <c r="R145" s="468"/>
      <c r="S145" s="1004">
        <f t="shared" si="13"/>
        <v>1.4E-2</v>
      </c>
      <c r="T145" s="924">
        <v>5.5199999999999999E-2</v>
      </c>
      <c r="U145" s="924">
        <v>5.1200000000000002E-2</v>
      </c>
      <c r="V145" s="468"/>
      <c r="W145" s="491"/>
      <c r="X145" s="505"/>
      <c r="Y145" s="468"/>
      <c r="Z145" s="907">
        <v>100</v>
      </c>
      <c r="AA145" s="499">
        <v>20000</v>
      </c>
      <c r="AB145" s="500">
        <v>0.2</v>
      </c>
      <c r="AC145" s="496"/>
      <c r="AD145" s="497"/>
      <c r="AE145" s="496"/>
      <c r="AF145" s="497"/>
      <c r="AG145" s="496"/>
      <c r="AH145" s="497"/>
      <c r="AI145" s="496"/>
      <c r="AJ145" s="497"/>
      <c r="AK145" s="206"/>
      <c r="AL145" s="642">
        <v>100</v>
      </c>
      <c r="AM145" s="642">
        <v>100</v>
      </c>
      <c r="AN145" s="206"/>
      <c r="AO145" s="499">
        <v>750</v>
      </c>
      <c r="AP145" s="499">
        <v>4</v>
      </c>
      <c r="AQ145" s="642"/>
      <c r="AR145" s="206"/>
      <c r="AS145" s="1243">
        <v>300</v>
      </c>
      <c r="AT145" s="1243">
        <v>50</v>
      </c>
      <c r="AU145" s="499">
        <v>30</v>
      </c>
      <c r="AV145" s="499">
        <v>30000</v>
      </c>
      <c r="AW145" s="206"/>
      <c r="AX145" s="1280">
        <v>10</v>
      </c>
      <c r="AY145" s="1281"/>
      <c r="AZ145" s="1282">
        <v>40</v>
      </c>
      <c r="BA145" s="1281"/>
      <c r="BB145" s="1283">
        <v>750</v>
      </c>
      <c r="BC145" s="1281"/>
      <c r="BD145" s="1347"/>
      <c r="BE145" s="1281"/>
      <c r="BF145" s="206"/>
      <c r="BG145" s="206"/>
      <c r="BH145" s="206"/>
      <c r="BI145" s="206"/>
      <c r="BJ145" s="206"/>
      <c r="BK145" s="865"/>
      <c r="BL145" s="865"/>
      <c r="BM145" s="865"/>
      <c r="BN145" s="865"/>
      <c r="BO145" s="865"/>
      <c r="BP145" s="865"/>
      <c r="BQ145" s="865"/>
      <c r="BR145" s="865"/>
      <c r="BS145" s="865"/>
      <c r="BT145" s="865"/>
      <c r="BU145" s="865"/>
      <c r="BV145" s="865"/>
      <c r="BW145" s="865"/>
      <c r="BX145" s="865"/>
      <c r="BY145" s="865"/>
      <c r="BZ145" s="865"/>
      <c r="CA145" s="865"/>
      <c r="CB145" s="865"/>
    </row>
    <row r="146" spans="1:80" ht="14.25" thickTop="1" thickBot="1">
      <c r="A146" s="673">
        <v>125</v>
      </c>
      <c r="B146" s="674">
        <v>8</v>
      </c>
      <c r="C146" s="1154" t="s">
        <v>1373</v>
      </c>
      <c r="D146" s="1149">
        <v>1.4E-2</v>
      </c>
      <c r="E146" s="1054">
        <v>7.7600000000000002E-2</v>
      </c>
      <c r="F146" s="661">
        <v>7.3599999999999999E-2</v>
      </c>
      <c r="G146" s="1001">
        <f t="shared" si="14"/>
        <v>1.4E-2</v>
      </c>
      <c r="H146" s="922">
        <v>7.5499999999999998E-2</v>
      </c>
      <c r="I146" s="661">
        <v>7.1499999999999994E-2</v>
      </c>
      <c r="J146" s="1002">
        <f t="shared" si="15"/>
        <v>1.4E-2</v>
      </c>
      <c r="K146" s="923">
        <v>0.06</v>
      </c>
      <c r="L146" s="661">
        <v>5.6000000000000001E-2</v>
      </c>
      <c r="M146" s="1003"/>
      <c r="N146" s="923"/>
      <c r="O146" s="666"/>
      <c r="P146" s="468"/>
      <c r="Q146" s="1006"/>
      <c r="R146" s="468"/>
      <c r="S146" s="1004">
        <f t="shared" si="13"/>
        <v>1.4E-2</v>
      </c>
      <c r="T146" s="924">
        <v>5.45E-2</v>
      </c>
      <c r="U146" s="924">
        <v>5.0500000000000003E-2</v>
      </c>
      <c r="V146" s="468"/>
      <c r="W146" s="491"/>
      <c r="X146" s="505"/>
      <c r="Y146" s="468"/>
      <c r="Z146" s="907">
        <v>100</v>
      </c>
      <c r="AA146" s="499">
        <v>20000</v>
      </c>
      <c r="AB146" s="500">
        <v>0.2</v>
      </c>
      <c r="AC146" s="496"/>
      <c r="AD146" s="497"/>
      <c r="AE146" s="496"/>
      <c r="AF146" s="497"/>
      <c r="AG146" s="496"/>
      <c r="AH146" s="497"/>
      <c r="AI146" s="496"/>
      <c r="AJ146" s="497"/>
      <c r="AK146" s="206"/>
      <c r="AL146" s="642">
        <v>100</v>
      </c>
      <c r="AM146" s="642">
        <v>100</v>
      </c>
      <c r="AN146" s="206"/>
      <c r="AO146" s="499">
        <v>750</v>
      </c>
      <c r="AP146" s="499">
        <v>4</v>
      </c>
      <c r="AQ146" s="642"/>
      <c r="AR146" s="206"/>
      <c r="AS146" s="1243">
        <v>300</v>
      </c>
      <c r="AT146" s="1243">
        <v>50</v>
      </c>
      <c r="AU146" s="499">
        <v>30</v>
      </c>
      <c r="AV146" s="499">
        <v>30000</v>
      </c>
      <c r="AW146" s="206"/>
      <c r="AX146" s="1280">
        <v>10</v>
      </c>
      <c r="AY146" s="1281"/>
      <c r="AZ146" s="1282">
        <v>40</v>
      </c>
      <c r="BA146" s="1281"/>
      <c r="BB146" s="1283">
        <v>750</v>
      </c>
      <c r="BC146" s="1281"/>
      <c r="BD146" s="1347"/>
      <c r="BE146" s="1281"/>
      <c r="BF146" s="206"/>
      <c r="BG146" s="206"/>
      <c r="BH146" s="206"/>
      <c r="BI146" s="206"/>
      <c r="BJ146" s="206"/>
      <c r="BK146" s="865"/>
      <c r="BL146" s="865"/>
      <c r="BM146" s="865"/>
      <c r="BN146" s="865"/>
      <c r="BO146" s="865"/>
      <c r="BP146" s="865"/>
      <c r="BQ146" s="865"/>
      <c r="BR146" s="865"/>
      <c r="BS146" s="865"/>
      <c r="BT146" s="865"/>
      <c r="BU146" s="865"/>
      <c r="BV146" s="865"/>
      <c r="BW146" s="865"/>
      <c r="BX146" s="865"/>
      <c r="BY146" s="865"/>
      <c r="BZ146" s="865"/>
      <c r="CA146" s="865"/>
      <c r="CB146" s="865"/>
    </row>
    <row r="147" spans="1:80" ht="14.25" thickTop="1" thickBot="1">
      <c r="A147" s="673">
        <v>126</v>
      </c>
      <c r="B147" s="674">
        <v>9</v>
      </c>
      <c r="C147" s="1154" t="s">
        <v>1374</v>
      </c>
      <c r="D147" s="1149">
        <v>1.4E-2</v>
      </c>
      <c r="E147" s="1054">
        <v>7.6499999999999999E-2</v>
      </c>
      <c r="F147" s="661">
        <v>7.2499999999999995E-2</v>
      </c>
      <c r="G147" s="1001">
        <f t="shared" si="14"/>
        <v>1.4E-2</v>
      </c>
      <c r="H147" s="922">
        <v>7.4399999999999994E-2</v>
      </c>
      <c r="I147" s="661">
        <v>7.0400000000000004E-2</v>
      </c>
      <c r="J147" s="1002">
        <f t="shared" si="15"/>
        <v>1.4E-2</v>
      </c>
      <c r="K147" s="923">
        <v>5.91E-2</v>
      </c>
      <c r="L147" s="661">
        <v>5.5100000000000003E-2</v>
      </c>
      <c r="M147" s="1003"/>
      <c r="N147" s="923"/>
      <c r="O147" s="666"/>
      <c r="P147" s="468"/>
      <c r="Q147" s="1006"/>
      <c r="R147" s="468"/>
      <c r="S147" s="1004">
        <f t="shared" si="13"/>
        <v>1.4E-2</v>
      </c>
      <c r="T147" s="924">
        <v>5.3699999999999998E-2</v>
      </c>
      <c r="U147" s="924">
        <v>4.9700000000000001E-2</v>
      </c>
      <c r="V147" s="468"/>
      <c r="W147" s="491"/>
      <c r="X147" s="505"/>
      <c r="Y147" s="468"/>
      <c r="Z147" s="907">
        <v>100</v>
      </c>
      <c r="AA147" s="499">
        <v>20000</v>
      </c>
      <c r="AB147" s="500">
        <v>0.2</v>
      </c>
      <c r="AC147" s="496"/>
      <c r="AD147" s="497"/>
      <c r="AE147" s="496"/>
      <c r="AF147" s="497"/>
      <c r="AG147" s="496"/>
      <c r="AH147" s="497"/>
      <c r="AI147" s="496"/>
      <c r="AJ147" s="497"/>
      <c r="AK147" s="206"/>
      <c r="AL147" s="642">
        <v>100</v>
      </c>
      <c r="AM147" s="642">
        <v>100</v>
      </c>
      <c r="AN147" s="206"/>
      <c r="AO147" s="499">
        <v>750</v>
      </c>
      <c r="AP147" s="499">
        <v>4</v>
      </c>
      <c r="AQ147" s="642"/>
      <c r="AR147" s="206"/>
      <c r="AS147" s="1243">
        <v>300</v>
      </c>
      <c r="AT147" s="1243">
        <v>50</v>
      </c>
      <c r="AU147" s="499">
        <v>30</v>
      </c>
      <c r="AV147" s="499">
        <v>30000</v>
      </c>
      <c r="AW147" s="206"/>
      <c r="AX147" s="1280">
        <v>10</v>
      </c>
      <c r="AY147" s="1281"/>
      <c r="AZ147" s="1282">
        <v>40</v>
      </c>
      <c r="BA147" s="1281"/>
      <c r="BB147" s="1283">
        <v>750</v>
      </c>
      <c r="BC147" s="1281"/>
      <c r="BD147" s="1347"/>
      <c r="BE147" s="1281"/>
      <c r="BF147" s="206"/>
      <c r="BG147" s="206"/>
      <c r="BH147" s="206"/>
      <c r="BI147" s="206"/>
      <c r="BJ147" s="206"/>
      <c r="BK147" s="865"/>
      <c r="BL147" s="865"/>
      <c r="BM147" s="865"/>
      <c r="BN147" s="865"/>
      <c r="BO147" s="865"/>
      <c r="BP147" s="865"/>
      <c r="BQ147" s="865"/>
      <c r="BR147" s="865"/>
      <c r="BS147" s="865"/>
      <c r="BT147" s="865"/>
      <c r="BU147" s="865"/>
      <c r="BV147" s="865"/>
      <c r="BW147" s="865"/>
      <c r="BX147" s="865"/>
      <c r="BY147" s="865"/>
      <c r="BZ147" s="865"/>
      <c r="CA147" s="865"/>
      <c r="CB147" s="865"/>
    </row>
    <row r="148" spans="1:80" ht="14.25" thickTop="1" thickBot="1">
      <c r="A148" s="673">
        <v>127</v>
      </c>
      <c r="B148" s="674">
        <v>10</v>
      </c>
      <c r="C148" s="1154" t="s">
        <v>1375</v>
      </c>
      <c r="D148" s="1149">
        <v>1.4E-2</v>
      </c>
      <c r="E148" s="1054">
        <v>7.5399999999999995E-2</v>
      </c>
      <c r="F148" s="661">
        <v>7.1400000000000005E-2</v>
      </c>
      <c r="G148" s="1001">
        <f t="shared" si="14"/>
        <v>1.4E-2</v>
      </c>
      <c r="H148" s="922">
        <v>7.3400000000000007E-2</v>
      </c>
      <c r="I148" s="661">
        <v>6.9400000000000003E-2</v>
      </c>
      <c r="J148" s="1002">
        <f t="shared" si="15"/>
        <v>1.4E-2</v>
      </c>
      <c r="K148" s="923">
        <v>5.8299999999999998E-2</v>
      </c>
      <c r="L148" s="661">
        <v>5.4300000000000001E-2</v>
      </c>
      <c r="M148" s="1003"/>
      <c r="N148" s="923"/>
      <c r="O148" s="666"/>
      <c r="P148" s="468"/>
      <c r="Q148" s="1006"/>
      <c r="R148" s="468"/>
      <c r="S148" s="1004">
        <f t="shared" si="13"/>
        <v>1.4E-2</v>
      </c>
      <c r="T148" s="924">
        <v>5.2900000000000003E-2</v>
      </c>
      <c r="U148" s="924">
        <v>4.8899999999999999E-2</v>
      </c>
      <c r="V148" s="468"/>
      <c r="W148" s="491"/>
      <c r="X148" s="505"/>
      <c r="Y148" s="468"/>
      <c r="Z148" s="907">
        <v>100</v>
      </c>
      <c r="AA148" s="499">
        <v>20000</v>
      </c>
      <c r="AB148" s="500">
        <v>0.2</v>
      </c>
      <c r="AC148" s="496"/>
      <c r="AD148" s="497"/>
      <c r="AE148" s="496"/>
      <c r="AF148" s="497"/>
      <c r="AG148" s="496"/>
      <c r="AH148" s="497"/>
      <c r="AI148" s="496"/>
      <c r="AJ148" s="497"/>
      <c r="AK148" s="206"/>
      <c r="AL148" s="642">
        <v>100</v>
      </c>
      <c r="AM148" s="642">
        <v>100</v>
      </c>
      <c r="AN148" s="206"/>
      <c r="AO148" s="499">
        <v>750</v>
      </c>
      <c r="AP148" s="499">
        <v>4</v>
      </c>
      <c r="AQ148" s="642"/>
      <c r="AR148" s="206"/>
      <c r="AS148" s="1243">
        <v>300</v>
      </c>
      <c r="AT148" s="1243">
        <v>50</v>
      </c>
      <c r="AU148" s="499">
        <v>30</v>
      </c>
      <c r="AV148" s="499">
        <v>30000</v>
      </c>
      <c r="AW148" s="206"/>
      <c r="AX148" s="1280">
        <v>10</v>
      </c>
      <c r="AY148" s="1281"/>
      <c r="AZ148" s="1282">
        <v>40</v>
      </c>
      <c r="BA148" s="1281"/>
      <c r="BB148" s="1283">
        <v>750</v>
      </c>
      <c r="BC148" s="1281"/>
      <c r="BD148" s="1347"/>
      <c r="BE148" s="1281"/>
      <c r="BF148" s="206"/>
      <c r="BG148" s="206"/>
      <c r="BH148" s="206"/>
      <c r="BI148" s="206"/>
      <c r="BJ148" s="206"/>
      <c r="BK148" s="865"/>
      <c r="BL148" s="865"/>
      <c r="BM148" s="865"/>
      <c r="BN148" s="865"/>
      <c r="BO148" s="865"/>
      <c r="BP148" s="865"/>
      <c r="BQ148" s="865"/>
      <c r="BR148" s="865"/>
      <c r="BS148" s="865"/>
      <c r="BT148" s="865"/>
      <c r="BU148" s="865"/>
      <c r="BV148" s="865"/>
      <c r="BW148" s="865"/>
      <c r="BX148" s="865"/>
      <c r="BY148" s="865"/>
      <c r="BZ148" s="865"/>
      <c r="CA148" s="865"/>
      <c r="CB148" s="865"/>
    </row>
    <row r="149" spans="1:80" ht="14.25" thickTop="1" thickBot="1">
      <c r="A149" s="673">
        <v>128</v>
      </c>
      <c r="B149" s="674">
        <v>11</v>
      </c>
      <c r="C149" s="1154" t="s">
        <v>1384</v>
      </c>
      <c r="D149" s="1149">
        <v>1.4E-2</v>
      </c>
      <c r="E149" s="1054">
        <v>7.4300000000000005E-2</v>
      </c>
      <c r="F149" s="661">
        <v>7.0300000000000001E-2</v>
      </c>
      <c r="G149" s="1001">
        <f t="shared" si="14"/>
        <v>1.4E-2</v>
      </c>
      <c r="H149" s="922">
        <v>7.2300000000000003E-2</v>
      </c>
      <c r="I149" s="661">
        <v>6.83E-2</v>
      </c>
      <c r="J149" s="1002">
        <f t="shared" si="15"/>
        <v>1.4E-2</v>
      </c>
      <c r="K149" s="923">
        <v>5.7500000000000002E-2</v>
      </c>
      <c r="L149" s="661">
        <v>5.3499999999999999E-2</v>
      </c>
      <c r="M149" s="1003"/>
      <c r="N149" s="923"/>
      <c r="O149" s="666"/>
      <c r="P149" s="468"/>
      <c r="Q149" s="1006"/>
      <c r="R149" s="468"/>
      <c r="S149" s="1004">
        <f t="shared" si="13"/>
        <v>1.4E-2</v>
      </c>
      <c r="T149" s="924">
        <v>5.2200000000000003E-2</v>
      </c>
      <c r="U149" s="924">
        <v>4.82E-2</v>
      </c>
      <c r="V149" s="468"/>
      <c r="W149" s="491"/>
      <c r="X149" s="505"/>
      <c r="Y149" s="468"/>
      <c r="Z149" s="907">
        <v>100</v>
      </c>
      <c r="AA149" s="499">
        <v>20000</v>
      </c>
      <c r="AB149" s="500">
        <v>0.2</v>
      </c>
      <c r="AC149" s="496"/>
      <c r="AD149" s="497"/>
      <c r="AE149" s="496"/>
      <c r="AF149" s="497"/>
      <c r="AG149" s="496"/>
      <c r="AH149" s="497"/>
      <c r="AI149" s="496"/>
      <c r="AJ149" s="497"/>
      <c r="AK149" s="206"/>
      <c r="AL149" s="642">
        <v>100</v>
      </c>
      <c r="AM149" s="642">
        <v>100</v>
      </c>
      <c r="AN149" s="206"/>
      <c r="AO149" s="499">
        <v>750</v>
      </c>
      <c r="AP149" s="499">
        <v>4</v>
      </c>
      <c r="AQ149" s="642"/>
      <c r="AR149" s="206"/>
      <c r="AS149" s="1243">
        <v>300</v>
      </c>
      <c r="AT149" s="1243">
        <v>50</v>
      </c>
      <c r="AU149" s="499">
        <v>30</v>
      </c>
      <c r="AV149" s="499">
        <v>30000</v>
      </c>
      <c r="AW149" s="206"/>
      <c r="AX149" s="1280">
        <v>10</v>
      </c>
      <c r="AY149" s="1281"/>
      <c r="AZ149" s="1282">
        <v>40</v>
      </c>
      <c r="BA149" s="1281"/>
      <c r="BB149" s="1283">
        <v>750</v>
      </c>
      <c r="BC149" s="1281"/>
      <c r="BD149" s="1347"/>
      <c r="BE149" s="1281"/>
      <c r="BF149" s="206"/>
      <c r="BG149" s="206"/>
      <c r="BH149" s="206"/>
      <c r="BI149" s="206"/>
      <c r="BJ149" s="206"/>
      <c r="BK149" s="865"/>
      <c r="BL149" s="865"/>
      <c r="BM149" s="865"/>
      <c r="BN149" s="865"/>
      <c r="BO149" s="865"/>
      <c r="BP149" s="865"/>
      <c r="BQ149" s="865"/>
      <c r="BR149" s="865"/>
      <c r="BS149" s="865"/>
      <c r="BT149" s="865"/>
      <c r="BU149" s="865"/>
      <c r="BV149" s="865"/>
      <c r="BW149" s="865"/>
      <c r="BX149" s="865"/>
      <c r="BY149" s="865"/>
      <c r="BZ149" s="865"/>
      <c r="CA149" s="865"/>
      <c r="CB149" s="865"/>
    </row>
    <row r="150" spans="1:80" ht="14.25" thickTop="1" thickBot="1">
      <c r="A150" s="673">
        <v>129</v>
      </c>
      <c r="B150" s="674">
        <v>12</v>
      </c>
      <c r="C150" s="1154" t="s">
        <v>1385</v>
      </c>
      <c r="D150" s="1149">
        <v>1.4E-2</v>
      </c>
      <c r="E150" s="1054">
        <v>7.3300000000000004E-2</v>
      </c>
      <c r="F150" s="661">
        <v>6.93E-2</v>
      </c>
      <c r="G150" s="1001">
        <f t="shared" si="14"/>
        <v>1.4E-2</v>
      </c>
      <c r="H150" s="922">
        <v>7.1300000000000002E-2</v>
      </c>
      <c r="I150" s="661">
        <v>6.7299999999999999E-2</v>
      </c>
      <c r="J150" s="1002">
        <f t="shared" si="15"/>
        <v>1.4E-2</v>
      </c>
      <c r="K150" s="923">
        <v>5.67E-2</v>
      </c>
      <c r="L150" s="661">
        <v>5.2699999999999997E-2</v>
      </c>
      <c r="M150" s="1003"/>
      <c r="N150" s="923"/>
      <c r="O150" s="666"/>
      <c r="P150" s="468"/>
      <c r="Q150" s="1006"/>
      <c r="R150" s="468"/>
      <c r="S150" s="1004">
        <f t="shared" si="13"/>
        <v>1.4E-2</v>
      </c>
      <c r="T150" s="924">
        <v>5.1499999999999997E-2</v>
      </c>
      <c r="U150" s="924">
        <v>4.7500000000000001E-2</v>
      </c>
      <c r="V150" s="468"/>
      <c r="W150" s="491"/>
      <c r="X150" s="505"/>
      <c r="Y150" s="468"/>
      <c r="Z150" s="907">
        <v>100</v>
      </c>
      <c r="AA150" s="499">
        <v>20000</v>
      </c>
      <c r="AB150" s="500">
        <v>0.2</v>
      </c>
      <c r="AC150" s="496"/>
      <c r="AD150" s="497"/>
      <c r="AE150" s="496"/>
      <c r="AF150" s="497"/>
      <c r="AG150" s="496"/>
      <c r="AH150" s="497"/>
      <c r="AI150" s="496"/>
      <c r="AJ150" s="497"/>
      <c r="AK150" s="206"/>
      <c r="AL150" s="642">
        <v>100</v>
      </c>
      <c r="AM150" s="642">
        <v>100</v>
      </c>
      <c r="AN150" s="206"/>
      <c r="AO150" s="499">
        <v>750</v>
      </c>
      <c r="AP150" s="499">
        <v>4</v>
      </c>
      <c r="AQ150" s="642"/>
      <c r="AR150" s="206"/>
      <c r="AS150" s="1243">
        <v>300</v>
      </c>
      <c r="AT150" s="1243">
        <v>50</v>
      </c>
      <c r="AU150" s="499">
        <v>30</v>
      </c>
      <c r="AV150" s="499">
        <v>30000</v>
      </c>
      <c r="AW150" s="206"/>
      <c r="AX150" s="1280">
        <v>10</v>
      </c>
      <c r="AY150" s="1281"/>
      <c r="AZ150" s="1282">
        <v>40</v>
      </c>
      <c r="BA150" s="1281"/>
      <c r="BB150" s="1283">
        <v>750</v>
      </c>
      <c r="BC150" s="1281"/>
      <c r="BD150" s="1347"/>
      <c r="BE150" s="1281"/>
      <c r="BF150" s="206"/>
      <c r="BG150" s="206"/>
      <c r="BH150" s="206"/>
      <c r="BI150" s="206"/>
      <c r="BJ150" s="206"/>
      <c r="BK150" s="865"/>
      <c r="BL150" s="865"/>
      <c r="BM150" s="865"/>
      <c r="BN150" s="865"/>
      <c r="BO150" s="865"/>
      <c r="BP150" s="865"/>
      <c r="BQ150" s="865"/>
      <c r="BR150" s="865"/>
      <c r="BS150" s="865"/>
      <c r="BT150" s="865"/>
      <c r="BU150" s="865"/>
      <c r="BV150" s="865"/>
      <c r="BW150" s="865"/>
      <c r="BX150" s="865"/>
      <c r="BY150" s="865"/>
      <c r="BZ150" s="865"/>
      <c r="CA150" s="865"/>
      <c r="CB150" s="865"/>
    </row>
    <row r="151" spans="1:80" ht="14.25" thickTop="1" thickBot="1">
      <c r="A151" s="673">
        <v>130</v>
      </c>
      <c r="B151" s="674">
        <v>1</v>
      </c>
      <c r="C151" s="1154" t="s">
        <v>1386</v>
      </c>
      <c r="D151" s="1149">
        <v>1.4E-2</v>
      </c>
      <c r="E151" s="1054">
        <v>7.2300000000000003E-2</v>
      </c>
      <c r="F151" s="661">
        <v>6.83E-2</v>
      </c>
      <c r="G151" s="1001">
        <f t="shared" si="14"/>
        <v>1.4E-2</v>
      </c>
      <c r="H151" s="922">
        <v>7.0300000000000001E-2</v>
      </c>
      <c r="I151" s="661">
        <v>6.6299999999999998E-2</v>
      </c>
      <c r="J151" s="1002">
        <f t="shared" si="15"/>
        <v>1.4E-2</v>
      </c>
      <c r="K151" s="923">
        <v>5.5899999999999998E-2</v>
      </c>
      <c r="L151" s="661">
        <v>5.1900000000000002E-2</v>
      </c>
      <c r="M151" s="1003"/>
      <c r="N151" s="923"/>
      <c r="O151" s="666"/>
      <c r="P151" s="468"/>
      <c r="Q151" s="1006"/>
      <c r="R151" s="468"/>
      <c r="S151" s="1004">
        <f t="shared" si="13"/>
        <v>1.4E-2</v>
      </c>
      <c r="T151" s="924">
        <v>5.0700000000000002E-2</v>
      </c>
      <c r="U151" s="924">
        <v>4.6699999999999998E-2</v>
      </c>
      <c r="V151" s="468"/>
      <c r="W151" s="491"/>
      <c r="X151" s="505"/>
      <c r="Y151" s="468"/>
      <c r="Z151" s="907">
        <v>100</v>
      </c>
      <c r="AA151" s="499">
        <v>20000</v>
      </c>
      <c r="AB151" s="500">
        <v>0.2</v>
      </c>
      <c r="AC151" s="496"/>
      <c r="AD151" s="497"/>
      <c r="AE151" s="496"/>
      <c r="AF151" s="497"/>
      <c r="AG151" s="496"/>
      <c r="AH151" s="497"/>
      <c r="AI151" s="496"/>
      <c r="AJ151" s="497"/>
      <c r="AK151" s="206"/>
      <c r="AL151" s="642">
        <v>100</v>
      </c>
      <c r="AM151" s="642">
        <v>100</v>
      </c>
      <c r="AN151" s="206"/>
      <c r="AO151" s="499">
        <v>750</v>
      </c>
      <c r="AP151" s="499">
        <v>4</v>
      </c>
      <c r="AQ151" s="642"/>
      <c r="AR151" s="206"/>
      <c r="AS151" s="1243">
        <v>300</v>
      </c>
      <c r="AT151" s="1243">
        <v>50</v>
      </c>
      <c r="AU151" s="499">
        <v>30</v>
      </c>
      <c r="AV151" s="499">
        <v>30000</v>
      </c>
      <c r="AW151" s="206"/>
      <c r="AX151" s="1280">
        <v>10</v>
      </c>
      <c r="AY151" s="1281"/>
      <c r="AZ151" s="1282">
        <v>40</v>
      </c>
      <c r="BA151" s="1281"/>
      <c r="BB151" s="1283">
        <v>750</v>
      </c>
      <c r="BC151" s="1281"/>
      <c r="BD151" s="1347"/>
      <c r="BE151" s="1281"/>
      <c r="BF151" s="206"/>
      <c r="BG151" s="206"/>
      <c r="BH151" s="206"/>
      <c r="BI151" s="206"/>
      <c r="BJ151" s="206"/>
      <c r="BK151" s="865"/>
      <c r="BL151" s="865"/>
      <c r="BM151" s="865"/>
      <c r="BN151" s="865"/>
      <c r="BO151" s="865"/>
      <c r="BP151" s="865"/>
      <c r="BQ151" s="865"/>
      <c r="BR151" s="865"/>
      <c r="BS151" s="865"/>
      <c r="BT151" s="865"/>
      <c r="BU151" s="865"/>
      <c r="BV151" s="865"/>
      <c r="BW151" s="865"/>
      <c r="BX151" s="865"/>
      <c r="BY151" s="865"/>
      <c r="BZ151" s="865"/>
      <c r="CA151" s="865"/>
      <c r="CB151" s="865"/>
    </row>
    <row r="152" spans="1:80" ht="14.25" thickTop="1" thickBot="1">
      <c r="A152" s="673">
        <v>131</v>
      </c>
      <c r="B152" s="674">
        <v>2</v>
      </c>
      <c r="C152" s="1154" t="s">
        <v>1387</v>
      </c>
      <c r="D152" s="1149">
        <v>1.4E-2</v>
      </c>
      <c r="E152" s="1054">
        <v>7.1300000000000002E-2</v>
      </c>
      <c r="F152" s="661">
        <v>6.7299999999999999E-2</v>
      </c>
      <c r="G152" s="1001">
        <f t="shared" si="14"/>
        <v>1.4E-2</v>
      </c>
      <c r="H152" s="922">
        <v>6.93E-2</v>
      </c>
      <c r="I152" s="661">
        <v>6.5299999999999997E-2</v>
      </c>
      <c r="J152" s="1002">
        <f t="shared" si="15"/>
        <v>1.4E-2</v>
      </c>
      <c r="K152" s="923">
        <v>5.5100000000000003E-2</v>
      </c>
      <c r="L152" s="661">
        <v>5.11E-2</v>
      </c>
      <c r="M152" s="1003"/>
      <c r="N152" s="923"/>
      <c r="O152" s="666"/>
      <c r="P152" s="468"/>
      <c r="Q152" s="1006"/>
      <c r="R152" s="468"/>
      <c r="S152" s="1004">
        <f t="shared" si="13"/>
        <v>1.4E-2</v>
      </c>
      <c r="T152" s="924">
        <v>0.05</v>
      </c>
      <c r="U152" s="924">
        <v>4.5999999999999999E-2</v>
      </c>
      <c r="V152" s="468"/>
      <c r="W152" s="491"/>
      <c r="X152" s="505"/>
      <c r="Y152" s="468"/>
      <c r="Z152" s="907">
        <v>100</v>
      </c>
      <c r="AA152" s="499">
        <v>20000</v>
      </c>
      <c r="AB152" s="500">
        <v>0.2</v>
      </c>
      <c r="AC152" s="496"/>
      <c r="AD152" s="497"/>
      <c r="AE152" s="496"/>
      <c r="AF152" s="497"/>
      <c r="AG152" s="496"/>
      <c r="AH152" s="497"/>
      <c r="AI152" s="496"/>
      <c r="AJ152" s="497"/>
      <c r="AK152" s="206"/>
      <c r="AL152" s="642">
        <v>100</v>
      </c>
      <c r="AM152" s="642">
        <v>100</v>
      </c>
      <c r="AN152" s="206"/>
      <c r="AO152" s="499">
        <v>750</v>
      </c>
      <c r="AP152" s="499">
        <v>4</v>
      </c>
      <c r="AQ152" s="642"/>
      <c r="AR152" s="206"/>
      <c r="AS152" s="1243">
        <v>300</v>
      </c>
      <c r="AT152" s="1243">
        <v>50</v>
      </c>
      <c r="AU152" s="499">
        <v>30</v>
      </c>
      <c r="AV152" s="499">
        <v>30000</v>
      </c>
      <c r="AW152" s="206"/>
      <c r="AX152" s="1280">
        <v>10</v>
      </c>
      <c r="AY152" s="1281"/>
      <c r="AZ152" s="1282">
        <v>40</v>
      </c>
      <c r="BA152" s="1281"/>
      <c r="BB152" s="1283">
        <v>750</v>
      </c>
      <c r="BC152" s="1281"/>
      <c r="BD152" s="1347"/>
      <c r="BE152" s="1281"/>
      <c r="BF152" s="206"/>
      <c r="BG152" s="206"/>
      <c r="BH152" s="206"/>
      <c r="BI152" s="206"/>
      <c r="BJ152" s="206"/>
      <c r="BK152" s="865"/>
      <c r="BL152" s="865"/>
      <c r="BM152" s="865"/>
      <c r="BN152" s="865"/>
      <c r="BO152" s="865"/>
      <c r="BP152" s="865"/>
      <c r="BQ152" s="865"/>
      <c r="BR152" s="865"/>
      <c r="BS152" s="865"/>
      <c r="BT152" s="865"/>
      <c r="BU152" s="865"/>
      <c r="BV152" s="865"/>
      <c r="BW152" s="865"/>
      <c r="BX152" s="865"/>
      <c r="BY152" s="865"/>
      <c r="BZ152" s="865"/>
      <c r="CA152" s="865"/>
      <c r="CB152" s="865"/>
    </row>
    <row r="153" spans="1:80" ht="14.25" thickTop="1" thickBot="1">
      <c r="A153" s="673">
        <v>132</v>
      </c>
      <c r="B153" s="674">
        <v>3</v>
      </c>
      <c r="C153" s="1154" t="s">
        <v>1388</v>
      </c>
      <c r="D153" s="1149">
        <v>1.4E-2</v>
      </c>
      <c r="E153" s="1054">
        <v>7.0300000000000001E-2</v>
      </c>
      <c r="F153" s="661">
        <v>6.6299999999999998E-2</v>
      </c>
      <c r="G153" s="1001">
        <f t="shared" si="14"/>
        <v>1.4E-2</v>
      </c>
      <c r="H153" s="922">
        <v>6.8400000000000002E-2</v>
      </c>
      <c r="I153" s="661">
        <v>6.4399999999999999E-2</v>
      </c>
      <c r="J153" s="1002">
        <f t="shared" si="15"/>
        <v>1.4E-2</v>
      </c>
      <c r="K153" s="923">
        <v>5.4300000000000001E-2</v>
      </c>
      <c r="L153" s="661">
        <v>5.0299999999999997E-2</v>
      </c>
      <c r="M153" s="1003"/>
      <c r="N153" s="923"/>
      <c r="O153" s="666"/>
      <c r="P153" s="468"/>
      <c r="Q153" s="1006"/>
      <c r="R153" s="468"/>
      <c r="S153" s="1004">
        <f t="shared" si="13"/>
        <v>1.4E-2</v>
      </c>
      <c r="T153" s="924">
        <v>4.9299999999999997E-2</v>
      </c>
      <c r="U153" s="924">
        <v>4.53E-2</v>
      </c>
      <c r="V153" s="468"/>
      <c r="W153" s="491"/>
      <c r="X153" s="505"/>
      <c r="Y153" s="468"/>
      <c r="Z153" s="907">
        <v>100</v>
      </c>
      <c r="AA153" s="499">
        <v>20000</v>
      </c>
      <c r="AB153" s="500">
        <v>0.2</v>
      </c>
      <c r="AC153" s="496"/>
      <c r="AD153" s="497"/>
      <c r="AE153" s="496"/>
      <c r="AF153" s="497"/>
      <c r="AG153" s="496"/>
      <c r="AH153" s="497"/>
      <c r="AI153" s="496"/>
      <c r="AJ153" s="497"/>
      <c r="AK153" s="206"/>
      <c r="AL153" s="642">
        <v>100</v>
      </c>
      <c r="AM153" s="642">
        <v>100</v>
      </c>
      <c r="AN153" s="206"/>
      <c r="AO153" s="499">
        <v>750</v>
      </c>
      <c r="AP153" s="499">
        <v>4</v>
      </c>
      <c r="AQ153" s="642"/>
      <c r="AR153" s="206"/>
      <c r="AS153" s="1243">
        <v>300</v>
      </c>
      <c r="AT153" s="1243">
        <v>50</v>
      </c>
      <c r="AU153" s="499">
        <v>30</v>
      </c>
      <c r="AV153" s="499">
        <v>30000</v>
      </c>
      <c r="AW153" s="206"/>
      <c r="AX153" s="1280">
        <v>10</v>
      </c>
      <c r="AY153" s="1281"/>
      <c r="AZ153" s="1282">
        <v>40</v>
      </c>
      <c r="BA153" s="1281"/>
      <c r="BB153" s="1283">
        <v>750</v>
      </c>
      <c r="BC153" s="1281"/>
      <c r="BD153" s="1347"/>
      <c r="BE153" s="1281"/>
      <c r="BF153" s="1278"/>
      <c r="BG153" s="1278"/>
      <c r="BH153" s="1278"/>
      <c r="BI153" s="1278"/>
      <c r="BJ153" s="1278"/>
      <c r="BK153" s="1279"/>
      <c r="BL153" s="1279"/>
      <c r="BM153" s="1279"/>
      <c r="BN153" s="1279"/>
      <c r="BO153" s="1279"/>
      <c r="BP153" s="1279"/>
      <c r="BQ153" s="1279"/>
      <c r="BR153" s="865"/>
      <c r="BS153" s="865"/>
      <c r="BT153" s="865"/>
      <c r="BU153" s="865"/>
      <c r="BV153" s="865"/>
      <c r="BW153" s="865"/>
      <c r="BX153" s="865"/>
      <c r="BY153" s="865"/>
      <c r="BZ153" s="865"/>
      <c r="CA153" s="865"/>
      <c r="CB153" s="865"/>
    </row>
    <row r="154" spans="1:80" ht="14.25" thickTop="1" thickBot="1">
      <c r="A154" s="673">
        <v>133</v>
      </c>
      <c r="B154" s="674">
        <v>4</v>
      </c>
      <c r="C154" s="1290" t="s">
        <v>1389</v>
      </c>
      <c r="D154" s="1149">
        <v>1.4E-2</v>
      </c>
      <c r="E154" s="1054">
        <v>6.93E-2</v>
      </c>
      <c r="F154" s="661">
        <v>6.5299999999999997E-2</v>
      </c>
      <c r="G154" s="1001">
        <f t="shared" si="14"/>
        <v>1.4E-2</v>
      </c>
      <c r="H154" s="922">
        <v>6.7400000000000002E-2</v>
      </c>
      <c r="I154" s="661">
        <v>6.3399999999999998E-2</v>
      </c>
      <c r="J154" s="1002">
        <f t="shared" si="15"/>
        <v>1.4E-2</v>
      </c>
      <c r="K154" s="923">
        <v>5.3600000000000002E-2</v>
      </c>
      <c r="L154" s="661">
        <v>4.9599999999999998E-2</v>
      </c>
      <c r="M154" s="1003"/>
      <c r="N154" s="923"/>
      <c r="O154" s="666"/>
      <c r="P154" s="468"/>
      <c r="Q154" s="1006"/>
      <c r="R154" s="468"/>
      <c r="S154" s="1004">
        <f t="shared" si="13"/>
        <v>1.4E-2</v>
      </c>
      <c r="T154" s="924">
        <v>4.8599999999999997E-2</v>
      </c>
      <c r="U154" s="924">
        <v>4.4600000000000001E-2</v>
      </c>
      <c r="V154" s="468"/>
      <c r="W154" s="491"/>
      <c r="X154" s="505"/>
      <c r="Y154" s="468"/>
      <c r="Z154" s="907">
        <v>100</v>
      </c>
      <c r="AA154" s="499">
        <v>20000</v>
      </c>
      <c r="AB154" s="500">
        <v>0.2</v>
      </c>
      <c r="AC154" s="496"/>
      <c r="AD154" s="497"/>
      <c r="AE154" s="496"/>
      <c r="AF154" s="497"/>
      <c r="AG154" s="496"/>
      <c r="AH154" s="497"/>
      <c r="AI154" s="496"/>
      <c r="AJ154" s="497"/>
      <c r="AK154" s="206"/>
      <c r="AL154" s="642">
        <v>100</v>
      </c>
      <c r="AM154" s="642">
        <v>100</v>
      </c>
      <c r="AN154" s="206"/>
      <c r="AO154" s="499">
        <v>750</v>
      </c>
      <c r="AP154" s="499">
        <v>4</v>
      </c>
      <c r="AQ154" s="642"/>
      <c r="AR154" s="206"/>
      <c r="AS154" s="1243">
        <v>300</v>
      </c>
      <c r="AT154" s="1243">
        <v>50</v>
      </c>
      <c r="AU154" s="499">
        <v>30</v>
      </c>
      <c r="AV154" s="499">
        <v>30000</v>
      </c>
      <c r="AW154" s="206"/>
      <c r="AX154" s="1280">
        <v>10</v>
      </c>
      <c r="AY154" s="1281"/>
      <c r="AZ154" s="1282">
        <v>40</v>
      </c>
      <c r="BA154" s="1281"/>
      <c r="BB154" s="1283">
        <v>750</v>
      </c>
      <c r="BC154" s="1281"/>
      <c r="BD154" s="1347"/>
      <c r="BE154" s="1281"/>
      <c r="BF154" s="1278"/>
      <c r="BG154" s="1278"/>
      <c r="BH154" s="1278"/>
      <c r="BI154" s="1278"/>
      <c r="BJ154" s="1278"/>
      <c r="BK154" s="1279"/>
      <c r="BL154" s="1279"/>
      <c r="BM154" s="1279"/>
      <c r="BN154" s="1279"/>
      <c r="BO154" s="1279"/>
      <c r="BP154" s="1279"/>
      <c r="BQ154" s="1279"/>
      <c r="BR154" s="865"/>
      <c r="BS154" s="865"/>
      <c r="BT154" s="865"/>
      <c r="BU154" s="865"/>
      <c r="BV154" s="865"/>
      <c r="BW154" s="865"/>
      <c r="BX154" s="865"/>
      <c r="BY154" s="865"/>
      <c r="BZ154" s="865"/>
      <c r="CA154" s="865"/>
      <c r="CB154" s="865"/>
    </row>
    <row r="155" spans="1:80" ht="14.25" thickTop="1" thickBot="1">
      <c r="A155" s="673">
        <v>134</v>
      </c>
      <c r="B155" s="674">
        <v>5</v>
      </c>
      <c r="C155" s="1154" t="s">
        <v>1394</v>
      </c>
      <c r="D155" s="1149">
        <v>1.4E-2</v>
      </c>
      <c r="E155" s="1054">
        <v>6.83E-2</v>
      </c>
      <c r="F155" s="661">
        <v>6.4299999999999996E-2</v>
      </c>
      <c r="G155" s="1001">
        <f t="shared" si="14"/>
        <v>1.4E-2</v>
      </c>
      <c r="H155" s="922">
        <v>6.6500000000000004E-2</v>
      </c>
      <c r="I155" s="661">
        <v>6.25E-2</v>
      </c>
      <c r="J155" s="1002">
        <f t="shared" si="15"/>
        <v>1.4E-2</v>
      </c>
      <c r="K155" s="923">
        <v>5.28E-2</v>
      </c>
      <c r="L155" s="661">
        <v>4.8800000000000003E-2</v>
      </c>
      <c r="M155" s="1003"/>
      <c r="N155" s="923"/>
      <c r="O155" s="666"/>
      <c r="P155" s="468"/>
      <c r="Q155" s="1006"/>
      <c r="R155" s="468"/>
      <c r="S155" s="1004">
        <f t="shared" si="13"/>
        <v>1.4E-2</v>
      </c>
      <c r="T155" s="924">
        <v>4.8000000000000001E-2</v>
      </c>
      <c r="U155" s="924">
        <v>4.3999999999999997E-2</v>
      </c>
      <c r="V155" s="468"/>
      <c r="W155" s="491"/>
      <c r="X155" s="505"/>
      <c r="Y155" s="468"/>
      <c r="Z155" s="907">
        <v>100</v>
      </c>
      <c r="AA155" s="499">
        <v>20000</v>
      </c>
      <c r="AB155" s="500">
        <v>0.2</v>
      </c>
      <c r="AC155" s="496"/>
      <c r="AD155" s="497"/>
      <c r="AE155" s="496"/>
      <c r="AF155" s="497"/>
      <c r="AG155" s="496"/>
      <c r="AH155" s="497"/>
      <c r="AI155" s="496"/>
      <c r="AJ155" s="497"/>
      <c r="AK155" s="206"/>
      <c r="AL155" s="642">
        <v>100</v>
      </c>
      <c r="AM155" s="642">
        <v>100</v>
      </c>
      <c r="AN155" s="206"/>
      <c r="AO155" s="499">
        <v>750</v>
      </c>
      <c r="AP155" s="499">
        <v>4</v>
      </c>
      <c r="AQ155" s="642"/>
      <c r="AR155" s="206"/>
      <c r="AS155" s="1243">
        <v>300</v>
      </c>
      <c r="AT155" s="1243">
        <v>50</v>
      </c>
      <c r="AU155" s="499">
        <v>30</v>
      </c>
      <c r="AV155" s="499">
        <v>30000</v>
      </c>
      <c r="AW155" s="206"/>
      <c r="AX155" s="1280">
        <v>10</v>
      </c>
      <c r="AY155" s="1281"/>
      <c r="AZ155" s="1282">
        <v>40</v>
      </c>
      <c r="BA155" s="1281"/>
      <c r="BB155" s="1283">
        <v>750</v>
      </c>
      <c r="BC155" s="1281"/>
      <c r="BD155" s="1347"/>
      <c r="BE155" s="1281"/>
      <c r="BF155" s="1278"/>
      <c r="BG155" s="1278"/>
      <c r="BH155" s="1278"/>
      <c r="BI155" s="1278"/>
      <c r="BJ155" s="1278"/>
      <c r="BK155" s="1279"/>
      <c r="BL155" s="1279"/>
      <c r="BM155" s="1279"/>
      <c r="BN155" s="1279"/>
      <c r="BO155" s="1279"/>
      <c r="BP155" s="1279"/>
      <c r="BQ155" s="1279"/>
      <c r="BR155" s="865"/>
      <c r="BS155" s="865"/>
      <c r="BT155" s="865"/>
      <c r="BU155" s="865"/>
      <c r="BV155" s="865"/>
      <c r="BW155" s="865"/>
      <c r="BX155" s="865"/>
      <c r="BY155" s="865"/>
      <c r="BZ155" s="865"/>
      <c r="CA155" s="865"/>
      <c r="CB155" s="865"/>
    </row>
    <row r="156" spans="1:80" ht="14.25" thickTop="1" thickBot="1">
      <c r="A156" s="673">
        <v>135</v>
      </c>
      <c r="B156" s="674">
        <v>6</v>
      </c>
      <c r="C156" s="1154" t="s">
        <v>1395</v>
      </c>
      <c r="D156" s="1149">
        <v>1.4E-2</v>
      </c>
      <c r="E156" s="1054">
        <v>6.7400000000000002E-2</v>
      </c>
      <c r="F156" s="661">
        <v>6.3399999999999998E-2</v>
      </c>
      <c r="G156" s="1001">
        <f t="shared" si="14"/>
        <v>1.4E-2</v>
      </c>
      <c r="H156" s="922">
        <v>6.5500000000000003E-2</v>
      </c>
      <c r="I156" s="661">
        <v>6.1499999999999999E-2</v>
      </c>
      <c r="J156" s="1002">
        <f t="shared" si="15"/>
        <v>1.4E-2</v>
      </c>
      <c r="K156" s="923">
        <v>5.21E-2</v>
      </c>
      <c r="L156" s="661">
        <v>4.8099999999999997E-2</v>
      </c>
      <c r="M156" s="1003"/>
      <c r="N156" s="923"/>
      <c r="O156" s="666"/>
      <c r="P156" s="468"/>
      <c r="Q156" s="1006"/>
      <c r="R156" s="468"/>
      <c r="S156" s="1004">
        <f t="shared" si="13"/>
        <v>1.4E-2</v>
      </c>
      <c r="T156" s="924">
        <v>4.7300000000000002E-2</v>
      </c>
      <c r="U156" s="924">
        <v>4.3299999999999998E-2</v>
      </c>
      <c r="V156" s="468"/>
      <c r="W156" s="491"/>
      <c r="X156" s="505"/>
      <c r="Y156" s="468"/>
      <c r="Z156" s="907">
        <v>100</v>
      </c>
      <c r="AA156" s="499">
        <v>20000</v>
      </c>
      <c r="AB156" s="500">
        <v>0.2</v>
      </c>
      <c r="AC156" s="496"/>
      <c r="AD156" s="497"/>
      <c r="AE156" s="496"/>
      <c r="AF156" s="497"/>
      <c r="AG156" s="496"/>
      <c r="AH156" s="497"/>
      <c r="AI156" s="496"/>
      <c r="AJ156" s="497"/>
      <c r="AK156" s="206"/>
      <c r="AL156" s="642">
        <v>100</v>
      </c>
      <c r="AM156" s="642">
        <v>100</v>
      </c>
      <c r="AN156" s="206"/>
      <c r="AO156" s="499">
        <v>750</v>
      </c>
      <c r="AP156" s="499">
        <v>4</v>
      </c>
      <c r="AQ156" s="642"/>
      <c r="AR156" s="206"/>
      <c r="AS156" s="1243">
        <v>300</v>
      </c>
      <c r="AT156" s="1243">
        <v>50</v>
      </c>
      <c r="AU156" s="499">
        <v>30</v>
      </c>
      <c r="AV156" s="499">
        <v>30000</v>
      </c>
      <c r="AW156" s="206"/>
      <c r="AX156" s="1280">
        <v>10</v>
      </c>
      <c r="AY156" s="1281"/>
      <c r="AZ156" s="1282">
        <v>40</v>
      </c>
      <c r="BA156" s="1281"/>
      <c r="BB156" s="1283">
        <v>750</v>
      </c>
      <c r="BC156" s="1281"/>
      <c r="BD156" s="1347"/>
      <c r="BE156" s="1281"/>
      <c r="BF156" s="1278"/>
      <c r="BG156" s="1278"/>
      <c r="BH156" s="1278"/>
      <c r="BI156" s="1278"/>
      <c r="BJ156" s="1278"/>
      <c r="BK156" s="1279"/>
      <c r="BL156" s="1279"/>
      <c r="BM156" s="1279"/>
      <c r="BN156" s="1279"/>
      <c r="BO156" s="1279"/>
      <c r="BP156" s="1279"/>
      <c r="BQ156" s="1279"/>
      <c r="BR156" s="865"/>
      <c r="BS156" s="865"/>
      <c r="BT156" s="865"/>
      <c r="BU156" s="865"/>
      <c r="BV156" s="865"/>
      <c r="BW156" s="865"/>
      <c r="BX156" s="865"/>
      <c r="BY156" s="865"/>
      <c r="BZ156" s="865"/>
      <c r="CA156" s="865"/>
      <c r="CB156" s="865"/>
    </row>
    <row r="157" spans="1:80" ht="14.25" thickTop="1" thickBot="1">
      <c r="A157" s="673">
        <v>136</v>
      </c>
      <c r="B157" s="674">
        <v>7</v>
      </c>
      <c r="C157" s="1154" t="s">
        <v>1533</v>
      </c>
      <c r="D157" s="1149">
        <v>1.4E-2</v>
      </c>
      <c r="E157" s="1054">
        <v>6.6400000000000001E-2</v>
      </c>
      <c r="F157" s="661">
        <v>6.2399999999999997E-2</v>
      </c>
      <c r="G157" s="1001">
        <f t="shared" si="14"/>
        <v>1.4E-2</v>
      </c>
      <c r="H157" s="922">
        <v>6.4600000000000005E-2</v>
      </c>
      <c r="I157" s="661">
        <v>6.0600000000000001E-2</v>
      </c>
      <c r="J157" s="1002">
        <f t="shared" si="15"/>
        <v>1.4E-2</v>
      </c>
      <c r="K157" s="923">
        <v>5.1400000000000001E-2</v>
      </c>
      <c r="L157" s="661">
        <v>4.7399999999999998E-2</v>
      </c>
      <c r="M157" s="1003"/>
      <c r="N157" s="923"/>
      <c r="O157" s="666"/>
      <c r="P157" s="468"/>
      <c r="Q157" s="1006"/>
      <c r="R157" s="468"/>
      <c r="S157" s="1004">
        <f t="shared" si="13"/>
        <v>1.4E-2</v>
      </c>
      <c r="T157" s="924">
        <v>4.6600000000000003E-2</v>
      </c>
      <c r="U157" s="924">
        <v>4.2599999999999999E-2</v>
      </c>
      <c r="V157" s="468"/>
      <c r="W157" s="491"/>
      <c r="X157" s="505"/>
      <c r="Y157" s="468"/>
      <c r="Z157" s="907">
        <v>100</v>
      </c>
      <c r="AA157" s="499">
        <v>20000</v>
      </c>
      <c r="AB157" s="500">
        <v>0.2</v>
      </c>
      <c r="AC157" s="496"/>
      <c r="AD157" s="497"/>
      <c r="AE157" s="496"/>
      <c r="AF157" s="497"/>
      <c r="AG157" s="496"/>
      <c r="AH157" s="497"/>
      <c r="AI157" s="496"/>
      <c r="AJ157" s="497"/>
      <c r="AK157" s="206"/>
      <c r="AL157" s="642">
        <v>100</v>
      </c>
      <c r="AM157" s="642">
        <v>100</v>
      </c>
      <c r="AN157" s="206"/>
      <c r="AO157" s="499">
        <v>750</v>
      </c>
      <c r="AP157" s="499">
        <v>4</v>
      </c>
      <c r="AQ157" s="642"/>
      <c r="AR157" s="206"/>
      <c r="AS157" s="1243">
        <v>300</v>
      </c>
      <c r="AT157" s="1243">
        <v>50</v>
      </c>
      <c r="AU157" s="499">
        <v>30</v>
      </c>
      <c r="AV157" s="499">
        <v>30000</v>
      </c>
      <c r="AW157" s="206"/>
      <c r="AX157" s="1280">
        <v>10</v>
      </c>
      <c r="AY157" s="1281"/>
      <c r="AZ157" s="1282">
        <v>40</v>
      </c>
      <c r="BA157" s="1281"/>
      <c r="BB157" s="1283">
        <v>750</v>
      </c>
      <c r="BC157" s="1281"/>
      <c r="BD157" s="1347"/>
      <c r="BE157" s="1281"/>
      <c r="BF157" s="1278"/>
      <c r="BG157" s="1278"/>
      <c r="BH157" s="1278"/>
      <c r="BI157" s="1278"/>
      <c r="BJ157" s="1278"/>
      <c r="BK157" s="1279"/>
      <c r="BL157" s="1279"/>
      <c r="BM157" s="1279"/>
      <c r="BN157" s="1279"/>
      <c r="BO157" s="1279"/>
      <c r="BP157" s="1279"/>
      <c r="BQ157" s="1279"/>
      <c r="BR157" s="865"/>
      <c r="BS157" s="865"/>
      <c r="BT157" s="865"/>
      <c r="BU157" s="865"/>
      <c r="BV157" s="865"/>
      <c r="BW157" s="865"/>
      <c r="BX157" s="865"/>
      <c r="BY157" s="865"/>
      <c r="BZ157" s="865"/>
      <c r="CA157" s="865"/>
      <c r="CB157" s="865"/>
    </row>
    <row r="158" spans="1:80" ht="15.75" thickTop="1" thickBot="1">
      <c r="A158" s="671"/>
      <c r="B158" s="1263"/>
      <c r="C158" s="1327" t="s">
        <v>1404</v>
      </c>
      <c r="D158" s="1308">
        <v>0</v>
      </c>
      <c r="E158" s="1309">
        <f>IF(Kalkulation!$B$118&lt;137,$AX$160,IF($C$159=1,$AX$160,$BF$160))</f>
        <v>10</v>
      </c>
      <c r="F158" s="1293" t="s">
        <v>379</v>
      </c>
      <c r="G158" s="1310">
        <f>E158</f>
        <v>10</v>
      </c>
      <c r="H158" s="1311">
        <f>IF(Kalkulation!$B$118&lt;137,$AZ$160,IF($C$159=1,$AZ$160,$BH$160))</f>
        <v>40</v>
      </c>
      <c r="I158" s="1302" t="s">
        <v>379</v>
      </c>
      <c r="J158" s="1313">
        <f>H158</f>
        <v>40</v>
      </c>
      <c r="K158" s="1312">
        <f>IF(Kalkulation!$B$118&lt;137,$BB$160,IF($C$159=1,$BB$160,$BJ$160))</f>
        <v>750</v>
      </c>
      <c r="L158" s="1303" t="s">
        <v>379</v>
      </c>
      <c r="M158" s="1315"/>
      <c r="N158" s="1316">
        <v>0</v>
      </c>
      <c r="O158" s="1301" t="s">
        <v>379</v>
      </c>
      <c r="P158" s="468"/>
      <c r="Q158" s="895"/>
      <c r="R158" s="468"/>
      <c r="S158" s="1324">
        <v>0</v>
      </c>
      <c r="T158" s="1323">
        <f>IF(Kalkulation!$B$118&lt;137,BB160,IF($C$159=1,BB160,$BJ$160))</f>
        <v>750</v>
      </c>
      <c r="U158" s="1321"/>
      <c r="V158" s="468"/>
      <c r="W158" s="491"/>
      <c r="X158" s="613"/>
      <c r="Y158" s="468"/>
      <c r="Z158" s="1256"/>
      <c r="AA158" s="1268"/>
      <c r="AB158" s="1269"/>
      <c r="AC158" s="1270"/>
      <c r="AD158" s="1270"/>
      <c r="AE158" s="1270"/>
      <c r="AF158" s="1270"/>
      <c r="AG158" s="1270"/>
      <c r="AH158" s="1270"/>
      <c r="AI158" s="1270"/>
      <c r="AJ158" s="1270"/>
      <c r="AK158" s="1260"/>
      <c r="AL158" s="1271"/>
      <c r="AM158" s="1271"/>
      <c r="AN158" s="1260"/>
      <c r="AO158" s="1268"/>
      <c r="AP158" s="1268"/>
      <c r="AQ158" s="1271"/>
      <c r="AR158" s="1260"/>
      <c r="AS158" s="1268"/>
      <c r="AT158" s="1268"/>
      <c r="AU158" s="1268"/>
      <c r="AV158" s="1272"/>
      <c r="AW158" s="1260"/>
      <c r="AX158" s="2033" t="s">
        <v>1407</v>
      </c>
      <c r="AY158" s="2034"/>
      <c r="AZ158" s="2034"/>
      <c r="BA158" s="2034"/>
      <c r="BB158" s="2034"/>
      <c r="BC158" s="2034"/>
      <c r="BD158" s="2034"/>
      <c r="BE158" s="2035"/>
      <c r="BF158" s="2019" t="s">
        <v>1409</v>
      </c>
      <c r="BG158" s="2020"/>
      <c r="BH158" s="2020"/>
      <c r="BI158" s="2020"/>
      <c r="BJ158" s="2020"/>
      <c r="BK158" s="2020"/>
      <c r="BL158" s="2020"/>
      <c r="BM158" s="2021"/>
      <c r="BN158" s="1279"/>
      <c r="BO158" s="1279"/>
      <c r="BP158" s="1279"/>
      <c r="BQ158" s="1279"/>
      <c r="BR158" s="865"/>
      <c r="BS158" s="865"/>
      <c r="BT158" s="865"/>
      <c r="BU158" s="865"/>
      <c r="BV158" s="865"/>
      <c r="BW158" s="865"/>
      <c r="BX158" s="865"/>
      <c r="BY158" s="865"/>
      <c r="BZ158" s="865"/>
      <c r="CA158" s="865"/>
      <c r="CB158" s="865"/>
    </row>
    <row r="159" spans="1:80" ht="14.25" thickTop="1" thickBot="1">
      <c r="A159" s="671"/>
      <c r="B159" s="1263"/>
      <c r="C159" s="1328">
        <f>IF(Kalkulation!B118&lt;137,1,Kalkulation!BW36)</f>
        <v>1</v>
      </c>
      <c r="D159" s="1934" t="str">
        <f>IF(Kalkulation!$B$118&lt;137,"Eigenverbrauchsanlage",IF($C$159=1,"Eigenverbrauchsanlage","Volleinspeisungsanlage"))</f>
        <v>Eigenverbrauchsanlage</v>
      </c>
      <c r="E159" s="1935"/>
      <c r="F159" s="1936"/>
      <c r="G159" s="1937" t="str">
        <f>IF(Kalkulation!$B$118&lt;137,"Eigenverbrauchsanlage",IF($C$159=1,"Eigenverbrauchsanlage","Volleinspeisungsanlage"))</f>
        <v>Eigenverbrauchsanlage</v>
      </c>
      <c r="H159" s="1938"/>
      <c r="I159" s="1939"/>
      <c r="J159" s="1940" t="str">
        <f>IF(Kalkulation!$B$118&lt;137,"Eigenverbrauchsanlage",IF($C$159=1,"Eigenverbrauchsanlage","Volleinspeisungsanlage"))</f>
        <v>Eigenverbrauchsanlage</v>
      </c>
      <c r="K159" s="1941"/>
      <c r="L159" s="1942"/>
      <c r="M159" s="2031"/>
      <c r="N159" s="1943"/>
      <c r="O159" s="2032"/>
      <c r="P159" s="468"/>
      <c r="Q159" s="895"/>
      <c r="R159" s="468"/>
      <c r="S159" s="2009" t="str">
        <f>IF(Kalkulation!$B$118&lt;137,"Eigenverbrauchsanlage",IF($C$159=1,"Eigenverbrauchsanlage","Volleinspeisungsanlage"))</f>
        <v>Eigenverbrauchsanlage</v>
      </c>
      <c r="T159" s="2007"/>
      <c r="U159" s="2008"/>
      <c r="V159" s="468"/>
      <c r="W159" s="491"/>
      <c r="X159" s="613"/>
      <c r="Y159" s="468"/>
      <c r="Z159" s="1256"/>
      <c r="AA159" s="1273"/>
      <c r="AB159" s="1274"/>
      <c r="AC159" s="1275"/>
      <c r="AD159" s="1275"/>
      <c r="AE159" s="1275"/>
      <c r="AF159" s="1275"/>
      <c r="AG159" s="1275"/>
      <c r="AH159" s="1275"/>
      <c r="AI159" s="1275"/>
      <c r="AJ159" s="1275"/>
      <c r="AK159" s="1260"/>
      <c r="AL159" s="1261"/>
      <c r="AM159" s="1261"/>
      <c r="AN159" s="1260"/>
      <c r="AO159" s="1273"/>
      <c r="AP159" s="1273"/>
      <c r="AQ159" s="1261"/>
      <c r="AR159" s="1260"/>
      <c r="AS159" s="1273"/>
      <c r="AT159" s="1273"/>
      <c r="AU159" s="1273"/>
      <c r="AV159" s="1276"/>
      <c r="AW159" s="1260"/>
      <c r="AX159" s="2036" t="s">
        <v>1408</v>
      </c>
      <c r="AY159" s="2037"/>
      <c r="AZ159" s="2037"/>
      <c r="BA159" s="2037"/>
      <c r="BB159" s="2037"/>
      <c r="BC159" s="2037"/>
      <c r="BD159" s="2037"/>
      <c r="BE159" s="2038"/>
      <c r="BF159" s="2022" t="s">
        <v>1408</v>
      </c>
      <c r="BG159" s="2023"/>
      <c r="BH159" s="2023"/>
      <c r="BI159" s="2023"/>
      <c r="BJ159" s="2023"/>
      <c r="BK159" s="2023"/>
      <c r="BL159" s="2023"/>
      <c r="BM159" s="2024"/>
      <c r="BN159" s="1279"/>
      <c r="BO159" s="1279"/>
      <c r="BP159" s="1279"/>
      <c r="BQ159" s="1279"/>
      <c r="BR159" s="865"/>
      <c r="BS159" s="865"/>
      <c r="BT159" s="865"/>
      <c r="BU159" s="865"/>
      <c r="BV159" s="865"/>
      <c r="BW159" s="865"/>
      <c r="BX159" s="865"/>
      <c r="BY159" s="865"/>
      <c r="BZ159" s="865"/>
      <c r="CA159" s="865"/>
      <c r="CB159" s="865"/>
    </row>
    <row r="160" spans="1:80" ht="14.25" thickTop="1" thickBot="1">
      <c r="A160" s="673">
        <v>137</v>
      </c>
      <c r="B160" s="674">
        <v>8</v>
      </c>
      <c r="C160" s="1291" t="s">
        <v>1532</v>
      </c>
      <c r="D160" s="1300"/>
      <c r="E160" s="1264">
        <f>IF(Kalkulation!$B$118&lt;137,$AY160,IF($C$159=1,$AY160,$BG160))</f>
        <v>8.5999999999999993E-2</v>
      </c>
      <c r="F160" s="662">
        <f t="shared" ref="F160:F163" si="17">IF(E160&gt;0,E160-0.004,0)</f>
        <v>8.199999999999999E-2</v>
      </c>
      <c r="G160" s="1001"/>
      <c r="H160" s="1265">
        <f>IF(Kalkulation!$B$118&lt;137,$BA160,IF($C$159=1,$BA160,$BI160))</f>
        <v>7.4999999999999997E-2</v>
      </c>
      <c r="I160" s="662">
        <f t="shared" ref="I160:I163" si="18">IF(H160&gt;0,H160-0.004,0)</f>
        <v>7.0999999999999994E-2</v>
      </c>
      <c r="J160" s="1002"/>
      <c r="K160" s="1266">
        <f>IF(Kalkulation!$B$118&lt;137,$BC160,IF($C$159=1,$BC160,$BK160))</f>
        <v>6.2E-2</v>
      </c>
      <c r="L160" s="662">
        <f t="shared" ref="L160:L163" si="19">IF(K160&gt;0,K160-0.004,0)</f>
        <v>5.7999999999999996E-2</v>
      </c>
      <c r="M160" s="1003"/>
      <c r="N160" s="1266"/>
      <c r="O160" s="665"/>
      <c r="P160" s="468"/>
      <c r="Q160" s="1006"/>
      <c r="R160" s="468"/>
      <c r="S160" s="1004">
        <v>1.4E-2</v>
      </c>
      <c r="T160" s="1267">
        <v>4.5999999999999999E-2</v>
      </c>
      <c r="U160" s="1267">
        <f t="shared" ref="U160:U162" si="20">IF(T160&gt;0,T160-0.004,0)</f>
        <v>4.1999999999999996E-2</v>
      </c>
      <c r="V160" s="468"/>
      <c r="W160" s="491"/>
      <c r="X160" s="505"/>
      <c r="Y160" s="468"/>
      <c r="Z160" s="907">
        <v>100</v>
      </c>
      <c r="AA160" s="499">
        <v>20000</v>
      </c>
      <c r="AB160" s="500">
        <v>0.2</v>
      </c>
      <c r="AC160" s="496"/>
      <c r="AD160" s="497"/>
      <c r="AE160" s="496"/>
      <c r="AF160" s="497"/>
      <c r="AG160" s="496"/>
      <c r="AH160" s="497"/>
      <c r="AI160" s="496"/>
      <c r="AJ160" s="497"/>
      <c r="AK160" s="206"/>
      <c r="AL160" s="642">
        <v>100</v>
      </c>
      <c r="AM160" s="642">
        <v>100</v>
      </c>
      <c r="AN160" s="206"/>
      <c r="AO160" s="499">
        <f>IF(OR(Kalkulation!$B$116=2,Kalkulation!$B$116=4),750,IF(Kalkulation!$B$118&lt;137,750,IF($C$159=1,750,300)))</f>
        <v>750</v>
      </c>
      <c r="AP160" s="499">
        <v>4</v>
      </c>
      <c r="AQ160" s="642"/>
      <c r="AR160" s="206"/>
      <c r="AS160" s="1243">
        <v>300</v>
      </c>
      <c r="AT160" s="1243">
        <v>80</v>
      </c>
      <c r="AU160" s="499">
        <f t="shared" ref="AU160:AU167" si="21">AA160</f>
        <v>20000</v>
      </c>
      <c r="AV160" s="499">
        <f t="shared" ref="AV160:AV167" si="22">AU160*2000</f>
        <v>40000000</v>
      </c>
      <c r="AW160" s="206"/>
      <c r="AX160" s="1280">
        <v>10</v>
      </c>
      <c r="AY160" s="1281">
        <v>8.5999999999999993E-2</v>
      </c>
      <c r="AZ160" s="1282">
        <v>40</v>
      </c>
      <c r="BA160" s="1281">
        <v>7.4999999999999997E-2</v>
      </c>
      <c r="BB160" s="1283">
        <v>750</v>
      </c>
      <c r="BC160" s="1281">
        <v>6.2E-2</v>
      </c>
      <c r="BD160" s="1347"/>
      <c r="BE160" s="1281"/>
      <c r="BF160" s="1284">
        <v>10</v>
      </c>
      <c r="BG160" s="1285">
        <v>0.13400000000000001</v>
      </c>
      <c r="BH160" s="1286">
        <v>100</v>
      </c>
      <c r="BI160" s="1285">
        <v>0.113</v>
      </c>
      <c r="BJ160" s="1287">
        <v>300</v>
      </c>
      <c r="BK160" s="1285">
        <v>9.4E-2</v>
      </c>
      <c r="BL160" s="1288"/>
      <c r="BM160" s="1285"/>
      <c r="BN160" s="1279"/>
      <c r="BO160" s="1279"/>
      <c r="BP160" s="1279"/>
      <c r="BQ160" s="1279"/>
      <c r="BR160" s="865"/>
      <c r="BS160" s="865"/>
      <c r="BT160" s="865"/>
      <c r="BU160" s="865"/>
      <c r="BV160" s="865"/>
      <c r="BW160" s="865"/>
      <c r="BX160" s="865"/>
      <c r="BY160" s="865"/>
      <c r="BZ160" s="865"/>
      <c r="CA160" s="865"/>
      <c r="CB160" s="865"/>
    </row>
    <row r="161" spans="1:80" ht="14.25" thickTop="1" thickBot="1">
      <c r="A161" s="673">
        <v>138</v>
      </c>
      <c r="B161" s="674">
        <v>9</v>
      </c>
      <c r="C161" s="1292" t="s">
        <v>1410</v>
      </c>
      <c r="D161" s="1149"/>
      <c r="E161" s="1054">
        <f>IF(Kalkulation!$B$118&lt;137,$AY161,IF($C$159=1,$AY161,$BG161))</f>
        <v>8.5999999999999993E-2</v>
      </c>
      <c r="F161" s="661">
        <f t="shared" si="17"/>
        <v>8.199999999999999E-2</v>
      </c>
      <c r="G161" s="1001"/>
      <c r="H161" s="922">
        <f>IF(Kalkulation!$B$118&lt;137,$BA161,IF($C$159=1,$BA161,$BI161))</f>
        <v>7.4999999999999997E-2</v>
      </c>
      <c r="I161" s="661">
        <f t="shared" si="18"/>
        <v>7.0999999999999994E-2</v>
      </c>
      <c r="J161" s="1002"/>
      <c r="K161" s="923">
        <f>IF(Kalkulation!$B$118&lt;137,$BC161,IF($C$159=1,$BC161,$BK161))</f>
        <v>6.2E-2</v>
      </c>
      <c r="L161" s="661">
        <f t="shared" si="19"/>
        <v>5.7999999999999996E-2</v>
      </c>
      <c r="M161" s="1003"/>
      <c r="N161" s="923"/>
      <c r="O161" s="666"/>
      <c r="P161" s="468"/>
      <c r="Q161" s="1006"/>
      <c r="R161" s="468"/>
      <c r="S161" s="1004">
        <v>1.4E-2</v>
      </c>
      <c r="T161" s="924">
        <v>4.53E-2</v>
      </c>
      <c r="U161" s="924">
        <f t="shared" si="20"/>
        <v>4.1300000000000003E-2</v>
      </c>
      <c r="V161" s="468"/>
      <c r="W161" s="491"/>
      <c r="X161" s="505"/>
      <c r="Y161" s="468"/>
      <c r="Z161" s="907">
        <v>100</v>
      </c>
      <c r="AA161" s="499">
        <v>20000</v>
      </c>
      <c r="AB161" s="500">
        <v>0.2</v>
      </c>
      <c r="AC161" s="496"/>
      <c r="AD161" s="497"/>
      <c r="AE161" s="496"/>
      <c r="AF161" s="497"/>
      <c r="AG161" s="496"/>
      <c r="AH161" s="497"/>
      <c r="AI161" s="496"/>
      <c r="AJ161" s="497"/>
      <c r="AK161" s="206"/>
      <c r="AL161" s="642">
        <v>100</v>
      </c>
      <c r="AM161" s="642">
        <v>100</v>
      </c>
      <c r="AN161" s="206"/>
      <c r="AO161" s="499">
        <f>IF(OR(Kalkulation!$B$116=2,Kalkulation!$B$116=4),750,IF(Kalkulation!$B$118&lt;137,750,IF($C$159=1,750,300)))</f>
        <v>750</v>
      </c>
      <c r="AP161" s="499">
        <v>4</v>
      </c>
      <c r="AQ161" s="642"/>
      <c r="AR161" s="206"/>
      <c r="AS161" s="1243">
        <v>300</v>
      </c>
      <c r="AT161" s="1243">
        <v>80</v>
      </c>
      <c r="AU161" s="499">
        <f t="shared" si="21"/>
        <v>20000</v>
      </c>
      <c r="AV161" s="499">
        <f t="shared" si="22"/>
        <v>40000000</v>
      </c>
      <c r="AW161" s="206"/>
      <c r="AX161" s="1280">
        <v>10</v>
      </c>
      <c r="AY161" s="1281">
        <v>8.5999999999999993E-2</v>
      </c>
      <c r="AZ161" s="1282">
        <v>40</v>
      </c>
      <c r="BA161" s="1281">
        <v>7.4999999999999997E-2</v>
      </c>
      <c r="BB161" s="1283">
        <v>750</v>
      </c>
      <c r="BC161" s="1281">
        <v>6.2E-2</v>
      </c>
      <c r="BD161" s="1347"/>
      <c r="BE161" s="1281"/>
      <c r="BF161" s="1284">
        <v>10</v>
      </c>
      <c r="BG161" s="1285">
        <v>0.13400000000000001</v>
      </c>
      <c r="BH161" s="1286">
        <v>100</v>
      </c>
      <c r="BI161" s="1285">
        <v>0.113</v>
      </c>
      <c r="BJ161" s="1287">
        <v>300</v>
      </c>
      <c r="BK161" s="1285">
        <v>9.4E-2</v>
      </c>
      <c r="BL161" s="1288"/>
      <c r="BM161" s="1285"/>
      <c r="BN161" s="1279"/>
      <c r="BO161" s="1279"/>
      <c r="BP161" s="1279"/>
      <c r="BQ161" s="1279"/>
      <c r="BR161" s="865"/>
      <c r="BS161" s="865"/>
      <c r="BT161" s="865"/>
      <c r="BU161" s="865"/>
      <c r="BV161" s="865"/>
      <c r="BW161" s="865"/>
      <c r="BX161" s="865"/>
      <c r="BY161" s="865"/>
      <c r="BZ161" s="865"/>
      <c r="CA161" s="865"/>
      <c r="CB161" s="865"/>
    </row>
    <row r="162" spans="1:80" ht="14.25" thickTop="1" thickBot="1">
      <c r="A162" s="673">
        <v>139</v>
      </c>
      <c r="B162" s="674">
        <v>10</v>
      </c>
      <c r="C162" s="1292" t="s">
        <v>1411</v>
      </c>
      <c r="D162" s="1149"/>
      <c r="E162" s="1054">
        <f>IF(Kalkulation!$B$118&lt;137,$AY162,IF($C$159=1,$AY162,$BG162))</f>
        <v>8.5999999999999993E-2</v>
      </c>
      <c r="F162" s="661">
        <f t="shared" si="17"/>
        <v>8.199999999999999E-2</v>
      </c>
      <c r="G162" s="1001"/>
      <c r="H162" s="922">
        <f>IF(Kalkulation!$B$118&lt;137,$BA162,IF($C$159=1,$BA162,$BI162))</f>
        <v>7.4999999999999997E-2</v>
      </c>
      <c r="I162" s="661">
        <f t="shared" si="18"/>
        <v>7.0999999999999994E-2</v>
      </c>
      <c r="J162" s="1002"/>
      <c r="K162" s="923">
        <f>IF(Kalkulation!$B$118&lt;137,$BC162,IF($C$159=1,$BC162,$BK162))</f>
        <v>6.2E-2</v>
      </c>
      <c r="L162" s="661">
        <f t="shared" si="19"/>
        <v>5.7999999999999996E-2</v>
      </c>
      <c r="M162" s="1003"/>
      <c r="N162" s="923"/>
      <c r="O162" s="666"/>
      <c r="P162" s="468"/>
      <c r="Q162" s="1006"/>
      <c r="R162" s="468"/>
      <c r="S162" s="1004">
        <v>1.4E-2</v>
      </c>
      <c r="T162" s="924">
        <v>4.4699999999999997E-2</v>
      </c>
      <c r="U162" s="924">
        <f t="shared" si="20"/>
        <v>4.07E-2</v>
      </c>
      <c r="V162" s="468"/>
      <c r="W162" s="491"/>
      <c r="X162" s="505"/>
      <c r="Y162" s="468"/>
      <c r="Z162" s="907">
        <v>100</v>
      </c>
      <c r="AA162" s="499">
        <v>20000</v>
      </c>
      <c r="AB162" s="500">
        <v>0.2</v>
      </c>
      <c r="AC162" s="496"/>
      <c r="AD162" s="497"/>
      <c r="AE162" s="496"/>
      <c r="AF162" s="497"/>
      <c r="AG162" s="496"/>
      <c r="AH162" s="497"/>
      <c r="AI162" s="496"/>
      <c r="AJ162" s="497"/>
      <c r="AK162" s="206"/>
      <c r="AL162" s="642">
        <v>100</v>
      </c>
      <c r="AM162" s="642">
        <v>100</v>
      </c>
      <c r="AN162" s="206"/>
      <c r="AO162" s="499">
        <f>IF(OR(Kalkulation!$B$116=2,Kalkulation!$B$116=4),750,IF(Kalkulation!$B$118&lt;137,750,IF($C$159=1,750,300)))</f>
        <v>750</v>
      </c>
      <c r="AP162" s="499">
        <v>4</v>
      </c>
      <c r="AQ162" s="642"/>
      <c r="AR162" s="206"/>
      <c r="AS162" s="1243">
        <v>300</v>
      </c>
      <c r="AT162" s="1243">
        <v>80</v>
      </c>
      <c r="AU162" s="499">
        <f t="shared" si="21"/>
        <v>20000</v>
      </c>
      <c r="AV162" s="499">
        <f t="shared" si="22"/>
        <v>40000000</v>
      </c>
      <c r="AW162" s="206"/>
      <c r="AX162" s="1280">
        <v>10</v>
      </c>
      <c r="AY162" s="1281">
        <v>8.5999999999999993E-2</v>
      </c>
      <c r="AZ162" s="1282">
        <v>40</v>
      </c>
      <c r="BA162" s="1281">
        <v>7.4999999999999997E-2</v>
      </c>
      <c r="BB162" s="1283">
        <v>750</v>
      </c>
      <c r="BC162" s="1281">
        <v>6.2E-2</v>
      </c>
      <c r="BD162" s="1347"/>
      <c r="BE162" s="1281"/>
      <c r="BF162" s="1284">
        <v>10</v>
      </c>
      <c r="BG162" s="1285">
        <v>0.13400000000000001</v>
      </c>
      <c r="BH162" s="1286">
        <v>100</v>
      </c>
      <c r="BI162" s="1285">
        <v>0.113</v>
      </c>
      <c r="BJ162" s="1287">
        <v>300</v>
      </c>
      <c r="BK162" s="1285">
        <v>9.4E-2</v>
      </c>
      <c r="BL162" s="1288"/>
      <c r="BM162" s="1285"/>
      <c r="BN162" s="1279"/>
      <c r="BO162" s="1279"/>
      <c r="BP162" s="1279"/>
      <c r="BQ162" s="1279"/>
      <c r="BR162" s="865"/>
      <c r="BS162" s="865"/>
      <c r="BT162" s="865"/>
      <c r="BU162" s="865"/>
      <c r="BV162" s="865"/>
      <c r="BW162" s="865"/>
      <c r="BX162" s="865"/>
      <c r="BY162" s="865"/>
      <c r="BZ162" s="865"/>
      <c r="CA162" s="865"/>
      <c r="CB162" s="865"/>
    </row>
    <row r="163" spans="1:80" ht="14.25" thickTop="1" thickBot="1">
      <c r="A163" s="673">
        <v>140</v>
      </c>
      <c r="B163" s="674">
        <v>11</v>
      </c>
      <c r="C163" s="1292" t="s">
        <v>1412</v>
      </c>
      <c r="D163" s="1149"/>
      <c r="E163" s="1054">
        <f>IF(Kalkulation!$B$118&lt;137,$AY163,IF($C$159=1,$AY163,$BG163))</f>
        <v>8.5999999999999993E-2</v>
      </c>
      <c r="F163" s="661">
        <f t="shared" si="17"/>
        <v>8.199999999999999E-2</v>
      </c>
      <c r="G163" s="1001"/>
      <c r="H163" s="922">
        <f>IF(Kalkulation!$B$118&lt;137,$BA163,IF($C$159=1,$BA163,$BI163))</f>
        <v>7.4999999999999997E-2</v>
      </c>
      <c r="I163" s="661">
        <f t="shared" si="18"/>
        <v>7.0999999999999994E-2</v>
      </c>
      <c r="J163" s="1002"/>
      <c r="K163" s="923">
        <f>IF(Kalkulation!$B$118&lt;137,$BC163,IF($C$159=1,$BC163,$BK163))</f>
        <v>6.2E-2</v>
      </c>
      <c r="L163" s="661">
        <f t="shared" si="19"/>
        <v>5.7999999999999996E-2</v>
      </c>
      <c r="M163" s="1003"/>
      <c r="N163" s="923"/>
      <c r="O163" s="666"/>
      <c r="P163" s="468"/>
      <c r="Q163" s="1006"/>
      <c r="R163" s="468"/>
      <c r="S163" s="1004"/>
      <c r="T163" s="924"/>
      <c r="U163" s="924"/>
      <c r="V163" s="468"/>
      <c r="W163" s="491"/>
      <c r="X163" s="505"/>
      <c r="Y163" s="468"/>
      <c r="Z163" s="907">
        <v>100</v>
      </c>
      <c r="AA163" s="499">
        <v>20000</v>
      </c>
      <c r="AB163" s="500">
        <v>0.2</v>
      </c>
      <c r="AC163" s="496"/>
      <c r="AD163" s="497"/>
      <c r="AE163" s="496"/>
      <c r="AF163" s="497"/>
      <c r="AG163" s="496"/>
      <c r="AH163" s="497"/>
      <c r="AI163" s="496"/>
      <c r="AJ163" s="497"/>
      <c r="AK163" s="206"/>
      <c r="AL163" s="642">
        <v>100</v>
      </c>
      <c r="AM163" s="642">
        <v>100</v>
      </c>
      <c r="AN163" s="206"/>
      <c r="AO163" s="499">
        <f>IF(OR(Kalkulation!$B$116=2,Kalkulation!$B$116=4),750,IF(Kalkulation!$B$118&lt;137,750,IF($C$159=1,750,300)))</f>
        <v>750</v>
      </c>
      <c r="AP163" s="499">
        <v>4</v>
      </c>
      <c r="AQ163" s="642"/>
      <c r="AR163" s="206"/>
      <c r="AS163" s="1243">
        <v>300</v>
      </c>
      <c r="AT163" s="1243">
        <v>80</v>
      </c>
      <c r="AU163" s="499">
        <f t="shared" si="21"/>
        <v>20000</v>
      </c>
      <c r="AV163" s="499">
        <f t="shared" si="22"/>
        <v>40000000</v>
      </c>
      <c r="AW163" s="206"/>
      <c r="AX163" s="1280">
        <v>10</v>
      </c>
      <c r="AY163" s="1281">
        <v>8.5999999999999993E-2</v>
      </c>
      <c r="AZ163" s="1282">
        <v>40</v>
      </c>
      <c r="BA163" s="1281">
        <v>7.4999999999999997E-2</v>
      </c>
      <c r="BB163" s="1283">
        <v>750</v>
      </c>
      <c r="BC163" s="1281">
        <v>6.2E-2</v>
      </c>
      <c r="BD163" s="1347"/>
      <c r="BE163" s="1281"/>
      <c r="BF163" s="1284">
        <v>10</v>
      </c>
      <c r="BG163" s="1285">
        <v>0.13400000000000001</v>
      </c>
      <c r="BH163" s="1286">
        <v>100</v>
      </c>
      <c r="BI163" s="1285">
        <v>0.113</v>
      </c>
      <c r="BJ163" s="1287">
        <v>300</v>
      </c>
      <c r="BK163" s="1285">
        <v>9.4E-2</v>
      </c>
      <c r="BL163" s="1288"/>
      <c r="BM163" s="1285"/>
      <c r="BN163" s="1279"/>
      <c r="BO163" s="1279"/>
      <c r="BP163" s="1279"/>
      <c r="BQ163" s="1279"/>
      <c r="BR163" s="865"/>
      <c r="BS163" s="865"/>
      <c r="BT163" s="865"/>
      <c r="BU163" s="865"/>
      <c r="BV163" s="865"/>
      <c r="BW163" s="865"/>
      <c r="BX163" s="865"/>
      <c r="BY163" s="865"/>
      <c r="BZ163" s="865"/>
      <c r="CA163" s="865"/>
      <c r="CB163" s="865"/>
    </row>
    <row r="164" spans="1:80" ht="14.25" thickTop="1" thickBot="1">
      <c r="A164" s="673">
        <v>141</v>
      </c>
      <c r="B164" s="674">
        <v>12</v>
      </c>
      <c r="C164" s="1292" t="s">
        <v>1413</v>
      </c>
      <c r="D164" s="1149"/>
      <c r="E164" s="1054">
        <f>IF(Kalkulation!$B$118&lt;137,$AY164,IF($C$159=1,$AY164,$BG164))</f>
        <v>8.5999999999999993E-2</v>
      </c>
      <c r="F164" s="661">
        <f t="shared" ref="F164:F190" si="23">IF(E164&gt;0,E164-0.004,0)</f>
        <v>8.199999999999999E-2</v>
      </c>
      <c r="G164" s="1001"/>
      <c r="H164" s="922">
        <f>IF(Kalkulation!$B$118&lt;137,$BA164,IF($C$159=1,$BA164,$BI164))</f>
        <v>7.4999999999999997E-2</v>
      </c>
      <c r="I164" s="661">
        <f t="shared" ref="I164:I190" si="24">IF(H164&gt;0,H164-0.004,0)</f>
        <v>7.0999999999999994E-2</v>
      </c>
      <c r="J164" s="1002"/>
      <c r="K164" s="923">
        <f>IF(Kalkulation!$B$118&lt;137,$BC164,IF($C$159=1,$BC164,$BK164))</f>
        <v>6.2E-2</v>
      </c>
      <c r="L164" s="661">
        <f t="shared" ref="L164:L190" si="25">IF(K164&gt;0,K164-0.004,0)</f>
        <v>5.7999999999999996E-2</v>
      </c>
      <c r="M164" s="1003"/>
      <c r="N164" s="923"/>
      <c r="O164" s="666"/>
      <c r="P164" s="468"/>
      <c r="Q164" s="1006"/>
      <c r="R164" s="468"/>
      <c r="S164" s="1004"/>
      <c r="T164" s="924"/>
      <c r="U164" s="924"/>
      <c r="V164" s="468"/>
      <c r="W164" s="491"/>
      <c r="X164" s="505"/>
      <c r="Y164" s="468"/>
      <c r="Z164" s="907">
        <v>100</v>
      </c>
      <c r="AA164" s="499">
        <v>20000</v>
      </c>
      <c r="AB164" s="500">
        <v>0.2</v>
      </c>
      <c r="AC164" s="496"/>
      <c r="AD164" s="497"/>
      <c r="AE164" s="496"/>
      <c r="AF164" s="497"/>
      <c r="AG164" s="496"/>
      <c r="AH164" s="497"/>
      <c r="AI164" s="496"/>
      <c r="AJ164" s="497"/>
      <c r="AK164" s="206"/>
      <c r="AL164" s="642">
        <v>100</v>
      </c>
      <c r="AM164" s="642">
        <v>100</v>
      </c>
      <c r="AN164" s="206"/>
      <c r="AO164" s="499">
        <f>IF(OR(Kalkulation!$B$116=2,Kalkulation!$B$116=4),750,IF(Kalkulation!$B$118&lt;137,750,IF($C$159=1,750,300)))</f>
        <v>750</v>
      </c>
      <c r="AP164" s="499">
        <v>4</v>
      </c>
      <c r="AQ164" s="642"/>
      <c r="AR164" s="206"/>
      <c r="AS164" s="1243">
        <v>300</v>
      </c>
      <c r="AT164" s="1243">
        <v>80</v>
      </c>
      <c r="AU164" s="499">
        <f t="shared" si="21"/>
        <v>20000</v>
      </c>
      <c r="AV164" s="499">
        <f t="shared" si="22"/>
        <v>40000000</v>
      </c>
      <c r="AW164" s="206"/>
      <c r="AX164" s="1280">
        <v>10</v>
      </c>
      <c r="AY164" s="1281">
        <v>8.5999999999999993E-2</v>
      </c>
      <c r="AZ164" s="1282">
        <v>40</v>
      </c>
      <c r="BA164" s="1281">
        <v>7.4999999999999997E-2</v>
      </c>
      <c r="BB164" s="1283">
        <v>750</v>
      </c>
      <c r="BC164" s="1281">
        <v>6.2E-2</v>
      </c>
      <c r="BD164" s="1347"/>
      <c r="BE164" s="1281"/>
      <c r="BF164" s="1284">
        <v>10</v>
      </c>
      <c r="BG164" s="1285">
        <v>0.13400000000000001</v>
      </c>
      <c r="BH164" s="1286">
        <v>100</v>
      </c>
      <c r="BI164" s="1285">
        <v>0.113</v>
      </c>
      <c r="BJ164" s="1287">
        <v>300</v>
      </c>
      <c r="BK164" s="1285">
        <v>9.4E-2</v>
      </c>
      <c r="BL164" s="1288"/>
      <c r="BM164" s="1285"/>
      <c r="BN164" s="1279"/>
      <c r="BO164" s="1279"/>
      <c r="BP164" s="1279"/>
      <c r="BQ164" s="1279"/>
      <c r="BR164" s="865"/>
      <c r="BS164" s="865"/>
      <c r="BT164" s="865"/>
      <c r="BU164" s="865"/>
      <c r="BV164" s="865"/>
      <c r="BW164" s="865"/>
      <c r="BX164" s="865"/>
      <c r="BY164" s="865"/>
      <c r="BZ164" s="865"/>
      <c r="CA164" s="865"/>
      <c r="CB164" s="865"/>
    </row>
    <row r="165" spans="1:80" ht="15.75" thickTop="1" thickBot="1">
      <c r="A165" s="671"/>
      <c r="B165" s="1263"/>
      <c r="C165" s="1327" t="s">
        <v>1428</v>
      </c>
      <c r="D165" s="1314">
        <v>0</v>
      </c>
      <c r="E165" s="1309">
        <f>IF(Kalkulation!$B$118&lt;137,$AX$167,IF($C$159=1,$AX$167,$BF$167))</f>
        <v>10</v>
      </c>
      <c r="F165" s="1293" t="s">
        <v>379</v>
      </c>
      <c r="G165" s="1310">
        <f>E165</f>
        <v>10</v>
      </c>
      <c r="H165" s="1311">
        <f>IF(Kalkulation!$B$118&lt;137,$AZ$167,IF($C$159=1,$AZ$167,$BH$167))</f>
        <v>40</v>
      </c>
      <c r="I165" s="1302" t="s">
        <v>379</v>
      </c>
      <c r="J165" s="1313">
        <f>H165</f>
        <v>40</v>
      </c>
      <c r="K165" s="1312">
        <f>IF(Kalkulation!$B$118&lt;137,$BB$167,IF($C$159=1,$BB$167,$BJ$167))</f>
        <v>1000</v>
      </c>
      <c r="L165" s="1303" t="s">
        <v>379</v>
      </c>
      <c r="M165" s="1317">
        <f>IF($C$159=1,0,K165)</f>
        <v>0</v>
      </c>
      <c r="N165" s="1319">
        <f>IF(Kalkulation!$B$118&lt;137,0,IF($C$159=1,0,$BL$167))</f>
        <v>0</v>
      </c>
      <c r="O165" s="1301" t="s">
        <v>379</v>
      </c>
      <c r="P165" s="468"/>
      <c r="Q165" s="895"/>
      <c r="R165" s="468"/>
      <c r="S165" s="1322">
        <v>0</v>
      </c>
      <c r="T165" s="1323">
        <f>IF(Kalkulation!$B$118&lt;137,0,IF($C$159=1,BB167,$BL$167))</f>
        <v>1000</v>
      </c>
      <c r="U165" s="1321" t="s">
        <v>379</v>
      </c>
      <c r="V165" s="468"/>
      <c r="W165" s="491"/>
      <c r="X165" s="613"/>
      <c r="Y165" s="468"/>
      <c r="Z165" s="1256"/>
      <c r="AA165" s="1268"/>
      <c r="AB165" s="1269"/>
      <c r="AC165" s="1270"/>
      <c r="AD165" s="1270"/>
      <c r="AE165" s="1270"/>
      <c r="AF165" s="1270"/>
      <c r="AG165" s="1270"/>
      <c r="AH165" s="1270"/>
      <c r="AI165" s="1270"/>
      <c r="AJ165" s="1270"/>
      <c r="AK165" s="1260"/>
      <c r="AL165" s="1271"/>
      <c r="AM165" s="1271"/>
      <c r="AN165" s="1260"/>
      <c r="AO165" s="1268"/>
      <c r="AP165" s="1268"/>
      <c r="AQ165" s="1271"/>
      <c r="AR165" s="1260"/>
      <c r="AS165" s="1268"/>
      <c r="AT165" s="1268"/>
      <c r="AU165" s="1268"/>
      <c r="AV165" s="1272"/>
      <c r="AW165" s="1260"/>
      <c r="AX165" s="2039" t="s">
        <v>1407</v>
      </c>
      <c r="AY165" s="2040"/>
      <c r="AZ165" s="2040"/>
      <c r="BA165" s="2040"/>
      <c r="BB165" s="2040"/>
      <c r="BC165" s="2040"/>
      <c r="BD165" s="2040"/>
      <c r="BE165" s="2041"/>
      <c r="BF165" s="2025" t="s">
        <v>1409</v>
      </c>
      <c r="BG165" s="2026"/>
      <c r="BH165" s="2026"/>
      <c r="BI165" s="2026"/>
      <c r="BJ165" s="2026"/>
      <c r="BK165" s="2026"/>
      <c r="BL165" s="2026"/>
      <c r="BM165" s="2027"/>
      <c r="BN165" s="1279"/>
      <c r="BO165" s="1279"/>
      <c r="BP165" s="1279"/>
      <c r="BQ165" s="1279"/>
      <c r="BR165" s="865"/>
      <c r="BS165" s="865"/>
      <c r="BT165" s="865"/>
      <c r="BU165" s="865"/>
      <c r="BV165" s="865"/>
      <c r="BW165" s="865"/>
      <c r="BX165" s="865"/>
      <c r="BY165" s="865"/>
      <c r="BZ165" s="865"/>
      <c r="CA165" s="865"/>
      <c r="CB165" s="865"/>
    </row>
    <row r="166" spans="1:80" ht="14.25" thickTop="1" thickBot="1">
      <c r="A166" s="671"/>
      <c r="B166" s="1263"/>
      <c r="C166" s="1328">
        <f>IF(Kalkulation!B118&lt;137,1,Kalkulation!BW36)</f>
        <v>1</v>
      </c>
      <c r="D166" s="1934" t="str">
        <f>IF(Kalkulation!$B$118&lt;137,"Eigenverbrauchsanlage",IF($C$166=1,"Eigenverbrauchsanlage","Volleinspeisungsanlage"))</f>
        <v>Eigenverbrauchsanlage</v>
      </c>
      <c r="E166" s="1935"/>
      <c r="F166" s="1936"/>
      <c r="G166" s="1937" t="str">
        <f>IF(Kalkulation!$B$118&lt;137,"Eigenverbrauchsanlage",IF($C$166=1,"Eigenverbrauchsanlage","Volleinspeisungsanlage"))</f>
        <v>Eigenverbrauchsanlage</v>
      </c>
      <c r="H166" s="1938"/>
      <c r="I166" s="1939"/>
      <c r="J166" s="1940" t="str">
        <f>IF(Kalkulation!$B$118&lt;137,"Eigenverbrauchsanlage",IF($C$166=1,"Eigenverbrauchsanlage","Volleinspeisungsanlage"))</f>
        <v>Eigenverbrauchsanlage</v>
      </c>
      <c r="K166" s="1941"/>
      <c r="L166" s="1942"/>
      <c r="M166" s="2031" t="str">
        <f>IF(Kalkulation!$B$118&lt;137,"Eigenverbrauchsanlage",IF($C$166=1,"Eigenverbrauchsanlage","Volleinspeisungsanlage"))</f>
        <v>Eigenverbrauchsanlage</v>
      </c>
      <c r="N166" s="1943"/>
      <c r="O166" s="2032"/>
      <c r="P166" s="468"/>
      <c r="Q166" s="895"/>
      <c r="R166" s="468"/>
      <c r="S166" s="2009" t="str">
        <f>IF(Kalkulation!$B$118&lt;137,"Eigenverbrauchsanlage",IF($C$166=1,"Eigenverbrauchsanlage","Volleinspeisungsanlage"))</f>
        <v>Eigenverbrauchsanlage</v>
      </c>
      <c r="T166" s="2007"/>
      <c r="U166" s="2008"/>
      <c r="V166" s="468"/>
      <c r="W166" s="491"/>
      <c r="X166" s="613"/>
      <c r="Y166" s="468"/>
      <c r="Z166" s="1256"/>
      <c r="AA166" s="1273"/>
      <c r="AB166" s="1274"/>
      <c r="AC166" s="1275"/>
      <c r="AD166" s="1275"/>
      <c r="AE166" s="1275"/>
      <c r="AF166" s="1275"/>
      <c r="AG166" s="1275"/>
      <c r="AH166" s="1275"/>
      <c r="AI166" s="1275"/>
      <c r="AJ166" s="1275"/>
      <c r="AK166" s="1260"/>
      <c r="AL166" s="1261"/>
      <c r="AM166" s="1261"/>
      <c r="AN166" s="1260"/>
      <c r="AO166" s="1273"/>
      <c r="AP166" s="1273"/>
      <c r="AQ166" s="1261"/>
      <c r="AR166" s="1260"/>
      <c r="AS166" s="1273"/>
      <c r="AT166" s="1273"/>
      <c r="AU166" s="1273"/>
      <c r="AV166" s="1276"/>
      <c r="AW166" s="1260"/>
      <c r="AX166" s="2042" t="s">
        <v>1408</v>
      </c>
      <c r="AY166" s="2043"/>
      <c r="AZ166" s="2043"/>
      <c r="BA166" s="2043"/>
      <c r="BB166" s="2043"/>
      <c r="BC166" s="2043"/>
      <c r="BD166" s="2043"/>
      <c r="BE166" s="2044"/>
      <c r="BF166" s="2028" t="s">
        <v>1408</v>
      </c>
      <c r="BG166" s="2029"/>
      <c r="BH166" s="2029"/>
      <c r="BI166" s="2029"/>
      <c r="BJ166" s="2029"/>
      <c r="BK166" s="2029"/>
      <c r="BL166" s="2029"/>
      <c r="BM166" s="2030"/>
      <c r="BN166" s="1279"/>
      <c r="BO166" s="1279"/>
      <c r="BP166" s="1279"/>
      <c r="BQ166" s="1279"/>
      <c r="BR166" s="865"/>
      <c r="BS166" s="865"/>
      <c r="BT166" s="865"/>
      <c r="BU166" s="865"/>
      <c r="BV166" s="865"/>
      <c r="BW166" s="865"/>
      <c r="BX166" s="865"/>
      <c r="BY166" s="865"/>
      <c r="BZ166" s="865"/>
      <c r="CA166" s="865"/>
      <c r="CB166" s="865"/>
    </row>
    <row r="167" spans="1:80" ht="14.25" thickTop="1" thickBot="1">
      <c r="A167" s="673">
        <v>142</v>
      </c>
      <c r="B167" s="674">
        <v>1</v>
      </c>
      <c r="C167" s="1292" t="s">
        <v>1414</v>
      </c>
      <c r="D167" s="1149"/>
      <c r="E167" s="1054">
        <f>IF(Kalkulation!$B$118&lt;137,$AY167,IF($C$166=1,$AY167,$BG167))</f>
        <v>8.5999999999999993E-2</v>
      </c>
      <c r="F167" s="661">
        <f t="shared" si="23"/>
        <v>8.199999999999999E-2</v>
      </c>
      <c r="G167" s="1001"/>
      <c r="H167" s="922">
        <f>IF(Kalkulation!$B$118&lt;137,$BA167,IF($C$166=1,$BA167,$BI167))</f>
        <v>7.4999999999999997E-2</v>
      </c>
      <c r="I167" s="661">
        <f t="shared" si="24"/>
        <v>7.0999999999999994E-2</v>
      </c>
      <c r="J167" s="1002"/>
      <c r="K167" s="923">
        <f>IF(Kalkulation!$B$118&lt;137,$BC167,IF($C$166=1,$BC167,$BK167))</f>
        <v>6.2E-2</v>
      </c>
      <c r="L167" s="661">
        <f t="shared" si="25"/>
        <v>5.7999999999999996E-2</v>
      </c>
      <c r="M167" s="1003"/>
      <c r="N167" s="923">
        <f>IF(Kalkulation!$B$118&lt;137,0,IF($C$166=1,$BE167,$BM167))</f>
        <v>0</v>
      </c>
      <c r="O167" s="666">
        <f t="shared" ref="O167:O190" si="26">IF(N167&gt;0,N167-0.004,0)</f>
        <v>0</v>
      </c>
      <c r="P167" s="468"/>
      <c r="Q167" s="1006"/>
      <c r="R167" s="468"/>
      <c r="S167" s="1004"/>
      <c r="T167" s="924">
        <v>7.0000000000000007E-2</v>
      </c>
      <c r="U167" s="924">
        <f t="shared" ref="U167:U190" si="27">IF(T167&gt;0,T167-0.004,0)</f>
        <v>6.6000000000000003E-2</v>
      </c>
      <c r="V167" s="468"/>
      <c r="W167" s="491"/>
      <c r="X167" s="505"/>
      <c r="Y167" s="468"/>
      <c r="Z167" s="907">
        <v>100</v>
      </c>
      <c r="AA167" s="499">
        <v>20000</v>
      </c>
      <c r="AB167" s="500">
        <v>0.2</v>
      </c>
      <c r="AC167" s="496"/>
      <c r="AD167" s="497"/>
      <c r="AE167" s="496"/>
      <c r="AF167" s="497"/>
      <c r="AG167" s="496"/>
      <c r="AH167" s="497"/>
      <c r="AI167" s="496"/>
      <c r="AJ167" s="497"/>
      <c r="AK167" s="206"/>
      <c r="AL167" s="642">
        <v>100</v>
      </c>
      <c r="AM167" s="642">
        <v>100</v>
      </c>
      <c r="AN167" s="206"/>
      <c r="AO167" s="499">
        <v>1000</v>
      </c>
      <c r="AP167" s="499">
        <v>4</v>
      </c>
      <c r="AQ167" s="642"/>
      <c r="AR167" s="206"/>
      <c r="AS167" s="1243">
        <v>300</v>
      </c>
      <c r="AT167" s="1243">
        <v>100</v>
      </c>
      <c r="AU167" s="499">
        <f t="shared" si="21"/>
        <v>20000</v>
      </c>
      <c r="AV167" s="499">
        <f t="shared" si="22"/>
        <v>40000000</v>
      </c>
      <c r="AW167" s="206"/>
      <c r="AX167" s="1280">
        <v>10</v>
      </c>
      <c r="AY167" s="1281">
        <v>8.5999999999999993E-2</v>
      </c>
      <c r="AZ167" s="1282">
        <v>40</v>
      </c>
      <c r="BA167" s="1281">
        <v>7.4999999999999997E-2</v>
      </c>
      <c r="BB167" s="1283">
        <v>1000</v>
      </c>
      <c r="BC167" s="1281">
        <v>6.2E-2</v>
      </c>
      <c r="BD167" s="1347"/>
      <c r="BE167" s="1281"/>
      <c r="BF167" s="1284">
        <v>10</v>
      </c>
      <c r="BG167" s="1285">
        <v>0.13400000000000001</v>
      </c>
      <c r="BH167" s="1286">
        <v>100</v>
      </c>
      <c r="BI167" s="1285">
        <v>0.113</v>
      </c>
      <c r="BJ167" s="1287">
        <v>400</v>
      </c>
      <c r="BK167" s="1285">
        <v>9.4E-2</v>
      </c>
      <c r="BL167" s="1289">
        <v>1000</v>
      </c>
      <c r="BM167" s="1285">
        <v>8.1000000000000003E-2</v>
      </c>
      <c r="BN167" s="1279"/>
      <c r="BO167" s="1279"/>
      <c r="BP167" s="1279"/>
      <c r="BQ167" s="1279"/>
      <c r="BR167" s="865"/>
      <c r="BS167" s="865"/>
      <c r="BT167" s="865"/>
      <c r="BU167" s="865"/>
      <c r="BV167" s="865"/>
      <c r="BW167" s="865"/>
      <c r="BX167" s="865"/>
      <c r="BY167" s="865"/>
      <c r="BZ167" s="865"/>
      <c r="CA167" s="865"/>
      <c r="CB167" s="865"/>
    </row>
    <row r="168" spans="1:80" ht="14.25" thickTop="1" thickBot="1">
      <c r="A168" s="673">
        <v>143</v>
      </c>
      <c r="B168" s="674">
        <v>2</v>
      </c>
      <c r="C168" s="1292" t="s">
        <v>1415</v>
      </c>
      <c r="D168" s="1149"/>
      <c r="E168" s="1054">
        <f>IF(Kalkulation!$B$118&lt;137,$AY168,IF($C$166=1,$AY168,$BG168))</f>
        <v>8.5999999999999993E-2</v>
      </c>
      <c r="F168" s="661">
        <f t="shared" si="23"/>
        <v>8.199999999999999E-2</v>
      </c>
      <c r="G168" s="1001"/>
      <c r="H168" s="922">
        <f>IF(Kalkulation!$B$118&lt;137,$BA168,IF($C$166=1,$BA168,$BI168))</f>
        <v>7.4999999999999997E-2</v>
      </c>
      <c r="I168" s="661">
        <f t="shared" si="24"/>
        <v>7.0999999999999994E-2</v>
      </c>
      <c r="J168" s="1002"/>
      <c r="K168" s="923">
        <f>IF(Kalkulation!$B$118&lt;137,$BC168,IF($C$166=1,$BC168,$BK168))</f>
        <v>6.2E-2</v>
      </c>
      <c r="L168" s="661">
        <f t="shared" si="25"/>
        <v>5.7999999999999996E-2</v>
      </c>
      <c r="M168" s="1003"/>
      <c r="N168" s="923">
        <f>IF(Kalkulation!$B$118&lt;137,0,IF($C$166=1,$BE168,$BM168))</f>
        <v>0</v>
      </c>
      <c r="O168" s="666">
        <f t="shared" si="26"/>
        <v>0</v>
      </c>
      <c r="P168" s="468"/>
      <c r="Q168" s="1006"/>
      <c r="R168" s="468"/>
      <c r="S168" s="1004"/>
      <c r="T168" s="924">
        <v>7.0000000000000007E-2</v>
      </c>
      <c r="U168" s="924">
        <f t="shared" si="27"/>
        <v>6.6000000000000003E-2</v>
      </c>
      <c r="V168" s="468"/>
      <c r="W168" s="491"/>
      <c r="X168" s="505"/>
      <c r="Y168" s="468"/>
      <c r="Z168" s="907">
        <v>100</v>
      </c>
      <c r="AA168" s="499">
        <v>20000</v>
      </c>
      <c r="AB168" s="500">
        <v>0.2</v>
      </c>
      <c r="AC168" s="496"/>
      <c r="AD168" s="497"/>
      <c r="AE168" s="496"/>
      <c r="AF168" s="497"/>
      <c r="AG168" s="496"/>
      <c r="AH168" s="497"/>
      <c r="AI168" s="496"/>
      <c r="AJ168" s="497"/>
      <c r="AK168" s="206"/>
      <c r="AL168" s="642">
        <v>100</v>
      </c>
      <c r="AM168" s="642">
        <v>100</v>
      </c>
      <c r="AN168" s="206"/>
      <c r="AO168" s="499">
        <v>1000</v>
      </c>
      <c r="AP168" s="499">
        <v>4</v>
      </c>
      <c r="AQ168" s="642"/>
      <c r="AR168" s="206"/>
      <c r="AS168" s="1243">
        <v>300</v>
      </c>
      <c r="AT168" s="1243">
        <v>100</v>
      </c>
      <c r="AU168" s="499">
        <f t="shared" ref="AU168:AU190" si="28">AA168</f>
        <v>20000</v>
      </c>
      <c r="AV168" s="499">
        <f t="shared" ref="AV168:AV190" si="29">AU168*2000</f>
        <v>40000000</v>
      </c>
      <c r="AW168" s="206"/>
      <c r="AX168" s="1280">
        <v>10</v>
      </c>
      <c r="AY168" s="1281">
        <v>8.5999999999999993E-2</v>
      </c>
      <c r="AZ168" s="1282">
        <v>40</v>
      </c>
      <c r="BA168" s="1281">
        <v>7.4999999999999997E-2</v>
      </c>
      <c r="BB168" s="1283">
        <v>1000</v>
      </c>
      <c r="BC168" s="1281">
        <v>6.2E-2</v>
      </c>
      <c r="BD168" s="1347"/>
      <c r="BE168" s="1281"/>
      <c r="BF168" s="1284">
        <v>10</v>
      </c>
      <c r="BG168" s="1285">
        <v>0.13400000000000001</v>
      </c>
      <c r="BH168" s="1286">
        <v>100</v>
      </c>
      <c r="BI168" s="1285">
        <v>0.113</v>
      </c>
      <c r="BJ168" s="1287">
        <v>400</v>
      </c>
      <c r="BK168" s="1285">
        <v>9.4E-2</v>
      </c>
      <c r="BL168" s="1289">
        <v>1000</v>
      </c>
      <c r="BM168" s="1285">
        <v>8.1000000000000003E-2</v>
      </c>
      <c r="BN168" s="1279"/>
      <c r="BO168" s="1279"/>
      <c r="BP168" s="1279"/>
      <c r="BQ168" s="1279"/>
      <c r="BR168" s="865"/>
      <c r="BS168" s="865"/>
      <c r="BT168" s="865"/>
      <c r="BU168" s="865"/>
      <c r="BV168" s="865"/>
      <c r="BW168" s="865"/>
      <c r="BX168" s="865"/>
      <c r="BY168" s="865"/>
      <c r="BZ168" s="865"/>
      <c r="CA168" s="865"/>
      <c r="CB168" s="865"/>
    </row>
    <row r="169" spans="1:80" ht="14.25" thickTop="1" thickBot="1">
      <c r="A169" s="673">
        <v>144</v>
      </c>
      <c r="B169" s="674">
        <v>3</v>
      </c>
      <c r="C169" s="1292" t="s">
        <v>1416</v>
      </c>
      <c r="D169" s="1149"/>
      <c r="E169" s="1054">
        <f>IF(Kalkulation!$B$118&lt;137,$AY169,IF($C$166=1,$AY169,$BG169))</f>
        <v>8.5999999999999993E-2</v>
      </c>
      <c r="F169" s="661">
        <f t="shared" si="23"/>
        <v>8.199999999999999E-2</v>
      </c>
      <c r="G169" s="1001"/>
      <c r="H169" s="922">
        <f>IF(Kalkulation!$B$118&lt;137,$BA169,IF($C$166=1,$BA169,$BI169))</f>
        <v>7.4999999999999997E-2</v>
      </c>
      <c r="I169" s="661">
        <f t="shared" si="24"/>
        <v>7.0999999999999994E-2</v>
      </c>
      <c r="J169" s="1002"/>
      <c r="K169" s="923">
        <f>IF(Kalkulation!$B$118&lt;137,$BC169,IF($C$166=1,$BC169,$BK169))</f>
        <v>6.2E-2</v>
      </c>
      <c r="L169" s="661">
        <f t="shared" si="25"/>
        <v>5.7999999999999996E-2</v>
      </c>
      <c r="M169" s="1003"/>
      <c r="N169" s="923">
        <f>IF(Kalkulation!$B$118&lt;137,0,IF($C$166=1,$BE169,$BM169))</f>
        <v>0</v>
      </c>
      <c r="O169" s="666">
        <f t="shared" si="26"/>
        <v>0</v>
      </c>
      <c r="P169" s="468"/>
      <c r="Q169" s="1006"/>
      <c r="R169" s="468"/>
      <c r="S169" s="1004"/>
      <c r="T169" s="924">
        <v>7.0000000000000007E-2</v>
      </c>
      <c r="U169" s="924">
        <f t="shared" si="27"/>
        <v>6.6000000000000003E-2</v>
      </c>
      <c r="V169" s="468"/>
      <c r="W169" s="491"/>
      <c r="X169" s="505"/>
      <c r="Y169" s="468"/>
      <c r="Z169" s="907">
        <v>100</v>
      </c>
      <c r="AA169" s="499">
        <v>20000</v>
      </c>
      <c r="AB169" s="500">
        <v>0.2</v>
      </c>
      <c r="AC169" s="496"/>
      <c r="AD169" s="497"/>
      <c r="AE169" s="496"/>
      <c r="AF169" s="497"/>
      <c r="AG169" s="496"/>
      <c r="AH169" s="497"/>
      <c r="AI169" s="496"/>
      <c r="AJ169" s="497"/>
      <c r="AK169" s="206"/>
      <c r="AL169" s="642">
        <v>100</v>
      </c>
      <c r="AM169" s="642">
        <v>100</v>
      </c>
      <c r="AN169" s="206"/>
      <c r="AO169" s="499">
        <v>1000</v>
      </c>
      <c r="AP169" s="499">
        <v>4</v>
      </c>
      <c r="AQ169" s="642"/>
      <c r="AR169" s="206"/>
      <c r="AS169" s="1243">
        <v>300</v>
      </c>
      <c r="AT169" s="1243">
        <v>100</v>
      </c>
      <c r="AU169" s="499">
        <f t="shared" si="28"/>
        <v>20000</v>
      </c>
      <c r="AV169" s="499">
        <f t="shared" si="29"/>
        <v>40000000</v>
      </c>
      <c r="AW169" s="206"/>
      <c r="AX169" s="1280">
        <v>10</v>
      </c>
      <c r="AY169" s="1281">
        <v>8.5999999999999993E-2</v>
      </c>
      <c r="AZ169" s="1282">
        <v>40</v>
      </c>
      <c r="BA169" s="1281">
        <v>7.4999999999999997E-2</v>
      </c>
      <c r="BB169" s="1283">
        <v>1000</v>
      </c>
      <c r="BC169" s="1281">
        <v>6.2E-2</v>
      </c>
      <c r="BD169" s="1347"/>
      <c r="BE169" s="1281"/>
      <c r="BF169" s="1284">
        <v>10</v>
      </c>
      <c r="BG169" s="1285">
        <v>0.13400000000000001</v>
      </c>
      <c r="BH169" s="1286">
        <v>100</v>
      </c>
      <c r="BI169" s="1285">
        <v>0.113</v>
      </c>
      <c r="BJ169" s="1287">
        <v>400</v>
      </c>
      <c r="BK169" s="1285">
        <v>9.4E-2</v>
      </c>
      <c r="BL169" s="1289">
        <v>1000</v>
      </c>
      <c r="BM169" s="1285">
        <v>8.1000000000000003E-2</v>
      </c>
      <c r="BN169" s="1279"/>
      <c r="BO169" s="1279"/>
      <c r="BP169" s="1279"/>
      <c r="BQ169" s="1279"/>
      <c r="BR169" s="865"/>
      <c r="BS169" s="865"/>
      <c r="BT169" s="865"/>
      <c r="BU169" s="865"/>
      <c r="BV169" s="865"/>
      <c r="BW169" s="865"/>
      <c r="BX169" s="865"/>
      <c r="BY169" s="865"/>
      <c r="BZ169" s="865"/>
      <c r="CA169" s="865"/>
      <c r="CB169" s="865"/>
    </row>
    <row r="170" spans="1:80" ht="14.25" thickTop="1" thickBot="1">
      <c r="A170" s="673">
        <v>145</v>
      </c>
      <c r="B170" s="674">
        <v>4</v>
      </c>
      <c r="C170" s="1292" t="s">
        <v>1417</v>
      </c>
      <c r="D170" s="1149"/>
      <c r="E170" s="1054">
        <f>IF(Kalkulation!$B$118&lt;137,$AY170,IF($C$166=1,$AY170,$BG170))</f>
        <v>8.5999999999999993E-2</v>
      </c>
      <c r="F170" s="661">
        <f t="shared" si="23"/>
        <v>8.199999999999999E-2</v>
      </c>
      <c r="G170" s="1001"/>
      <c r="H170" s="922">
        <f>IF(Kalkulation!$B$118&lt;137,$BA170,IF($C$166=1,$BA170,$BI170))</f>
        <v>7.4999999999999997E-2</v>
      </c>
      <c r="I170" s="661">
        <f t="shared" si="24"/>
        <v>7.0999999999999994E-2</v>
      </c>
      <c r="J170" s="1002"/>
      <c r="K170" s="923">
        <f>IF(Kalkulation!$B$118&lt;137,$BC170,IF($C$166=1,$BC170,$BK170))</f>
        <v>6.2E-2</v>
      </c>
      <c r="L170" s="661">
        <f t="shared" si="25"/>
        <v>5.7999999999999996E-2</v>
      </c>
      <c r="M170" s="1003"/>
      <c r="N170" s="923">
        <f>IF(Kalkulation!$B$118&lt;137,0,IF($C$166=1,$BE170,$BM170))</f>
        <v>0</v>
      </c>
      <c r="O170" s="666">
        <f t="shared" si="26"/>
        <v>0</v>
      </c>
      <c r="P170" s="468"/>
      <c r="Q170" s="1006"/>
      <c r="R170" s="468"/>
      <c r="S170" s="1004"/>
      <c r="T170" s="924">
        <v>7.0000000000000007E-2</v>
      </c>
      <c r="U170" s="924">
        <f t="shared" si="27"/>
        <v>6.6000000000000003E-2</v>
      </c>
      <c r="V170" s="468"/>
      <c r="W170" s="491"/>
      <c r="X170" s="505"/>
      <c r="Y170" s="468"/>
      <c r="Z170" s="907">
        <v>100</v>
      </c>
      <c r="AA170" s="499">
        <v>20000</v>
      </c>
      <c r="AB170" s="500">
        <v>0.2</v>
      </c>
      <c r="AC170" s="496"/>
      <c r="AD170" s="497"/>
      <c r="AE170" s="496"/>
      <c r="AF170" s="497"/>
      <c r="AG170" s="496"/>
      <c r="AH170" s="497"/>
      <c r="AI170" s="496"/>
      <c r="AJ170" s="497"/>
      <c r="AK170" s="206"/>
      <c r="AL170" s="642">
        <v>100</v>
      </c>
      <c r="AM170" s="642">
        <v>100</v>
      </c>
      <c r="AN170" s="206"/>
      <c r="AO170" s="499">
        <v>1000</v>
      </c>
      <c r="AP170" s="499">
        <v>4</v>
      </c>
      <c r="AQ170" s="642"/>
      <c r="AR170" s="206"/>
      <c r="AS170" s="1243">
        <v>300</v>
      </c>
      <c r="AT170" s="1243">
        <v>100</v>
      </c>
      <c r="AU170" s="499">
        <f t="shared" si="28"/>
        <v>20000</v>
      </c>
      <c r="AV170" s="499">
        <f t="shared" si="29"/>
        <v>40000000</v>
      </c>
      <c r="AW170" s="206"/>
      <c r="AX170" s="1280">
        <v>10</v>
      </c>
      <c r="AY170" s="1281">
        <v>8.5999999999999993E-2</v>
      </c>
      <c r="AZ170" s="1282">
        <v>40</v>
      </c>
      <c r="BA170" s="1281">
        <v>7.4999999999999997E-2</v>
      </c>
      <c r="BB170" s="1283">
        <v>1000</v>
      </c>
      <c r="BC170" s="1281">
        <v>6.2E-2</v>
      </c>
      <c r="BD170" s="1347"/>
      <c r="BE170" s="1281"/>
      <c r="BF170" s="1284">
        <v>10</v>
      </c>
      <c r="BG170" s="1285">
        <v>0.13400000000000001</v>
      </c>
      <c r="BH170" s="1286">
        <v>100</v>
      </c>
      <c r="BI170" s="1285">
        <v>0.113</v>
      </c>
      <c r="BJ170" s="1287">
        <v>400</v>
      </c>
      <c r="BK170" s="1285">
        <v>9.4E-2</v>
      </c>
      <c r="BL170" s="1289">
        <v>1000</v>
      </c>
      <c r="BM170" s="1285">
        <v>8.1000000000000003E-2</v>
      </c>
      <c r="BN170" s="1279"/>
      <c r="BO170" s="1279"/>
      <c r="BP170" s="1279"/>
      <c r="BQ170" s="1279"/>
      <c r="BR170" s="865"/>
      <c r="BS170" s="865"/>
      <c r="BT170" s="865"/>
      <c r="BU170" s="865"/>
      <c r="BV170" s="865"/>
      <c r="BW170" s="865"/>
      <c r="BX170" s="865"/>
      <c r="BY170" s="865"/>
      <c r="BZ170" s="865"/>
      <c r="CA170" s="865"/>
      <c r="CB170" s="865"/>
    </row>
    <row r="171" spans="1:80" ht="14.25" thickTop="1" thickBot="1">
      <c r="A171" s="673">
        <v>146</v>
      </c>
      <c r="B171" s="674">
        <v>5</v>
      </c>
      <c r="C171" s="1292" t="s">
        <v>1418</v>
      </c>
      <c r="D171" s="1149"/>
      <c r="E171" s="1054">
        <f>IF(Kalkulation!$B$118&lt;137,$AY171,IF($C$166=1,$AY171,$BG171))</f>
        <v>8.5999999999999993E-2</v>
      </c>
      <c r="F171" s="661">
        <f t="shared" si="23"/>
        <v>8.199999999999999E-2</v>
      </c>
      <c r="G171" s="1001"/>
      <c r="H171" s="922">
        <f>IF(Kalkulation!$B$118&lt;137,$BA171,IF($C$166=1,$BA171,$BI171))</f>
        <v>7.4999999999999997E-2</v>
      </c>
      <c r="I171" s="661">
        <f t="shared" si="24"/>
        <v>7.0999999999999994E-2</v>
      </c>
      <c r="J171" s="1002"/>
      <c r="K171" s="923">
        <f>IF(Kalkulation!$B$118&lt;137,$BC171,IF($C$166=1,$BC171,$BK171))</f>
        <v>6.2E-2</v>
      </c>
      <c r="L171" s="661">
        <f t="shared" si="25"/>
        <v>5.7999999999999996E-2</v>
      </c>
      <c r="M171" s="1003"/>
      <c r="N171" s="923">
        <f>IF(Kalkulation!$B$118&lt;137,0,IF($C$166=1,$BE171,$BM171))</f>
        <v>0</v>
      </c>
      <c r="O171" s="666">
        <f t="shared" si="26"/>
        <v>0</v>
      </c>
      <c r="P171" s="468"/>
      <c r="Q171" s="1006"/>
      <c r="R171" s="468"/>
      <c r="S171" s="1004"/>
      <c r="T171" s="924">
        <v>7.0000000000000007E-2</v>
      </c>
      <c r="U171" s="924">
        <f t="shared" si="27"/>
        <v>6.6000000000000003E-2</v>
      </c>
      <c r="V171" s="468"/>
      <c r="W171" s="491"/>
      <c r="X171" s="505"/>
      <c r="Y171" s="468"/>
      <c r="Z171" s="907">
        <v>100</v>
      </c>
      <c r="AA171" s="499">
        <v>20000</v>
      </c>
      <c r="AB171" s="500">
        <v>0.2</v>
      </c>
      <c r="AC171" s="496"/>
      <c r="AD171" s="497"/>
      <c r="AE171" s="496"/>
      <c r="AF171" s="497"/>
      <c r="AG171" s="496"/>
      <c r="AH171" s="497"/>
      <c r="AI171" s="496"/>
      <c r="AJ171" s="497"/>
      <c r="AK171" s="206"/>
      <c r="AL171" s="642">
        <v>100</v>
      </c>
      <c r="AM171" s="642">
        <v>100</v>
      </c>
      <c r="AN171" s="206"/>
      <c r="AO171" s="499">
        <v>1000</v>
      </c>
      <c r="AP171" s="499">
        <v>4</v>
      </c>
      <c r="AQ171" s="642"/>
      <c r="AR171" s="206"/>
      <c r="AS171" s="1243">
        <v>300</v>
      </c>
      <c r="AT171" s="1243">
        <v>100</v>
      </c>
      <c r="AU171" s="499">
        <f t="shared" si="28"/>
        <v>20000</v>
      </c>
      <c r="AV171" s="499">
        <f t="shared" si="29"/>
        <v>40000000</v>
      </c>
      <c r="AW171" s="206"/>
      <c r="AX171" s="1280">
        <v>10</v>
      </c>
      <c r="AY171" s="1281">
        <v>8.5999999999999993E-2</v>
      </c>
      <c r="AZ171" s="1282">
        <v>40</v>
      </c>
      <c r="BA171" s="1281">
        <v>7.4999999999999997E-2</v>
      </c>
      <c r="BB171" s="1283">
        <v>1000</v>
      </c>
      <c r="BC171" s="1281">
        <v>6.2E-2</v>
      </c>
      <c r="BD171" s="1347"/>
      <c r="BE171" s="1281"/>
      <c r="BF171" s="1284">
        <v>10</v>
      </c>
      <c r="BG171" s="1285">
        <v>0.13400000000000001</v>
      </c>
      <c r="BH171" s="1286">
        <v>100</v>
      </c>
      <c r="BI171" s="1285">
        <v>0.113</v>
      </c>
      <c r="BJ171" s="1287">
        <v>400</v>
      </c>
      <c r="BK171" s="1285">
        <v>9.4E-2</v>
      </c>
      <c r="BL171" s="1289">
        <v>1000</v>
      </c>
      <c r="BM171" s="1285">
        <v>8.1000000000000003E-2</v>
      </c>
      <c r="BN171" s="1279"/>
      <c r="BO171" s="1279"/>
      <c r="BP171" s="1279"/>
      <c r="BQ171" s="1279"/>
      <c r="BR171" s="865"/>
      <c r="BS171" s="865"/>
      <c r="BT171" s="865"/>
      <c r="BU171" s="865"/>
      <c r="BV171" s="865"/>
      <c r="BW171" s="865"/>
      <c r="BX171" s="865"/>
      <c r="BY171" s="865"/>
      <c r="BZ171" s="865"/>
      <c r="CA171" s="865"/>
      <c r="CB171" s="865"/>
    </row>
    <row r="172" spans="1:80" ht="14.25" thickTop="1" thickBot="1">
      <c r="A172" s="673">
        <v>147</v>
      </c>
      <c r="B172" s="674">
        <v>6</v>
      </c>
      <c r="C172" s="1292" t="s">
        <v>1419</v>
      </c>
      <c r="D172" s="1149"/>
      <c r="E172" s="1054">
        <f>IF(Kalkulation!$B$118&lt;137,$AY172,IF($C$166=1,$AY172,$BG172))</f>
        <v>8.5999999999999993E-2</v>
      </c>
      <c r="F172" s="661">
        <f t="shared" si="23"/>
        <v>8.199999999999999E-2</v>
      </c>
      <c r="G172" s="1001"/>
      <c r="H172" s="922">
        <f>IF(Kalkulation!$B$118&lt;137,$BA172,IF($C$166=1,$BA172,$BI172))</f>
        <v>7.4999999999999997E-2</v>
      </c>
      <c r="I172" s="661">
        <f t="shared" si="24"/>
        <v>7.0999999999999994E-2</v>
      </c>
      <c r="J172" s="1002"/>
      <c r="K172" s="923">
        <f>IF(Kalkulation!$B$118&lt;137,$BC172,IF($C$166=1,$BC172,$BK172))</f>
        <v>6.2E-2</v>
      </c>
      <c r="L172" s="661">
        <f t="shared" si="25"/>
        <v>5.7999999999999996E-2</v>
      </c>
      <c r="M172" s="1003"/>
      <c r="N172" s="923">
        <f>IF(Kalkulation!$B$118&lt;137,0,IF($C$166=1,$BE172,$BM172))</f>
        <v>0</v>
      </c>
      <c r="O172" s="666">
        <f t="shared" si="26"/>
        <v>0</v>
      </c>
      <c r="P172" s="468"/>
      <c r="Q172" s="1006"/>
      <c r="R172" s="468"/>
      <c r="S172" s="1004"/>
      <c r="T172" s="924">
        <v>7.0000000000000007E-2</v>
      </c>
      <c r="U172" s="924">
        <f t="shared" si="27"/>
        <v>6.6000000000000003E-2</v>
      </c>
      <c r="V172" s="468"/>
      <c r="W172" s="491"/>
      <c r="X172" s="505"/>
      <c r="Y172" s="468"/>
      <c r="Z172" s="907">
        <v>100</v>
      </c>
      <c r="AA172" s="499">
        <v>20000</v>
      </c>
      <c r="AB172" s="500">
        <v>0.2</v>
      </c>
      <c r="AC172" s="496"/>
      <c r="AD172" s="497"/>
      <c r="AE172" s="496"/>
      <c r="AF172" s="497"/>
      <c r="AG172" s="496"/>
      <c r="AH172" s="497"/>
      <c r="AI172" s="496"/>
      <c r="AJ172" s="497"/>
      <c r="AK172" s="206"/>
      <c r="AL172" s="642">
        <v>100</v>
      </c>
      <c r="AM172" s="642">
        <v>100</v>
      </c>
      <c r="AN172" s="206"/>
      <c r="AO172" s="499">
        <v>1000</v>
      </c>
      <c r="AP172" s="499">
        <v>4</v>
      </c>
      <c r="AQ172" s="642"/>
      <c r="AR172" s="206"/>
      <c r="AS172" s="1243">
        <v>300</v>
      </c>
      <c r="AT172" s="1243">
        <v>100</v>
      </c>
      <c r="AU172" s="499">
        <f t="shared" si="28"/>
        <v>20000</v>
      </c>
      <c r="AV172" s="499">
        <f t="shared" si="29"/>
        <v>40000000</v>
      </c>
      <c r="AW172" s="206"/>
      <c r="AX172" s="1280">
        <v>10</v>
      </c>
      <c r="AY172" s="1281">
        <v>8.5999999999999993E-2</v>
      </c>
      <c r="AZ172" s="1282">
        <v>40</v>
      </c>
      <c r="BA172" s="1281">
        <v>7.4999999999999997E-2</v>
      </c>
      <c r="BB172" s="1283">
        <v>1000</v>
      </c>
      <c r="BC172" s="1281">
        <v>6.2E-2</v>
      </c>
      <c r="BD172" s="1347"/>
      <c r="BE172" s="1281"/>
      <c r="BF172" s="1284">
        <v>10</v>
      </c>
      <c r="BG172" s="1285">
        <v>0.13400000000000001</v>
      </c>
      <c r="BH172" s="1286">
        <v>100</v>
      </c>
      <c r="BI172" s="1285">
        <v>0.113</v>
      </c>
      <c r="BJ172" s="1287">
        <v>400</v>
      </c>
      <c r="BK172" s="1285">
        <v>9.4E-2</v>
      </c>
      <c r="BL172" s="1289">
        <v>1000</v>
      </c>
      <c r="BM172" s="1285">
        <v>8.1000000000000003E-2</v>
      </c>
      <c r="BN172" s="1279"/>
      <c r="BO172" s="1279"/>
      <c r="BP172" s="1279"/>
      <c r="BQ172" s="1279"/>
      <c r="BR172" s="865"/>
      <c r="BS172" s="865"/>
      <c r="BT172" s="865"/>
      <c r="BU172" s="865"/>
      <c r="BV172" s="865"/>
      <c r="BW172" s="865"/>
      <c r="BX172" s="865"/>
      <c r="BY172" s="865"/>
      <c r="BZ172" s="865"/>
      <c r="CA172" s="865"/>
      <c r="CB172" s="865"/>
    </row>
    <row r="173" spans="1:80" ht="14.25" thickTop="1" thickBot="1">
      <c r="A173" s="673">
        <v>148</v>
      </c>
      <c r="B173" s="674">
        <v>7</v>
      </c>
      <c r="C173" s="1292" t="s">
        <v>1420</v>
      </c>
      <c r="D173" s="1149"/>
      <c r="E173" s="1054">
        <f>IF(Kalkulation!$B$118&lt;137,$AY173,IF($C$166=1,$AY173,$BG173))</f>
        <v>8.5999999999999993E-2</v>
      </c>
      <c r="F173" s="661">
        <f t="shared" si="23"/>
        <v>8.199999999999999E-2</v>
      </c>
      <c r="G173" s="1001"/>
      <c r="H173" s="922">
        <f>IF(Kalkulation!$B$118&lt;137,$BA173,IF($C$166=1,$BA173,$BI173))</f>
        <v>7.4999999999999997E-2</v>
      </c>
      <c r="I173" s="661">
        <f t="shared" si="24"/>
        <v>7.0999999999999994E-2</v>
      </c>
      <c r="J173" s="1002"/>
      <c r="K173" s="923">
        <f>IF(Kalkulation!$B$118&lt;137,$BC173,IF($C$166=1,$BC173,$BK173))</f>
        <v>6.2E-2</v>
      </c>
      <c r="L173" s="661">
        <f t="shared" si="25"/>
        <v>5.7999999999999996E-2</v>
      </c>
      <c r="M173" s="1003"/>
      <c r="N173" s="923">
        <f>IF(Kalkulation!$B$118&lt;137,0,IF($C$166=1,$BE173,$BM173))</f>
        <v>0</v>
      </c>
      <c r="O173" s="666">
        <f t="shared" si="26"/>
        <v>0</v>
      </c>
      <c r="P173" s="468"/>
      <c r="Q173" s="1006"/>
      <c r="R173" s="468"/>
      <c r="S173" s="1004"/>
      <c r="T173" s="924">
        <v>7.0000000000000007E-2</v>
      </c>
      <c r="U173" s="924">
        <f t="shared" si="27"/>
        <v>6.6000000000000003E-2</v>
      </c>
      <c r="V173" s="468"/>
      <c r="W173" s="491"/>
      <c r="X173" s="505"/>
      <c r="Y173" s="468"/>
      <c r="Z173" s="907">
        <v>100</v>
      </c>
      <c r="AA173" s="499">
        <v>20000</v>
      </c>
      <c r="AB173" s="500">
        <v>0.2</v>
      </c>
      <c r="AC173" s="496"/>
      <c r="AD173" s="497"/>
      <c r="AE173" s="496"/>
      <c r="AF173" s="497"/>
      <c r="AG173" s="496"/>
      <c r="AH173" s="497"/>
      <c r="AI173" s="496"/>
      <c r="AJ173" s="497"/>
      <c r="AK173" s="206"/>
      <c r="AL173" s="642">
        <v>100</v>
      </c>
      <c r="AM173" s="642">
        <v>100</v>
      </c>
      <c r="AN173" s="206"/>
      <c r="AO173" s="499">
        <v>1000</v>
      </c>
      <c r="AP173" s="499">
        <v>4</v>
      </c>
      <c r="AQ173" s="642"/>
      <c r="AR173" s="206"/>
      <c r="AS173" s="1243">
        <v>300</v>
      </c>
      <c r="AT173" s="1243">
        <v>100</v>
      </c>
      <c r="AU173" s="499">
        <f t="shared" si="28"/>
        <v>20000</v>
      </c>
      <c r="AV173" s="499">
        <f t="shared" si="29"/>
        <v>40000000</v>
      </c>
      <c r="AW173" s="206"/>
      <c r="AX173" s="1280">
        <v>10</v>
      </c>
      <c r="AY173" s="1281">
        <v>8.5999999999999993E-2</v>
      </c>
      <c r="AZ173" s="1282">
        <v>40</v>
      </c>
      <c r="BA173" s="1281">
        <v>7.4999999999999997E-2</v>
      </c>
      <c r="BB173" s="1283">
        <v>1000</v>
      </c>
      <c r="BC173" s="1281">
        <v>6.2E-2</v>
      </c>
      <c r="BD173" s="1347"/>
      <c r="BE173" s="1281"/>
      <c r="BF173" s="1284">
        <v>10</v>
      </c>
      <c r="BG173" s="1285">
        <v>0.13400000000000001</v>
      </c>
      <c r="BH173" s="1286">
        <v>100</v>
      </c>
      <c r="BI173" s="1285">
        <v>0.113</v>
      </c>
      <c r="BJ173" s="1287">
        <v>400</v>
      </c>
      <c r="BK173" s="1285">
        <v>9.4E-2</v>
      </c>
      <c r="BL173" s="1289">
        <v>1000</v>
      </c>
      <c r="BM173" s="1285">
        <v>8.1000000000000003E-2</v>
      </c>
      <c r="BN173" s="1279"/>
      <c r="BO173" s="1279"/>
      <c r="BP173" s="1279"/>
      <c r="BQ173" s="1279"/>
      <c r="BR173" s="865"/>
      <c r="BS173" s="865"/>
      <c r="BT173" s="865"/>
      <c r="BU173" s="865"/>
      <c r="BV173" s="865"/>
      <c r="BW173" s="865"/>
      <c r="BX173" s="865"/>
      <c r="BY173" s="865"/>
      <c r="BZ173" s="865"/>
      <c r="CA173" s="865"/>
      <c r="CB173" s="865"/>
    </row>
    <row r="174" spans="1:80" ht="14.25" thickTop="1" thickBot="1">
      <c r="A174" s="673">
        <v>149</v>
      </c>
      <c r="B174" s="674">
        <v>8</v>
      </c>
      <c r="C174" s="1292" t="s">
        <v>1421</v>
      </c>
      <c r="D174" s="1149"/>
      <c r="E174" s="1054">
        <f>IF(Kalkulation!$B$118&lt;137,$AY174,IF($C$166=1,$AY174,$BG174))</f>
        <v>8.5999999999999993E-2</v>
      </c>
      <c r="F174" s="661">
        <f t="shared" si="23"/>
        <v>8.199999999999999E-2</v>
      </c>
      <c r="G174" s="1001"/>
      <c r="H174" s="922">
        <f>IF(Kalkulation!$B$118&lt;137,$BA174,IF($C$166=1,$BA174,$BI174))</f>
        <v>7.4999999999999997E-2</v>
      </c>
      <c r="I174" s="661">
        <f t="shared" si="24"/>
        <v>7.0999999999999994E-2</v>
      </c>
      <c r="J174" s="1002"/>
      <c r="K174" s="923">
        <f>IF(Kalkulation!$B$118&lt;137,$BC174,IF($C$166=1,$BC174,$BK174))</f>
        <v>6.2E-2</v>
      </c>
      <c r="L174" s="661">
        <f t="shared" si="25"/>
        <v>5.7999999999999996E-2</v>
      </c>
      <c r="M174" s="1003"/>
      <c r="N174" s="923">
        <f>IF(Kalkulation!$B$118&lt;137,0,IF($C$166=1,$BE174,$BM174))</f>
        <v>0</v>
      </c>
      <c r="O174" s="666">
        <f t="shared" si="26"/>
        <v>0</v>
      </c>
      <c r="P174" s="468"/>
      <c r="Q174" s="1006"/>
      <c r="R174" s="468"/>
      <c r="S174" s="1004"/>
      <c r="T174" s="924">
        <v>7.0000000000000007E-2</v>
      </c>
      <c r="U174" s="924">
        <f t="shared" si="27"/>
        <v>6.6000000000000003E-2</v>
      </c>
      <c r="V174" s="468"/>
      <c r="W174" s="491"/>
      <c r="X174" s="505"/>
      <c r="Y174" s="468"/>
      <c r="Z174" s="907">
        <v>100</v>
      </c>
      <c r="AA174" s="499">
        <v>20000</v>
      </c>
      <c r="AB174" s="500">
        <v>0.2</v>
      </c>
      <c r="AC174" s="496"/>
      <c r="AD174" s="497"/>
      <c r="AE174" s="496"/>
      <c r="AF174" s="497"/>
      <c r="AG174" s="496"/>
      <c r="AH174" s="497"/>
      <c r="AI174" s="496"/>
      <c r="AJ174" s="497"/>
      <c r="AK174" s="206"/>
      <c r="AL174" s="642">
        <v>100</v>
      </c>
      <c r="AM174" s="642">
        <v>100</v>
      </c>
      <c r="AN174" s="206"/>
      <c r="AO174" s="499">
        <v>1000</v>
      </c>
      <c r="AP174" s="499">
        <v>4</v>
      </c>
      <c r="AQ174" s="642"/>
      <c r="AR174" s="206"/>
      <c r="AS174" s="1243">
        <v>300</v>
      </c>
      <c r="AT174" s="1243">
        <v>100</v>
      </c>
      <c r="AU174" s="499">
        <f t="shared" si="28"/>
        <v>20000</v>
      </c>
      <c r="AV174" s="499">
        <f t="shared" si="29"/>
        <v>40000000</v>
      </c>
      <c r="AW174" s="206"/>
      <c r="AX174" s="1280">
        <v>10</v>
      </c>
      <c r="AY174" s="1281">
        <v>8.5999999999999993E-2</v>
      </c>
      <c r="AZ174" s="1282">
        <v>40</v>
      </c>
      <c r="BA174" s="1281">
        <v>7.4999999999999997E-2</v>
      </c>
      <c r="BB174" s="1283">
        <v>1000</v>
      </c>
      <c r="BC174" s="1281">
        <v>6.2E-2</v>
      </c>
      <c r="BD174" s="1347"/>
      <c r="BE174" s="1281"/>
      <c r="BF174" s="1284">
        <v>10</v>
      </c>
      <c r="BG174" s="1285">
        <v>0.13400000000000001</v>
      </c>
      <c r="BH174" s="1286">
        <v>100</v>
      </c>
      <c r="BI174" s="1285">
        <v>0.113</v>
      </c>
      <c r="BJ174" s="1287">
        <v>400</v>
      </c>
      <c r="BK174" s="1285">
        <v>9.4E-2</v>
      </c>
      <c r="BL174" s="1289">
        <v>1000</v>
      </c>
      <c r="BM174" s="1285">
        <v>8.1000000000000003E-2</v>
      </c>
      <c r="BN174" s="1279"/>
      <c r="BO174" s="1279"/>
      <c r="BP174" s="1279"/>
      <c r="BQ174" s="1279"/>
      <c r="BR174" s="865"/>
      <c r="BS174" s="865"/>
      <c r="BT174" s="865"/>
      <c r="BU174" s="865"/>
      <c r="BV174" s="865"/>
      <c r="BW174" s="865"/>
      <c r="BX174" s="865"/>
      <c r="BY174" s="865"/>
      <c r="BZ174" s="865"/>
      <c r="CA174" s="865"/>
      <c r="CB174" s="865"/>
    </row>
    <row r="175" spans="1:80" ht="14.25" thickTop="1" thickBot="1">
      <c r="A175" s="673">
        <v>150</v>
      </c>
      <c r="B175" s="674">
        <v>9</v>
      </c>
      <c r="C175" s="1292" t="s">
        <v>1422</v>
      </c>
      <c r="D175" s="1149"/>
      <c r="E175" s="1054">
        <f>IF(Kalkulation!$B$118&lt;137,$AY175,IF($C$166=1,$AY175,$BG175))</f>
        <v>8.5999999999999993E-2</v>
      </c>
      <c r="F175" s="661">
        <f t="shared" si="23"/>
        <v>8.199999999999999E-2</v>
      </c>
      <c r="G175" s="1001"/>
      <c r="H175" s="922">
        <f>IF(Kalkulation!$B$118&lt;137,$BA175,IF($C$166=1,$BA175,$BI175))</f>
        <v>7.4999999999999997E-2</v>
      </c>
      <c r="I175" s="661">
        <f t="shared" si="24"/>
        <v>7.0999999999999994E-2</v>
      </c>
      <c r="J175" s="1002"/>
      <c r="K175" s="923">
        <f>IF(Kalkulation!$B$118&lt;137,$BC175,IF($C$166=1,$BC175,$BK175))</f>
        <v>6.2E-2</v>
      </c>
      <c r="L175" s="661">
        <f t="shared" si="25"/>
        <v>5.7999999999999996E-2</v>
      </c>
      <c r="M175" s="1003"/>
      <c r="N175" s="923">
        <f>IF(Kalkulation!$B$118&lt;137,0,IF($C$166=1,$BE175,$BM175))</f>
        <v>0</v>
      </c>
      <c r="O175" s="666">
        <f t="shared" si="26"/>
        <v>0</v>
      </c>
      <c r="P175" s="468"/>
      <c r="Q175" s="1006"/>
      <c r="R175" s="468"/>
      <c r="S175" s="1004"/>
      <c r="T175" s="924">
        <v>7.0000000000000007E-2</v>
      </c>
      <c r="U175" s="924">
        <f t="shared" si="27"/>
        <v>6.6000000000000003E-2</v>
      </c>
      <c r="V175" s="468"/>
      <c r="W175" s="491"/>
      <c r="X175" s="505"/>
      <c r="Y175" s="468"/>
      <c r="Z175" s="907">
        <v>100</v>
      </c>
      <c r="AA175" s="499">
        <v>20000</v>
      </c>
      <c r="AB175" s="500">
        <v>0.2</v>
      </c>
      <c r="AC175" s="496"/>
      <c r="AD175" s="497"/>
      <c r="AE175" s="496"/>
      <c r="AF175" s="497"/>
      <c r="AG175" s="496"/>
      <c r="AH175" s="497"/>
      <c r="AI175" s="496"/>
      <c r="AJ175" s="497"/>
      <c r="AK175" s="206"/>
      <c r="AL175" s="642">
        <v>100</v>
      </c>
      <c r="AM175" s="642">
        <v>100</v>
      </c>
      <c r="AN175" s="206"/>
      <c r="AO175" s="499">
        <v>1000</v>
      </c>
      <c r="AP175" s="499">
        <v>4</v>
      </c>
      <c r="AQ175" s="642"/>
      <c r="AR175" s="206"/>
      <c r="AS175" s="1243">
        <v>300</v>
      </c>
      <c r="AT175" s="1243">
        <v>100</v>
      </c>
      <c r="AU175" s="499">
        <f t="shared" si="28"/>
        <v>20000</v>
      </c>
      <c r="AV175" s="499">
        <f t="shared" si="29"/>
        <v>40000000</v>
      </c>
      <c r="AW175" s="206"/>
      <c r="AX175" s="1280">
        <v>10</v>
      </c>
      <c r="AY175" s="1281">
        <v>8.5999999999999993E-2</v>
      </c>
      <c r="AZ175" s="1282">
        <v>40</v>
      </c>
      <c r="BA175" s="1281">
        <v>7.4999999999999997E-2</v>
      </c>
      <c r="BB175" s="1283">
        <v>1000</v>
      </c>
      <c r="BC175" s="1281">
        <v>6.2E-2</v>
      </c>
      <c r="BD175" s="1347"/>
      <c r="BE175" s="1281"/>
      <c r="BF175" s="1284">
        <v>10</v>
      </c>
      <c r="BG175" s="1285">
        <v>0.13400000000000001</v>
      </c>
      <c r="BH175" s="1286">
        <v>100</v>
      </c>
      <c r="BI175" s="1285">
        <v>0.113</v>
      </c>
      <c r="BJ175" s="1287">
        <v>400</v>
      </c>
      <c r="BK175" s="1285">
        <v>9.4E-2</v>
      </c>
      <c r="BL175" s="1289">
        <v>1000</v>
      </c>
      <c r="BM175" s="1285">
        <v>8.1000000000000003E-2</v>
      </c>
      <c r="BN175" s="1279"/>
      <c r="BO175" s="1279"/>
      <c r="BP175" s="1279"/>
      <c r="BQ175" s="1279"/>
      <c r="BR175" s="865"/>
      <c r="BS175" s="865"/>
      <c r="BT175" s="865"/>
      <c r="BU175" s="865"/>
      <c r="BV175" s="865"/>
      <c r="BW175" s="865"/>
      <c r="BX175" s="865"/>
      <c r="BY175" s="865"/>
      <c r="BZ175" s="865"/>
      <c r="CA175" s="865"/>
      <c r="CB175" s="865"/>
    </row>
    <row r="176" spans="1:80" ht="14.25" thickTop="1" thickBot="1">
      <c r="A176" s="673">
        <v>151</v>
      </c>
      <c r="B176" s="674">
        <v>10</v>
      </c>
      <c r="C176" s="1292" t="s">
        <v>1423</v>
      </c>
      <c r="D176" s="1149"/>
      <c r="E176" s="1054">
        <f>IF(Kalkulation!$B$118&lt;137,$AY176,IF($C$166=1,$AY176,$BG176))</f>
        <v>8.5999999999999993E-2</v>
      </c>
      <c r="F176" s="661">
        <f t="shared" si="23"/>
        <v>8.199999999999999E-2</v>
      </c>
      <c r="G176" s="1001"/>
      <c r="H176" s="922">
        <f>IF(Kalkulation!$B$118&lt;137,$BA176,IF($C$166=1,$BA176,$BI176))</f>
        <v>7.4999999999999997E-2</v>
      </c>
      <c r="I176" s="661">
        <f t="shared" si="24"/>
        <v>7.0999999999999994E-2</v>
      </c>
      <c r="J176" s="1002"/>
      <c r="K176" s="923">
        <f>IF(Kalkulation!$B$118&lt;137,$BC176,IF($C$166=1,$BC176,$BK176))</f>
        <v>6.2E-2</v>
      </c>
      <c r="L176" s="661">
        <f t="shared" si="25"/>
        <v>5.7999999999999996E-2</v>
      </c>
      <c r="M176" s="1003"/>
      <c r="N176" s="923">
        <f>IF(Kalkulation!$B$118&lt;137,0,IF($C$166=1,$BE176,$BM176))</f>
        <v>0</v>
      </c>
      <c r="O176" s="666">
        <f t="shared" si="26"/>
        <v>0</v>
      </c>
      <c r="P176" s="468"/>
      <c r="Q176" s="1006"/>
      <c r="R176" s="468"/>
      <c r="S176" s="1004"/>
      <c r="T176" s="924">
        <v>7.0000000000000007E-2</v>
      </c>
      <c r="U176" s="924">
        <f t="shared" si="27"/>
        <v>6.6000000000000003E-2</v>
      </c>
      <c r="V176" s="468"/>
      <c r="W176" s="491"/>
      <c r="X176" s="505"/>
      <c r="Y176" s="468"/>
      <c r="Z176" s="907">
        <v>100</v>
      </c>
      <c r="AA176" s="499">
        <v>20000</v>
      </c>
      <c r="AB176" s="500">
        <v>0.2</v>
      </c>
      <c r="AC176" s="496"/>
      <c r="AD176" s="497"/>
      <c r="AE176" s="496"/>
      <c r="AF176" s="497"/>
      <c r="AG176" s="496"/>
      <c r="AH176" s="497"/>
      <c r="AI176" s="496"/>
      <c r="AJ176" s="497"/>
      <c r="AK176" s="206"/>
      <c r="AL176" s="642">
        <v>100</v>
      </c>
      <c r="AM176" s="642">
        <v>100</v>
      </c>
      <c r="AN176" s="206"/>
      <c r="AO176" s="499">
        <v>1000</v>
      </c>
      <c r="AP176" s="499">
        <v>4</v>
      </c>
      <c r="AQ176" s="642"/>
      <c r="AR176" s="206"/>
      <c r="AS176" s="1243">
        <v>300</v>
      </c>
      <c r="AT176" s="1243">
        <v>100</v>
      </c>
      <c r="AU176" s="499">
        <f t="shared" si="28"/>
        <v>20000</v>
      </c>
      <c r="AV176" s="499">
        <f t="shared" si="29"/>
        <v>40000000</v>
      </c>
      <c r="AW176" s="206"/>
      <c r="AX176" s="1280">
        <v>10</v>
      </c>
      <c r="AY176" s="1281">
        <v>8.5999999999999993E-2</v>
      </c>
      <c r="AZ176" s="1282">
        <v>40</v>
      </c>
      <c r="BA176" s="1281">
        <v>7.4999999999999997E-2</v>
      </c>
      <c r="BB176" s="1283">
        <v>1000</v>
      </c>
      <c r="BC176" s="1281">
        <v>6.2E-2</v>
      </c>
      <c r="BD176" s="1347"/>
      <c r="BE176" s="1281"/>
      <c r="BF176" s="1284">
        <v>10</v>
      </c>
      <c r="BG176" s="1285">
        <v>0.13400000000000001</v>
      </c>
      <c r="BH176" s="1286">
        <v>100</v>
      </c>
      <c r="BI176" s="1285">
        <v>0.113</v>
      </c>
      <c r="BJ176" s="1287">
        <v>400</v>
      </c>
      <c r="BK176" s="1285">
        <v>9.4E-2</v>
      </c>
      <c r="BL176" s="1289">
        <v>1000</v>
      </c>
      <c r="BM176" s="1285">
        <v>8.1000000000000003E-2</v>
      </c>
      <c r="BN176" s="1279"/>
      <c r="BO176" s="1279"/>
      <c r="BP176" s="1279"/>
      <c r="BQ176" s="1279"/>
      <c r="BR176" s="865"/>
      <c r="BS176" s="865"/>
      <c r="BT176" s="865"/>
      <c r="BU176" s="865"/>
      <c r="BV176" s="865"/>
      <c r="BW176" s="865"/>
      <c r="BX176" s="865"/>
      <c r="BY176" s="865"/>
      <c r="BZ176" s="865"/>
      <c r="CA176" s="865"/>
      <c r="CB176" s="865"/>
    </row>
    <row r="177" spans="1:80" ht="14.25" thickTop="1" thickBot="1">
      <c r="A177" s="673">
        <v>152</v>
      </c>
      <c r="B177" s="674">
        <v>11</v>
      </c>
      <c r="C177" s="1292" t="s">
        <v>1424</v>
      </c>
      <c r="D177" s="1149"/>
      <c r="E177" s="1054">
        <f>IF(Kalkulation!$B$118&lt;137,$AY177,IF($C$166=1,$AY177,$BG177))</f>
        <v>8.5999999999999993E-2</v>
      </c>
      <c r="F177" s="661">
        <f t="shared" si="23"/>
        <v>8.199999999999999E-2</v>
      </c>
      <c r="G177" s="1001"/>
      <c r="H177" s="922">
        <f>IF(Kalkulation!$B$118&lt;137,$BA177,IF($C$166=1,$BA177,$BI177))</f>
        <v>7.4999999999999997E-2</v>
      </c>
      <c r="I177" s="661">
        <f t="shared" si="24"/>
        <v>7.0999999999999994E-2</v>
      </c>
      <c r="J177" s="1002"/>
      <c r="K177" s="923">
        <f>IF(Kalkulation!$B$118&lt;137,$BC177,IF($C$166=1,$BC177,$BK177))</f>
        <v>6.2E-2</v>
      </c>
      <c r="L177" s="661">
        <f t="shared" si="25"/>
        <v>5.7999999999999996E-2</v>
      </c>
      <c r="M177" s="1003"/>
      <c r="N177" s="923">
        <f>IF(Kalkulation!$B$118&lt;137,0,IF($C$166=1,$BE177,$BM177))</f>
        <v>0</v>
      </c>
      <c r="O177" s="666">
        <f t="shared" si="26"/>
        <v>0</v>
      </c>
      <c r="P177" s="468"/>
      <c r="Q177" s="1006"/>
      <c r="R177" s="468"/>
      <c r="S177" s="1004"/>
      <c r="T177" s="924">
        <v>7.0000000000000007E-2</v>
      </c>
      <c r="U177" s="924">
        <f t="shared" si="27"/>
        <v>6.6000000000000003E-2</v>
      </c>
      <c r="V177" s="468"/>
      <c r="W177" s="491"/>
      <c r="X177" s="505"/>
      <c r="Y177" s="468"/>
      <c r="Z177" s="907">
        <v>100</v>
      </c>
      <c r="AA177" s="499">
        <v>20000</v>
      </c>
      <c r="AB177" s="500">
        <v>0.2</v>
      </c>
      <c r="AC177" s="496"/>
      <c r="AD177" s="497"/>
      <c r="AE177" s="496"/>
      <c r="AF177" s="497"/>
      <c r="AG177" s="496"/>
      <c r="AH177" s="497"/>
      <c r="AI177" s="496"/>
      <c r="AJ177" s="497"/>
      <c r="AK177" s="206"/>
      <c r="AL177" s="642">
        <v>100</v>
      </c>
      <c r="AM177" s="642">
        <v>100</v>
      </c>
      <c r="AN177" s="206"/>
      <c r="AO177" s="499">
        <v>1000</v>
      </c>
      <c r="AP177" s="499">
        <v>4</v>
      </c>
      <c r="AQ177" s="642"/>
      <c r="AR177" s="206"/>
      <c r="AS177" s="1243">
        <v>300</v>
      </c>
      <c r="AT177" s="1243">
        <v>100</v>
      </c>
      <c r="AU177" s="499">
        <f t="shared" si="28"/>
        <v>20000</v>
      </c>
      <c r="AV177" s="499">
        <f t="shared" si="29"/>
        <v>40000000</v>
      </c>
      <c r="AW177" s="206"/>
      <c r="AX177" s="1280">
        <v>10</v>
      </c>
      <c r="AY177" s="1281">
        <v>8.5999999999999993E-2</v>
      </c>
      <c r="AZ177" s="1282">
        <v>40</v>
      </c>
      <c r="BA177" s="1281">
        <v>7.4999999999999997E-2</v>
      </c>
      <c r="BB177" s="1283">
        <v>1000</v>
      </c>
      <c r="BC177" s="1281">
        <v>6.2E-2</v>
      </c>
      <c r="BD177" s="1347"/>
      <c r="BE177" s="1281"/>
      <c r="BF177" s="1284">
        <v>10</v>
      </c>
      <c r="BG177" s="1285">
        <v>0.13400000000000001</v>
      </c>
      <c r="BH177" s="1286">
        <v>100</v>
      </c>
      <c r="BI177" s="1285">
        <v>0.113</v>
      </c>
      <c r="BJ177" s="1287">
        <v>400</v>
      </c>
      <c r="BK177" s="1285">
        <v>9.4E-2</v>
      </c>
      <c r="BL177" s="1289">
        <v>1000</v>
      </c>
      <c r="BM177" s="1285">
        <v>8.1000000000000003E-2</v>
      </c>
      <c r="BN177" s="1279"/>
      <c r="BO177" s="1279"/>
      <c r="BP177" s="1279"/>
      <c r="BQ177" s="1279"/>
      <c r="BR177" s="865"/>
      <c r="BS177" s="865"/>
      <c r="BT177" s="865"/>
      <c r="BU177" s="865"/>
      <c r="BV177" s="865"/>
      <c r="BW177" s="865"/>
      <c r="BX177" s="865"/>
      <c r="BY177" s="865"/>
      <c r="BZ177" s="865"/>
      <c r="CA177" s="865"/>
      <c r="CB177" s="865"/>
    </row>
    <row r="178" spans="1:80" ht="14.25" thickTop="1" thickBot="1">
      <c r="A178" s="673">
        <v>153</v>
      </c>
      <c r="B178" s="674">
        <v>12</v>
      </c>
      <c r="C178" s="1292" t="s">
        <v>1425</v>
      </c>
      <c r="D178" s="1149"/>
      <c r="E178" s="1054">
        <f>IF(Kalkulation!$B$118&lt;137,$AY178,IF($C$166=1,$AY178,$BG178))</f>
        <v>8.5999999999999993E-2</v>
      </c>
      <c r="F178" s="661">
        <f t="shared" ref="F178:F179" si="30">IF(E178&gt;0,E178-0.004,0)</f>
        <v>8.199999999999999E-2</v>
      </c>
      <c r="G178" s="1001"/>
      <c r="H178" s="922">
        <f>IF(Kalkulation!$B$118&lt;137,$BA178,IF($C$166=1,$BA178,$BI178))</f>
        <v>7.4999999999999997E-2</v>
      </c>
      <c r="I178" s="661">
        <f t="shared" ref="I178:I179" si="31">IF(H178&gt;0,H178-0.004,0)</f>
        <v>7.0999999999999994E-2</v>
      </c>
      <c r="J178" s="1002"/>
      <c r="K178" s="923">
        <f>IF(Kalkulation!$B$118&lt;137,$BC178,IF($C$166=1,$BC178,$BK178))</f>
        <v>6.2E-2</v>
      </c>
      <c r="L178" s="661">
        <f t="shared" ref="L178:L179" si="32">IF(K178&gt;0,K178-0.004,0)</f>
        <v>5.7999999999999996E-2</v>
      </c>
      <c r="M178" s="1003"/>
      <c r="N178" s="923">
        <f>IF(Kalkulation!$B$118&lt;137,0,IF($C$166=1,$BE178,$BM178))</f>
        <v>0</v>
      </c>
      <c r="O178" s="666">
        <f t="shared" ref="O178:O179" si="33">IF(N178&gt;0,N178-0.004,0)</f>
        <v>0</v>
      </c>
      <c r="P178" s="468"/>
      <c r="Q178" s="1006"/>
      <c r="R178" s="468"/>
      <c r="S178" s="1004"/>
      <c r="T178" s="924">
        <v>7.0000000000000007E-2</v>
      </c>
      <c r="U178" s="924">
        <f t="shared" ref="U178:U179" si="34">IF(T178&gt;0,T178-0.004,0)</f>
        <v>6.6000000000000003E-2</v>
      </c>
      <c r="V178" s="468"/>
      <c r="W178" s="491"/>
      <c r="X178" s="505"/>
      <c r="Y178" s="468"/>
      <c r="Z178" s="907">
        <v>100</v>
      </c>
      <c r="AA178" s="499">
        <v>20000</v>
      </c>
      <c r="AB178" s="500">
        <v>0.2</v>
      </c>
      <c r="AC178" s="496"/>
      <c r="AD178" s="497"/>
      <c r="AE178" s="496"/>
      <c r="AF178" s="497"/>
      <c r="AG178" s="496"/>
      <c r="AH178" s="497"/>
      <c r="AI178" s="496"/>
      <c r="AJ178" s="497"/>
      <c r="AK178" s="206"/>
      <c r="AL178" s="642">
        <v>100</v>
      </c>
      <c r="AM178" s="642">
        <v>100</v>
      </c>
      <c r="AN178" s="206"/>
      <c r="AO178" s="499">
        <v>1000</v>
      </c>
      <c r="AP178" s="499">
        <v>4</v>
      </c>
      <c r="AQ178" s="642"/>
      <c r="AR178" s="206"/>
      <c r="AS178" s="1243">
        <v>300</v>
      </c>
      <c r="AT178" s="1243">
        <v>100</v>
      </c>
      <c r="AU178" s="499">
        <f t="shared" si="28"/>
        <v>20000</v>
      </c>
      <c r="AV178" s="499">
        <f t="shared" si="29"/>
        <v>40000000</v>
      </c>
      <c r="AW178" s="206"/>
      <c r="AX178" s="1280">
        <v>10</v>
      </c>
      <c r="AY178" s="1281">
        <v>8.5999999999999993E-2</v>
      </c>
      <c r="AZ178" s="1282">
        <v>40</v>
      </c>
      <c r="BA178" s="1281">
        <v>7.4999999999999997E-2</v>
      </c>
      <c r="BB178" s="1283">
        <v>1000</v>
      </c>
      <c r="BC178" s="1281">
        <v>6.2E-2</v>
      </c>
      <c r="BD178" s="1347"/>
      <c r="BE178" s="1281"/>
      <c r="BF178" s="1284">
        <v>10</v>
      </c>
      <c r="BG178" s="1285">
        <v>0.13400000000000001</v>
      </c>
      <c r="BH178" s="1286">
        <v>100</v>
      </c>
      <c r="BI178" s="1285">
        <v>0.113</v>
      </c>
      <c r="BJ178" s="1287">
        <v>400</v>
      </c>
      <c r="BK178" s="1285">
        <v>9.4E-2</v>
      </c>
      <c r="BL178" s="1289">
        <v>1000</v>
      </c>
      <c r="BM178" s="1285">
        <v>8.1000000000000003E-2</v>
      </c>
      <c r="BN178" s="1279"/>
      <c r="BO178" s="1279"/>
      <c r="BP178" s="1279"/>
      <c r="BQ178" s="1279"/>
      <c r="BR178" s="865"/>
      <c r="BS178" s="865"/>
      <c r="BT178" s="865"/>
      <c r="BU178" s="865"/>
      <c r="BV178" s="865"/>
      <c r="BW178" s="865"/>
      <c r="BX178" s="865"/>
      <c r="BY178" s="865"/>
      <c r="BZ178" s="865"/>
      <c r="CA178" s="865"/>
      <c r="CB178" s="865"/>
    </row>
    <row r="179" spans="1:80" ht="14.25" thickTop="1" thickBot="1">
      <c r="A179" s="673">
        <v>154</v>
      </c>
      <c r="B179" s="674">
        <v>1</v>
      </c>
      <c r="C179" s="1292" t="s">
        <v>1426</v>
      </c>
      <c r="D179" s="1149"/>
      <c r="E179" s="1054">
        <f>IF(Kalkulation!$B$118&lt;137,$AY179,IF($C$166=1,$AY179,$BG179))</f>
        <v>8.5999999999999993E-2</v>
      </c>
      <c r="F179" s="661">
        <f t="shared" si="30"/>
        <v>8.199999999999999E-2</v>
      </c>
      <c r="G179" s="1001"/>
      <c r="H179" s="922">
        <f>IF(Kalkulation!$B$118&lt;137,$BA179,IF($C$166=1,$BA179,$BI179))</f>
        <v>7.4999999999999997E-2</v>
      </c>
      <c r="I179" s="661">
        <f t="shared" si="31"/>
        <v>7.0999999999999994E-2</v>
      </c>
      <c r="J179" s="1002"/>
      <c r="K179" s="923">
        <f>IF(Kalkulation!$B$118&lt;137,$BC179,IF($C$166=1,$BC179,$BK179))</f>
        <v>6.2E-2</v>
      </c>
      <c r="L179" s="661">
        <f t="shared" si="32"/>
        <v>5.7999999999999996E-2</v>
      </c>
      <c r="M179" s="1003"/>
      <c r="N179" s="923">
        <f>IF(Kalkulation!$B$118&lt;137,0,IF($C$166=1,$BE179,$BM179))</f>
        <v>0</v>
      </c>
      <c r="O179" s="666">
        <f t="shared" si="33"/>
        <v>0</v>
      </c>
      <c r="P179" s="468"/>
      <c r="Q179" s="1006"/>
      <c r="R179" s="468"/>
      <c r="S179" s="1004"/>
      <c r="T179" s="924">
        <v>7.0000000000000007E-2</v>
      </c>
      <c r="U179" s="924">
        <f t="shared" si="34"/>
        <v>6.6000000000000003E-2</v>
      </c>
      <c r="V179" s="468"/>
      <c r="W179" s="491"/>
      <c r="X179" s="505"/>
      <c r="Y179" s="468"/>
      <c r="Z179" s="907">
        <v>100</v>
      </c>
      <c r="AA179" s="499">
        <v>20000</v>
      </c>
      <c r="AB179" s="500">
        <v>0.2</v>
      </c>
      <c r="AC179" s="496"/>
      <c r="AD179" s="497"/>
      <c r="AE179" s="496"/>
      <c r="AF179" s="497"/>
      <c r="AG179" s="496"/>
      <c r="AH179" s="497"/>
      <c r="AI179" s="496"/>
      <c r="AJ179" s="497"/>
      <c r="AK179" s="206"/>
      <c r="AL179" s="642">
        <v>100</v>
      </c>
      <c r="AM179" s="642">
        <v>100</v>
      </c>
      <c r="AN179" s="206"/>
      <c r="AO179" s="499">
        <v>1000</v>
      </c>
      <c r="AP179" s="499">
        <v>4</v>
      </c>
      <c r="AQ179" s="642"/>
      <c r="AR179" s="206"/>
      <c r="AS179" s="1243">
        <v>300</v>
      </c>
      <c r="AT179" s="1243">
        <v>100</v>
      </c>
      <c r="AU179" s="499">
        <f t="shared" si="28"/>
        <v>20000</v>
      </c>
      <c r="AV179" s="499">
        <f t="shared" si="29"/>
        <v>40000000</v>
      </c>
      <c r="AW179" s="206"/>
      <c r="AX179" s="1280">
        <v>10</v>
      </c>
      <c r="AY179" s="1281">
        <v>8.5999999999999993E-2</v>
      </c>
      <c r="AZ179" s="1282">
        <v>40</v>
      </c>
      <c r="BA179" s="1281">
        <v>7.4999999999999997E-2</v>
      </c>
      <c r="BB179" s="1283">
        <v>1000</v>
      </c>
      <c r="BC179" s="1281">
        <v>6.2E-2</v>
      </c>
      <c r="BD179" s="1347"/>
      <c r="BE179" s="1281"/>
      <c r="BF179" s="1284">
        <v>10</v>
      </c>
      <c r="BG179" s="1285">
        <v>0.13400000000000001</v>
      </c>
      <c r="BH179" s="1286">
        <v>100</v>
      </c>
      <c r="BI179" s="1285">
        <v>0.113</v>
      </c>
      <c r="BJ179" s="1287">
        <v>400</v>
      </c>
      <c r="BK179" s="1285">
        <v>9.4E-2</v>
      </c>
      <c r="BL179" s="1289">
        <v>1000</v>
      </c>
      <c r="BM179" s="1285">
        <v>8.1000000000000003E-2</v>
      </c>
      <c r="BN179" s="1279"/>
      <c r="BO179" s="1279"/>
      <c r="BP179" s="1279"/>
      <c r="BQ179" s="1279"/>
      <c r="BR179" s="865"/>
      <c r="BS179" s="865"/>
      <c r="BT179" s="865"/>
      <c r="BU179" s="865"/>
      <c r="BV179" s="865"/>
      <c r="BW179" s="865"/>
      <c r="BX179" s="865"/>
      <c r="BY179" s="865"/>
      <c r="BZ179" s="865"/>
      <c r="CA179" s="865"/>
      <c r="CB179" s="865"/>
    </row>
    <row r="180" spans="1:80" ht="14.25" thickTop="1" thickBot="1">
      <c r="A180" s="673">
        <v>155</v>
      </c>
      <c r="B180" s="674">
        <v>2</v>
      </c>
      <c r="C180" s="1244" t="s">
        <v>1430</v>
      </c>
      <c r="D180" s="1149">
        <v>0.01</v>
      </c>
      <c r="E180" s="1054">
        <f>IF(ISNUMBER($D180),ROUND(E179*(1-$D180),4),0)</f>
        <v>8.5099999999999995E-2</v>
      </c>
      <c r="F180" s="661">
        <f t="shared" ref="F180:F189" si="35">IF(E180&gt;0,E180-0.004,0)</f>
        <v>8.1099999999999992E-2</v>
      </c>
      <c r="G180" s="1001">
        <f t="shared" si="14"/>
        <v>0.01</v>
      </c>
      <c r="H180" s="922">
        <f>IF(ISNUMBER($D180),ROUND(H179*(1-$D180),4),0)</f>
        <v>7.4300000000000005E-2</v>
      </c>
      <c r="I180" s="661">
        <f t="shared" ref="I180:I189" si="36">IF(H180&gt;0,H180-0.004,0)</f>
        <v>7.0300000000000001E-2</v>
      </c>
      <c r="J180" s="1002">
        <f t="shared" si="15"/>
        <v>0.01</v>
      </c>
      <c r="K180" s="923">
        <f>IF(ISNUMBER($D180),ROUND(K179*(1-$D180),4),0)</f>
        <v>6.1400000000000003E-2</v>
      </c>
      <c r="L180" s="661">
        <f t="shared" ref="L180:L189" si="37">IF(K180&gt;0,K180-0.004,0)</f>
        <v>5.7400000000000007E-2</v>
      </c>
      <c r="M180" s="1003">
        <f t="shared" ref="M180:M189" si="38">IF(ISNUMBER($D180),$D180,"")</f>
        <v>0.01</v>
      </c>
      <c r="N180" s="923">
        <f>IF(Kalkulation!$B$118&lt;137,0,IF($C$166=1,$BE180,$BM180))</f>
        <v>0</v>
      </c>
      <c r="O180" s="666">
        <f t="shared" ref="O180:O189" si="39">IF(N180&gt;0,N180-0.004,0)</f>
        <v>0</v>
      </c>
      <c r="P180" s="468"/>
      <c r="Q180" s="1006"/>
      <c r="R180" s="468"/>
      <c r="S180" s="1004">
        <f t="shared" si="13"/>
        <v>0.01</v>
      </c>
      <c r="T180" s="924">
        <f>IF(ISNUMBER($D180),ROUND(T179*(1-$D180),4),0)</f>
        <v>6.93E-2</v>
      </c>
      <c r="U180" s="924">
        <f t="shared" ref="U180:U189" si="40">IF(T180&gt;0,T180-0.004,0)</f>
        <v>6.5299999999999997E-2</v>
      </c>
      <c r="V180" s="468"/>
      <c r="W180" s="491"/>
      <c r="X180" s="505"/>
      <c r="Y180" s="468"/>
      <c r="Z180" s="907">
        <v>100</v>
      </c>
      <c r="AA180" s="499">
        <v>20000</v>
      </c>
      <c r="AB180" s="500">
        <v>0.2</v>
      </c>
      <c r="AC180" s="496"/>
      <c r="AD180" s="497"/>
      <c r="AE180" s="496"/>
      <c r="AF180" s="497"/>
      <c r="AG180" s="496"/>
      <c r="AH180" s="497"/>
      <c r="AI180" s="496"/>
      <c r="AJ180" s="497"/>
      <c r="AK180" s="206"/>
      <c r="AL180" s="642">
        <v>100</v>
      </c>
      <c r="AM180" s="642">
        <v>100</v>
      </c>
      <c r="AN180" s="206"/>
      <c r="AO180" s="499">
        <v>1000</v>
      </c>
      <c r="AP180" s="499">
        <v>4</v>
      </c>
      <c r="AQ180" s="642"/>
      <c r="AR180" s="206"/>
      <c r="AS180" s="1243">
        <v>300</v>
      </c>
      <c r="AT180" s="1243">
        <v>100</v>
      </c>
      <c r="AU180" s="499">
        <f t="shared" si="28"/>
        <v>20000</v>
      </c>
      <c r="AV180" s="499">
        <f t="shared" si="29"/>
        <v>40000000</v>
      </c>
      <c r="AW180" s="206"/>
      <c r="AX180" s="1280">
        <v>10</v>
      </c>
      <c r="AY180" s="1281"/>
      <c r="AZ180" s="1282">
        <v>40</v>
      </c>
      <c r="BA180" s="1281"/>
      <c r="BB180" s="1283">
        <v>1000</v>
      </c>
      <c r="BC180" s="1281"/>
      <c r="BD180" s="1347"/>
      <c r="BE180" s="1281"/>
      <c r="BF180" s="1284">
        <v>10</v>
      </c>
      <c r="BG180" s="1285"/>
      <c r="BH180" s="1286">
        <v>100</v>
      </c>
      <c r="BI180" s="1285"/>
      <c r="BJ180" s="1287">
        <v>400</v>
      </c>
      <c r="BK180" s="1285"/>
      <c r="BL180" s="1289">
        <v>1000</v>
      </c>
      <c r="BM180" s="1285"/>
      <c r="BN180" s="1279"/>
      <c r="BO180" s="1279"/>
      <c r="BP180" s="1279"/>
      <c r="BQ180" s="1279"/>
      <c r="BR180" s="865"/>
      <c r="BS180" s="865"/>
      <c r="BT180" s="865"/>
      <c r="BU180" s="865"/>
      <c r="BV180" s="865"/>
      <c r="BW180" s="865"/>
      <c r="BX180" s="865"/>
      <c r="BY180" s="865"/>
      <c r="BZ180" s="865"/>
      <c r="CA180" s="865"/>
      <c r="CB180" s="865"/>
    </row>
    <row r="181" spans="1:80" ht="14.25" thickTop="1" thickBot="1">
      <c r="A181" s="673">
        <v>156</v>
      </c>
      <c r="B181" s="674">
        <v>3</v>
      </c>
      <c r="C181" s="1244" t="s">
        <v>1431</v>
      </c>
      <c r="D181" s="1149"/>
      <c r="E181" s="1054">
        <f>E180</f>
        <v>8.5099999999999995E-2</v>
      </c>
      <c r="F181" s="661">
        <f t="shared" si="35"/>
        <v>8.1099999999999992E-2</v>
      </c>
      <c r="G181" s="1001" t="str">
        <f t="shared" si="14"/>
        <v/>
      </c>
      <c r="H181" s="922">
        <f>H180</f>
        <v>7.4300000000000005E-2</v>
      </c>
      <c r="I181" s="661">
        <f t="shared" si="36"/>
        <v>7.0300000000000001E-2</v>
      </c>
      <c r="J181" s="1002" t="str">
        <f t="shared" si="15"/>
        <v/>
      </c>
      <c r="K181" s="923">
        <f>K180</f>
        <v>6.1400000000000003E-2</v>
      </c>
      <c r="L181" s="661">
        <f t="shared" si="37"/>
        <v>5.7400000000000007E-2</v>
      </c>
      <c r="M181" s="1003" t="str">
        <f t="shared" si="38"/>
        <v/>
      </c>
      <c r="N181" s="923">
        <f>IF(Kalkulation!$B$118&lt;137,0,IF($C$166=1,$BE181,$BM181))</f>
        <v>0</v>
      </c>
      <c r="O181" s="666">
        <f t="shared" si="39"/>
        <v>0</v>
      </c>
      <c r="P181" s="468"/>
      <c r="Q181" s="1006"/>
      <c r="R181" s="468"/>
      <c r="S181" s="1004" t="str">
        <f t="shared" si="13"/>
        <v/>
      </c>
      <c r="T181" s="924">
        <f>T180</f>
        <v>6.93E-2</v>
      </c>
      <c r="U181" s="924">
        <f t="shared" si="40"/>
        <v>6.5299999999999997E-2</v>
      </c>
      <c r="V181" s="468"/>
      <c r="W181" s="491"/>
      <c r="X181" s="505"/>
      <c r="Y181" s="468"/>
      <c r="Z181" s="907">
        <v>100</v>
      </c>
      <c r="AA181" s="499">
        <v>20000</v>
      </c>
      <c r="AB181" s="500">
        <v>0.2</v>
      </c>
      <c r="AC181" s="496"/>
      <c r="AD181" s="497"/>
      <c r="AE181" s="496"/>
      <c r="AF181" s="497"/>
      <c r="AG181" s="496"/>
      <c r="AH181" s="497"/>
      <c r="AI181" s="496"/>
      <c r="AJ181" s="497"/>
      <c r="AK181" s="206"/>
      <c r="AL181" s="642">
        <v>100</v>
      </c>
      <c r="AM181" s="642">
        <v>100</v>
      </c>
      <c r="AN181" s="206"/>
      <c r="AO181" s="499">
        <v>1000</v>
      </c>
      <c r="AP181" s="499">
        <v>4</v>
      </c>
      <c r="AQ181" s="642"/>
      <c r="AR181" s="206"/>
      <c r="AS181" s="1243">
        <v>300</v>
      </c>
      <c r="AT181" s="1243">
        <v>100</v>
      </c>
      <c r="AU181" s="499">
        <f t="shared" si="28"/>
        <v>20000</v>
      </c>
      <c r="AV181" s="499">
        <f t="shared" si="29"/>
        <v>40000000</v>
      </c>
      <c r="AW181" s="206"/>
      <c r="AX181" s="1280">
        <v>10</v>
      </c>
      <c r="AY181" s="1281"/>
      <c r="AZ181" s="1282">
        <v>40</v>
      </c>
      <c r="BA181" s="1281"/>
      <c r="BB181" s="1283">
        <v>1000</v>
      </c>
      <c r="BC181" s="1281"/>
      <c r="BD181" s="1347"/>
      <c r="BE181" s="1281"/>
      <c r="BF181" s="1284">
        <v>10</v>
      </c>
      <c r="BG181" s="1285"/>
      <c r="BH181" s="1286">
        <v>100</v>
      </c>
      <c r="BI181" s="1285"/>
      <c r="BJ181" s="1287">
        <v>400</v>
      </c>
      <c r="BK181" s="1285"/>
      <c r="BL181" s="1289">
        <v>1000</v>
      </c>
      <c r="BM181" s="1285"/>
      <c r="BN181" s="1279"/>
      <c r="BO181" s="1279"/>
      <c r="BP181" s="1279"/>
      <c r="BQ181" s="1279"/>
      <c r="BR181" s="865"/>
      <c r="BS181" s="865"/>
      <c r="BT181" s="865"/>
      <c r="BU181" s="865"/>
      <c r="BV181" s="865"/>
      <c r="BW181" s="865"/>
      <c r="BX181" s="865"/>
      <c r="BY181" s="865"/>
      <c r="BZ181" s="865"/>
      <c r="CA181" s="865"/>
      <c r="CB181" s="865"/>
    </row>
    <row r="182" spans="1:80" ht="14.25" thickTop="1" thickBot="1">
      <c r="A182" s="673">
        <v>157</v>
      </c>
      <c r="B182" s="674">
        <v>4</v>
      </c>
      <c r="C182" s="1244" t="s">
        <v>1432</v>
      </c>
      <c r="D182" s="1149"/>
      <c r="E182" s="1054">
        <f>E181</f>
        <v>8.5099999999999995E-2</v>
      </c>
      <c r="F182" s="661">
        <f t="shared" si="35"/>
        <v>8.1099999999999992E-2</v>
      </c>
      <c r="G182" s="1001" t="str">
        <f t="shared" si="14"/>
        <v/>
      </c>
      <c r="H182" s="922">
        <f>H181</f>
        <v>7.4300000000000005E-2</v>
      </c>
      <c r="I182" s="661">
        <f t="shared" si="36"/>
        <v>7.0300000000000001E-2</v>
      </c>
      <c r="J182" s="1002" t="str">
        <f t="shared" si="15"/>
        <v/>
      </c>
      <c r="K182" s="923">
        <f>K181</f>
        <v>6.1400000000000003E-2</v>
      </c>
      <c r="L182" s="661">
        <f t="shared" si="37"/>
        <v>5.7400000000000007E-2</v>
      </c>
      <c r="M182" s="1003" t="str">
        <f t="shared" si="38"/>
        <v/>
      </c>
      <c r="N182" s="923">
        <f>IF(Kalkulation!$B$118&lt;137,0,IF($C$166=1,$BE182,$BM182))</f>
        <v>0</v>
      </c>
      <c r="O182" s="666">
        <f t="shared" si="39"/>
        <v>0</v>
      </c>
      <c r="P182" s="468"/>
      <c r="Q182" s="1006"/>
      <c r="R182" s="468"/>
      <c r="S182" s="1004" t="str">
        <f t="shared" si="13"/>
        <v/>
      </c>
      <c r="T182" s="924">
        <f>T181</f>
        <v>6.93E-2</v>
      </c>
      <c r="U182" s="924">
        <f t="shared" si="40"/>
        <v>6.5299999999999997E-2</v>
      </c>
      <c r="V182" s="468"/>
      <c r="W182" s="491"/>
      <c r="X182" s="505"/>
      <c r="Y182" s="468"/>
      <c r="Z182" s="907">
        <v>100</v>
      </c>
      <c r="AA182" s="499">
        <v>20000</v>
      </c>
      <c r="AB182" s="500">
        <v>0.2</v>
      </c>
      <c r="AC182" s="496"/>
      <c r="AD182" s="497"/>
      <c r="AE182" s="496"/>
      <c r="AF182" s="497"/>
      <c r="AG182" s="496"/>
      <c r="AH182" s="497"/>
      <c r="AI182" s="496"/>
      <c r="AJ182" s="497"/>
      <c r="AK182" s="206"/>
      <c r="AL182" s="642">
        <v>100</v>
      </c>
      <c r="AM182" s="642">
        <v>100</v>
      </c>
      <c r="AN182" s="206"/>
      <c r="AO182" s="499">
        <v>1000</v>
      </c>
      <c r="AP182" s="499">
        <v>4</v>
      </c>
      <c r="AQ182" s="642"/>
      <c r="AR182" s="206"/>
      <c r="AS182" s="1243">
        <v>300</v>
      </c>
      <c r="AT182" s="1243">
        <v>100</v>
      </c>
      <c r="AU182" s="499">
        <f t="shared" si="28"/>
        <v>20000</v>
      </c>
      <c r="AV182" s="499">
        <f t="shared" si="29"/>
        <v>40000000</v>
      </c>
      <c r="AW182" s="206"/>
      <c r="AX182" s="1280">
        <v>10</v>
      </c>
      <c r="AY182" s="1281"/>
      <c r="AZ182" s="1282">
        <v>40</v>
      </c>
      <c r="BA182" s="1281"/>
      <c r="BB182" s="1283">
        <v>1000</v>
      </c>
      <c r="BC182" s="1281"/>
      <c r="BD182" s="1347"/>
      <c r="BE182" s="1281"/>
      <c r="BF182" s="1284">
        <v>10</v>
      </c>
      <c r="BG182" s="1285"/>
      <c r="BH182" s="1286">
        <v>100</v>
      </c>
      <c r="BI182" s="1285"/>
      <c r="BJ182" s="1287">
        <v>400</v>
      </c>
      <c r="BK182" s="1285"/>
      <c r="BL182" s="1289">
        <v>1000</v>
      </c>
      <c r="BM182" s="1285"/>
      <c r="BN182" s="1279"/>
      <c r="BO182" s="1279"/>
      <c r="BP182" s="1279"/>
      <c r="BQ182" s="1279"/>
      <c r="BR182" s="865"/>
      <c r="BS182" s="865"/>
      <c r="BT182" s="865"/>
      <c r="BU182" s="865"/>
      <c r="BV182" s="865"/>
      <c r="BW182" s="865"/>
      <c r="BX182" s="865"/>
      <c r="BY182" s="865"/>
      <c r="BZ182" s="865"/>
      <c r="CA182" s="865"/>
      <c r="CB182" s="865"/>
    </row>
    <row r="183" spans="1:80" ht="14.25" thickTop="1" thickBot="1">
      <c r="A183" s="673">
        <v>158</v>
      </c>
      <c r="B183" s="674">
        <v>5</v>
      </c>
      <c r="C183" s="1244" t="s">
        <v>1433</v>
      </c>
      <c r="D183" s="1149"/>
      <c r="E183" s="1054">
        <f>E182</f>
        <v>8.5099999999999995E-2</v>
      </c>
      <c r="F183" s="661">
        <f t="shared" si="35"/>
        <v>8.1099999999999992E-2</v>
      </c>
      <c r="G183" s="1001" t="str">
        <f t="shared" si="14"/>
        <v/>
      </c>
      <c r="H183" s="922">
        <f>H182</f>
        <v>7.4300000000000005E-2</v>
      </c>
      <c r="I183" s="661">
        <f t="shared" si="36"/>
        <v>7.0300000000000001E-2</v>
      </c>
      <c r="J183" s="1002" t="str">
        <f t="shared" si="15"/>
        <v/>
      </c>
      <c r="K183" s="923">
        <f>K182</f>
        <v>6.1400000000000003E-2</v>
      </c>
      <c r="L183" s="661">
        <f t="shared" si="37"/>
        <v>5.7400000000000007E-2</v>
      </c>
      <c r="M183" s="1003" t="str">
        <f t="shared" si="38"/>
        <v/>
      </c>
      <c r="N183" s="923">
        <f>IF(Kalkulation!$B$118&lt;137,0,IF($C$166=1,$BE183,$BM183))</f>
        <v>0</v>
      </c>
      <c r="O183" s="666">
        <f t="shared" si="39"/>
        <v>0</v>
      </c>
      <c r="P183" s="468"/>
      <c r="Q183" s="1006"/>
      <c r="R183" s="468"/>
      <c r="S183" s="1004" t="str">
        <f t="shared" si="13"/>
        <v/>
      </c>
      <c r="T183" s="924">
        <f>T182</f>
        <v>6.93E-2</v>
      </c>
      <c r="U183" s="924">
        <f t="shared" si="40"/>
        <v>6.5299999999999997E-2</v>
      </c>
      <c r="V183" s="468"/>
      <c r="W183" s="491"/>
      <c r="X183" s="505"/>
      <c r="Y183" s="468"/>
      <c r="Z183" s="907">
        <v>100</v>
      </c>
      <c r="AA183" s="499">
        <v>20000</v>
      </c>
      <c r="AB183" s="500">
        <v>0.2</v>
      </c>
      <c r="AC183" s="496"/>
      <c r="AD183" s="497"/>
      <c r="AE183" s="496"/>
      <c r="AF183" s="497"/>
      <c r="AG183" s="496"/>
      <c r="AH183" s="497"/>
      <c r="AI183" s="496"/>
      <c r="AJ183" s="497"/>
      <c r="AK183" s="206"/>
      <c r="AL183" s="642">
        <v>100</v>
      </c>
      <c r="AM183" s="642">
        <v>100</v>
      </c>
      <c r="AN183" s="206"/>
      <c r="AO183" s="499">
        <v>1000</v>
      </c>
      <c r="AP183" s="499">
        <v>4</v>
      </c>
      <c r="AQ183" s="642"/>
      <c r="AR183" s="206"/>
      <c r="AS183" s="1243">
        <v>300</v>
      </c>
      <c r="AT183" s="1243">
        <v>100</v>
      </c>
      <c r="AU183" s="499">
        <f t="shared" si="28"/>
        <v>20000</v>
      </c>
      <c r="AV183" s="499">
        <f t="shared" si="29"/>
        <v>40000000</v>
      </c>
      <c r="AW183" s="206"/>
      <c r="AX183" s="1280">
        <v>10</v>
      </c>
      <c r="AY183" s="1281"/>
      <c r="AZ183" s="1282">
        <v>40</v>
      </c>
      <c r="BA183" s="1281"/>
      <c r="BB183" s="1283">
        <v>1000</v>
      </c>
      <c r="BC183" s="1281"/>
      <c r="BD183" s="1347"/>
      <c r="BE183" s="1281"/>
      <c r="BF183" s="1284">
        <v>10</v>
      </c>
      <c r="BG183" s="1285"/>
      <c r="BH183" s="1286">
        <v>100</v>
      </c>
      <c r="BI183" s="1285"/>
      <c r="BJ183" s="1287">
        <v>400</v>
      </c>
      <c r="BK183" s="1285"/>
      <c r="BL183" s="1289">
        <v>1000</v>
      </c>
      <c r="BM183" s="1285"/>
      <c r="BN183" s="1279"/>
      <c r="BO183" s="1279"/>
      <c r="BP183" s="1279"/>
      <c r="BQ183" s="1279"/>
      <c r="BR183" s="865"/>
      <c r="BS183" s="865"/>
      <c r="BT183" s="865"/>
      <c r="BU183" s="865"/>
      <c r="BV183" s="865"/>
      <c r="BW183" s="865"/>
      <c r="BX183" s="865"/>
      <c r="BY183" s="865"/>
      <c r="BZ183" s="865"/>
      <c r="CA183" s="865"/>
      <c r="CB183" s="865"/>
    </row>
    <row r="184" spans="1:80" ht="14.25" thickTop="1" thickBot="1">
      <c r="A184" s="673">
        <v>159</v>
      </c>
      <c r="B184" s="674">
        <v>6</v>
      </c>
      <c r="C184" s="1244" t="s">
        <v>1434</v>
      </c>
      <c r="D184" s="1149"/>
      <c r="E184" s="1054">
        <f>E183</f>
        <v>8.5099999999999995E-2</v>
      </c>
      <c r="F184" s="661">
        <f t="shared" si="35"/>
        <v>8.1099999999999992E-2</v>
      </c>
      <c r="G184" s="1001" t="str">
        <f t="shared" si="14"/>
        <v/>
      </c>
      <c r="H184" s="922">
        <f>H183</f>
        <v>7.4300000000000005E-2</v>
      </c>
      <c r="I184" s="661">
        <f t="shared" si="36"/>
        <v>7.0300000000000001E-2</v>
      </c>
      <c r="J184" s="1002" t="str">
        <f t="shared" si="15"/>
        <v/>
      </c>
      <c r="K184" s="923">
        <f>K183</f>
        <v>6.1400000000000003E-2</v>
      </c>
      <c r="L184" s="661">
        <f t="shared" si="37"/>
        <v>5.7400000000000007E-2</v>
      </c>
      <c r="M184" s="1003" t="str">
        <f t="shared" si="38"/>
        <v/>
      </c>
      <c r="N184" s="923">
        <f>IF(Kalkulation!$B$118&lt;137,0,IF($C$166=1,$BE184,$BM184))</f>
        <v>0</v>
      </c>
      <c r="O184" s="666">
        <f t="shared" si="39"/>
        <v>0</v>
      </c>
      <c r="P184" s="468"/>
      <c r="Q184" s="1006"/>
      <c r="R184" s="468"/>
      <c r="S184" s="1004" t="str">
        <f t="shared" si="13"/>
        <v/>
      </c>
      <c r="T184" s="924">
        <f>T183</f>
        <v>6.93E-2</v>
      </c>
      <c r="U184" s="924">
        <f t="shared" si="40"/>
        <v>6.5299999999999997E-2</v>
      </c>
      <c r="V184" s="468"/>
      <c r="W184" s="491"/>
      <c r="X184" s="505"/>
      <c r="Y184" s="468"/>
      <c r="Z184" s="907">
        <v>100</v>
      </c>
      <c r="AA184" s="499">
        <v>20000</v>
      </c>
      <c r="AB184" s="500">
        <v>0.2</v>
      </c>
      <c r="AC184" s="496"/>
      <c r="AD184" s="497"/>
      <c r="AE184" s="496"/>
      <c r="AF184" s="497"/>
      <c r="AG184" s="496"/>
      <c r="AH184" s="497"/>
      <c r="AI184" s="496"/>
      <c r="AJ184" s="497"/>
      <c r="AK184" s="206"/>
      <c r="AL184" s="642">
        <v>100</v>
      </c>
      <c r="AM184" s="642">
        <v>100</v>
      </c>
      <c r="AN184" s="206"/>
      <c r="AO184" s="499">
        <v>1000</v>
      </c>
      <c r="AP184" s="499">
        <v>4</v>
      </c>
      <c r="AQ184" s="642"/>
      <c r="AR184" s="206"/>
      <c r="AS184" s="1243">
        <v>300</v>
      </c>
      <c r="AT184" s="1243">
        <v>100</v>
      </c>
      <c r="AU184" s="499">
        <f t="shared" si="28"/>
        <v>20000</v>
      </c>
      <c r="AV184" s="499">
        <f t="shared" si="29"/>
        <v>40000000</v>
      </c>
      <c r="AW184" s="206"/>
      <c r="AX184" s="1280">
        <v>10</v>
      </c>
      <c r="AY184" s="1281"/>
      <c r="AZ184" s="1282">
        <v>40</v>
      </c>
      <c r="BA184" s="1281"/>
      <c r="BB184" s="1283">
        <v>1000</v>
      </c>
      <c r="BC184" s="1281"/>
      <c r="BD184" s="1347"/>
      <c r="BE184" s="1281"/>
      <c r="BF184" s="1284">
        <v>10</v>
      </c>
      <c r="BG184" s="1285"/>
      <c r="BH184" s="1286">
        <v>100</v>
      </c>
      <c r="BI184" s="1285"/>
      <c r="BJ184" s="1287">
        <v>400</v>
      </c>
      <c r="BK184" s="1285"/>
      <c r="BL184" s="1289">
        <v>1000</v>
      </c>
      <c r="BM184" s="1285"/>
      <c r="BN184" s="1279"/>
      <c r="BO184" s="1279"/>
      <c r="BP184" s="1279"/>
      <c r="BQ184" s="1279"/>
      <c r="BR184" s="865"/>
      <c r="BS184" s="865"/>
      <c r="BT184" s="865"/>
      <c r="BU184" s="865"/>
      <c r="BV184" s="865"/>
      <c r="BW184" s="865"/>
      <c r="BX184" s="865"/>
      <c r="BY184" s="865"/>
      <c r="BZ184" s="865"/>
      <c r="CA184" s="865"/>
      <c r="CB184" s="865"/>
    </row>
    <row r="185" spans="1:80" ht="14.25" thickTop="1" thickBot="1">
      <c r="A185" s="673">
        <v>160</v>
      </c>
      <c r="B185" s="674">
        <v>7</v>
      </c>
      <c r="C185" s="1244" t="s">
        <v>1435</v>
      </c>
      <c r="D185" s="1149"/>
      <c r="E185" s="1054">
        <f>E184</f>
        <v>8.5099999999999995E-2</v>
      </c>
      <c r="F185" s="661">
        <f t="shared" si="35"/>
        <v>8.1099999999999992E-2</v>
      </c>
      <c r="G185" s="1001" t="str">
        <f t="shared" si="14"/>
        <v/>
      </c>
      <c r="H185" s="922">
        <f>H184</f>
        <v>7.4300000000000005E-2</v>
      </c>
      <c r="I185" s="661">
        <f t="shared" si="36"/>
        <v>7.0300000000000001E-2</v>
      </c>
      <c r="J185" s="1002" t="str">
        <f t="shared" si="15"/>
        <v/>
      </c>
      <c r="K185" s="923">
        <f>K184</f>
        <v>6.1400000000000003E-2</v>
      </c>
      <c r="L185" s="661">
        <f t="shared" si="37"/>
        <v>5.7400000000000007E-2</v>
      </c>
      <c r="M185" s="1003" t="str">
        <f t="shared" si="38"/>
        <v/>
      </c>
      <c r="N185" s="923">
        <f>IF(Kalkulation!$B$118&lt;137,0,IF($C$166=1,$BE185,$BM185))</f>
        <v>0</v>
      </c>
      <c r="O185" s="666">
        <f t="shared" si="39"/>
        <v>0</v>
      </c>
      <c r="P185" s="468"/>
      <c r="Q185" s="1006"/>
      <c r="R185" s="468"/>
      <c r="S185" s="1004" t="str">
        <f t="shared" si="13"/>
        <v/>
      </c>
      <c r="T185" s="924">
        <f>T184</f>
        <v>6.93E-2</v>
      </c>
      <c r="U185" s="924">
        <f t="shared" si="40"/>
        <v>6.5299999999999997E-2</v>
      </c>
      <c r="V185" s="468"/>
      <c r="W185" s="491"/>
      <c r="X185" s="505"/>
      <c r="Y185" s="468"/>
      <c r="Z185" s="907">
        <v>100</v>
      </c>
      <c r="AA185" s="499">
        <v>20000</v>
      </c>
      <c r="AB185" s="500">
        <v>0.2</v>
      </c>
      <c r="AC185" s="496"/>
      <c r="AD185" s="497"/>
      <c r="AE185" s="496"/>
      <c r="AF185" s="497"/>
      <c r="AG185" s="496"/>
      <c r="AH185" s="497"/>
      <c r="AI185" s="496"/>
      <c r="AJ185" s="497"/>
      <c r="AK185" s="206"/>
      <c r="AL185" s="642">
        <v>100</v>
      </c>
      <c r="AM185" s="642">
        <v>100</v>
      </c>
      <c r="AN185" s="206"/>
      <c r="AO185" s="499">
        <v>1000</v>
      </c>
      <c r="AP185" s="499">
        <v>4</v>
      </c>
      <c r="AQ185" s="642"/>
      <c r="AR185" s="206"/>
      <c r="AS185" s="1243">
        <v>300</v>
      </c>
      <c r="AT185" s="1243">
        <v>100</v>
      </c>
      <c r="AU185" s="499">
        <f t="shared" si="28"/>
        <v>20000</v>
      </c>
      <c r="AV185" s="499">
        <f t="shared" si="29"/>
        <v>40000000</v>
      </c>
      <c r="AW185" s="206"/>
      <c r="AX185" s="1280">
        <v>10</v>
      </c>
      <c r="AY185" s="1281"/>
      <c r="AZ185" s="1282">
        <v>40</v>
      </c>
      <c r="BA185" s="1281"/>
      <c r="BB185" s="1283">
        <v>1000</v>
      </c>
      <c r="BC185" s="1281"/>
      <c r="BD185" s="1347"/>
      <c r="BE185" s="1281"/>
      <c r="BF185" s="1284">
        <v>10</v>
      </c>
      <c r="BG185" s="1285"/>
      <c r="BH185" s="1286">
        <v>100</v>
      </c>
      <c r="BI185" s="1285"/>
      <c r="BJ185" s="1287">
        <v>400</v>
      </c>
      <c r="BK185" s="1285"/>
      <c r="BL185" s="1289">
        <v>1000</v>
      </c>
      <c r="BM185" s="1285"/>
      <c r="BN185" s="1279"/>
      <c r="BO185" s="1279"/>
      <c r="BP185" s="1279"/>
      <c r="BQ185" s="1279"/>
      <c r="BR185" s="865"/>
      <c r="BS185" s="865"/>
      <c r="BT185" s="865"/>
      <c r="BU185" s="865"/>
      <c r="BV185" s="865"/>
      <c r="BW185" s="865"/>
      <c r="BX185" s="865"/>
      <c r="BY185" s="865"/>
      <c r="BZ185" s="865"/>
      <c r="CA185" s="865"/>
      <c r="CB185" s="865"/>
    </row>
    <row r="186" spans="1:80" ht="14.25" thickTop="1" thickBot="1">
      <c r="A186" s="673">
        <v>161</v>
      </c>
      <c r="B186" s="674">
        <v>8</v>
      </c>
      <c r="C186" s="1244" t="s">
        <v>1436</v>
      </c>
      <c r="D186" s="1149">
        <v>0.01</v>
      </c>
      <c r="E186" s="1054">
        <f>IF(ISNUMBER($D186),ROUND(E185*(1-$D186),4),0)</f>
        <v>8.4199999999999997E-2</v>
      </c>
      <c r="F186" s="661">
        <f t="shared" si="35"/>
        <v>8.0199999999999994E-2</v>
      </c>
      <c r="G186" s="1001">
        <f t="shared" si="14"/>
        <v>0.01</v>
      </c>
      <c r="H186" s="922">
        <f>IF(ISNUMBER($D186),ROUND(H185*(1-$D186),4),0)</f>
        <v>7.3599999999999999E-2</v>
      </c>
      <c r="I186" s="661">
        <f t="shared" si="36"/>
        <v>6.9599999999999995E-2</v>
      </c>
      <c r="J186" s="1002">
        <f t="shared" si="15"/>
        <v>0.01</v>
      </c>
      <c r="K186" s="923">
        <f>IF(ISNUMBER($D186),ROUND(K185*(1-$D186),4),0)</f>
        <v>6.08E-2</v>
      </c>
      <c r="L186" s="661">
        <f t="shared" si="37"/>
        <v>5.6800000000000003E-2</v>
      </c>
      <c r="M186" s="1003">
        <f t="shared" si="38"/>
        <v>0.01</v>
      </c>
      <c r="N186" s="923">
        <f>IF(Kalkulation!$B$118&lt;137,0,IF($C$166=1,$BE186,$BM186))</f>
        <v>0</v>
      </c>
      <c r="O186" s="666">
        <f t="shared" si="39"/>
        <v>0</v>
      </c>
      <c r="P186" s="468"/>
      <c r="Q186" s="1006"/>
      <c r="R186" s="468"/>
      <c r="S186" s="1004">
        <f t="shared" si="13"/>
        <v>0.01</v>
      </c>
      <c r="T186" s="924">
        <f>IF(ISNUMBER($D186),ROUND(T185*(1-$D186),4),0)</f>
        <v>6.8599999999999994E-2</v>
      </c>
      <c r="U186" s="924">
        <f t="shared" si="40"/>
        <v>6.4599999999999991E-2</v>
      </c>
      <c r="V186" s="468"/>
      <c r="W186" s="491"/>
      <c r="X186" s="505"/>
      <c r="Y186" s="468"/>
      <c r="Z186" s="907">
        <v>100</v>
      </c>
      <c r="AA186" s="499">
        <v>20000</v>
      </c>
      <c r="AB186" s="500">
        <v>0.2</v>
      </c>
      <c r="AC186" s="496"/>
      <c r="AD186" s="497"/>
      <c r="AE186" s="496"/>
      <c r="AF186" s="497"/>
      <c r="AG186" s="496"/>
      <c r="AH186" s="497"/>
      <c r="AI186" s="496"/>
      <c r="AJ186" s="497"/>
      <c r="AK186" s="206"/>
      <c r="AL186" s="642">
        <v>100</v>
      </c>
      <c r="AM186" s="642">
        <v>100</v>
      </c>
      <c r="AN186" s="206"/>
      <c r="AO186" s="499">
        <v>1000</v>
      </c>
      <c r="AP186" s="499">
        <v>4</v>
      </c>
      <c r="AQ186" s="642"/>
      <c r="AR186" s="206"/>
      <c r="AS186" s="1243">
        <v>300</v>
      </c>
      <c r="AT186" s="1243">
        <v>100</v>
      </c>
      <c r="AU186" s="499">
        <f t="shared" si="28"/>
        <v>20000</v>
      </c>
      <c r="AV186" s="499">
        <f t="shared" si="29"/>
        <v>40000000</v>
      </c>
      <c r="AW186" s="206"/>
      <c r="AX186" s="1280">
        <v>10</v>
      </c>
      <c r="AY186" s="1281"/>
      <c r="AZ186" s="1282">
        <v>40</v>
      </c>
      <c r="BA186" s="1281"/>
      <c r="BB186" s="1283">
        <v>1000</v>
      </c>
      <c r="BC186" s="1281"/>
      <c r="BD186" s="1347"/>
      <c r="BE186" s="1281"/>
      <c r="BF186" s="1284">
        <v>10</v>
      </c>
      <c r="BG186" s="1285"/>
      <c r="BH186" s="1286">
        <v>100</v>
      </c>
      <c r="BI186" s="1285"/>
      <c r="BJ186" s="1287">
        <v>400</v>
      </c>
      <c r="BK186" s="1285"/>
      <c r="BL186" s="1289">
        <v>1000</v>
      </c>
      <c r="BM186" s="1285"/>
      <c r="BN186" s="1279"/>
      <c r="BO186" s="1279"/>
      <c r="BP186" s="1279"/>
      <c r="BQ186" s="1279"/>
      <c r="BR186" s="865"/>
      <c r="BS186" s="865"/>
      <c r="BT186" s="865"/>
      <c r="BU186" s="865"/>
      <c r="BV186" s="865"/>
      <c r="BW186" s="865"/>
      <c r="BX186" s="865"/>
      <c r="BY186" s="865"/>
      <c r="BZ186" s="865"/>
      <c r="CA186" s="865"/>
      <c r="CB186" s="865"/>
    </row>
    <row r="187" spans="1:80" ht="14.25" thickTop="1" thickBot="1">
      <c r="A187" s="673">
        <v>162</v>
      </c>
      <c r="B187" s="674">
        <v>9</v>
      </c>
      <c r="C187" s="1244" t="s">
        <v>1437</v>
      </c>
      <c r="D187" s="1149"/>
      <c r="E187" s="1054">
        <f>E186</f>
        <v>8.4199999999999997E-2</v>
      </c>
      <c r="F187" s="661">
        <f t="shared" si="35"/>
        <v>8.0199999999999994E-2</v>
      </c>
      <c r="G187" s="1001" t="str">
        <f t="shared" si="14"/>
        <v/>
      </c>
      <c r="H187" s="922">
        <f>H186</f>
        <v>7.3599999999999999E-2</v>
      </c>
      <c r="I187" s="661">
        <f t="shared" si="36"/>
        <v>6.9599999999999995E-2</v>
      </c>
      <c r="J187" s="1002" t="str">
        <f t="shared" si="15"/>
        <v/>
      </c>
      <c r="K187" s="923">
        <f>K186</f>
        <v>6.08E-2</v>
      </c>
      <c r="L187" s="661">
        <f t="shared" si="37"/>
        <v>5.6800000000000003E-2</v>
      </c>
      <c r="M187" s="1003" t="str">
        <f t="shared" si="38"/>
        <v/>
      </c>
      <c r="N187" s="923">
        <f>IF(Kalkulation!$B$118&lt;137,0,IF($C$166=1,$BE187,$BM187))</f>
        <v>0</v>
      </c>
      <c r="O187" s="666">
        <f t="shared" si="39"/>
        <v>0</v>
      </c>
      <c r="P187" s="468"/>
      <c r="Q187" s="1006"/>
      <c r="R187" s="468"/>
      <c r="S187" s="1004" t="str">
        <f t="shared" si="13"/>
        <v/>
      </c>
      <c r="T187" s="924">
        <f>T186</f>
        <v>6.8599999999999994E-2</v>
      </c>
      <c r="U187" s="924">
        <f t="shared" si="40"/>
        <v>6.4599999999999991E-2</v>
      </c>
      <c r="V187" s="468"/>
      <c r="W187" s="491"/>
      <c r="X187" s="505"/>
      <c r="Y187" s="468"/>
      <c r="Z187" s="907">
        <v>100</v>
      </c>
      <c r="AA187" s="499">
        <v>20000</v>
      </c>
      <c r="AB187" s="500">
        <v>0.2</v>
      </c>
      <c r="AC187" s="496"/>
      <c r="AD187" s="497"/>
      <c r="AE187" s="496"/>
      <c r="AF187" s="497"/>
      <c r="AG187" s="496"/>
      <c r="AH187" s="497"/>
      <c r="AI187" s="496"/>
      <c r="AJ187" s="497"/>
      <c r="AK187" s="206"/>
      <c r="AL187" s="642">
        <v>100</v>
      </c>
      <c r="AM187" s="642">
        <v>100</v>
      </c>
      <c r="AN187" s="206"/>
      <c r="AO187" s="499">
        <v>1000</v>
      </c>
      <c r="AP187" s="499">
        <v>4</v>
      </c>
      <c r="AQ187" s="642"/>
      <c r="AR187" s="206"/>
      <c r="AS187" s="1243">
        <v>300</v>
      </c>
      <c r="AT187" s="1243">
        <v>100</v>
      </c>
      <c r="AU187" s="499">
        <f t="shared" si="28"/>
        <v>20000</v>
      </c>
      <c r="AV187" s="499">
        <f t="shared" si="29"/>
        <v>40000000</v>
      </c>
      <c r="AW187" s="206"/>
      <c r="AX187" s="1280">
        <v>10</v>
      </c>
      <c r="AY187" s="1281"/>
      <c r="AZ187" s="1282">
        <v>40</v>
      </c>
      <c r="BA187" s="1281"/>
      <c r="BB187" s="1283">
        <v>1000</v>
      </c>
      <c r="BC187" s="1281"/>
      <c r="BD187" s="1347"/>
      <c r="BE187" s="1281"/>
      <c r="BF187" s="1284">
        <v>10</v>
      </c>
      <c r="BG187" s="1285"/>
      <c r="BH187" s="1286">
        <v>100</v>
      </c>
      <c r="BI187" s="1285"/>
      <c r="BJ187" s="1287">
        <v>400</v>
      </c>
      <c r="BK187" s="1285"/>
      <c r="BL187" s="1289">
        <v>1000</v>
      </c>
      <c r="BM187" s="1285"/>
      <c r="BN187" s="1279"/>
      <c r="BO187" s="1279"/>
      <c r="BP187" s="1279"/>
      <c r="BQ187" s="1279"/>
      <c r="BR187" s="865"/>
      <c r="BS187" s="865"/>
      <c r="BT187" s="865"/>
      <c r="BU187" s="865"/>
      <c r="BV187" s="865"/>
      <c r="BW187" s="865"/>
      <c r="BX187" s="865"/>
      <c r="BY187" s="865"/>
      <c r="BZ187" s="865"/>
      <c r="CA187" s="865"/>
      <c r="CB187" s="865"/>
    </row>
    <row r="188" spans="1:80" ht="14.25" thickTop="1" thickBot="1">
      <c r="A188" s="673">
        <v>163</v>
      </c>
      <c r="B188" s="674">
        <v>10</v>
      </c>
      <c r="C188" s="1244" t="s">
        <v>1438</v>
      </c>
      <c r="D188" s="1149"/>
      <c r="E188" s="1054">
        <f>E187</f>
        <v>8.4199999999999997E-2</v>
      </c>
      <c r="F188" s="661">
        <f t="shared" si="35"/>
        <v>8.0199999999999994E-2</v>
      </c>
      <c r="G188" s="1001" t="str">
        <f t="shared" si="14"/>
        <v/>
      </c>
      <c r="H188" s="922">
        <f>H187</f>
        <v>7.3599999999999999E-2</v>
      </c>
      <c r="I188" s="661">
        <f t="shared" si="36"/>
        <v>6.9599999999999995E-2</v>
      </c>
      <c r="J188" s="1002" t="str">
        <f t="shared" si="15"/>
        <v/>
      </c>
      <c r="K188" s="923">
        <f>K187</f>
        <v>6.08E-2</v>
      </c>
      <c r="L188" s="661">
        <f t="shared" si="37"/>
        <v>5.6800000000000003E-2</v>
      </c>
      <c r="M188" s="1003" t="str">
        <f t="shared" si="38"/>
        <v/>
      </c>
      <c r="N188" s="923">
        <f>IF(Kalkulation!$B$118&lt;137,0,IF($C$166=1,$BE188,$BM188))</f>
        <v>0</v>
      </c>
      <c r="O188" s="666">
        <f t="shared" si="39"/>
        <v>0</v>
      </c>
      <c r="P188" s="468"/>
      <c r="Q188" s="1006"/>
      <c r="R188" s="468"/>
      <c r="S188" s="1004" t="str">
        <f t="shared" si="13"/>
        <v/>
      </c>
      <c r="T188" s="924">
        <f>T187</f>
        <v>6.8599999999999994E-2</v>
      </c>
      <c r="U188" s="924">
        <f t="shared" si="40"/>
        <v>6.4599999999999991E-2</v>
      </c>
      <c r="V188" s="468"/>
      <c r="W188" s="491"/>
      <c r="X188" s="505"/>
      <c r="Y188" s="468"/>
      <c r="Z188" s="907">
        <v>100</v>
      </c>
      <c r="AA188" s="499">
        <v>20000</v>
      </c>
      <c r="AB188" s="500">
        <v>0.2</v>
      </c>
      <c r="AC188" s="496"/>
      <c r="AD188" s="497"/>
      <c r="AE188" s="496"/>
      <c r="AF188" s="497"/>
      <c r="AG188" s="496"/>
      <c r="AH188" s="497"/>
      <c r="AI188" s="496"/>
      <c r="AJ188" s="497"/>
      <c r="AK188" s="206"/>
      <c r="AL188" s="642">
        <v>100</v>
      </c>
      <c r="AM188" s="642">
        <v>100</v>
      </c>
      <c r="AN188" s="206"/>
      <c r="AO188" s="499">
        <v>1000</v>
      </c>
      <c r="AP188" s="499">
        <v>4</v>
      </c>
      <c r="AQ188" s="642"/>
      <c r="AR188" s="206"/>
      <c r="AS188" s="1243">
        <v>300</v>
      </c>
      <c r="AT188" s="1243">
        <v>100</v>
      </c>
      <c r="AU188" s="499">
        <f t="shared" si="28"/>
        <v>20000</v>
      </c>
      <c r="AV188" s="499">
        <f t="shared" si="29"/>
        <v>40000000</v>
      </c>
      <c r="AW188" s="206"/>
      <c r="AX188" s="1280">
        <v>10</v>
      </c>
      <c r="AY188" s="1281"/>
      <c r="AZ188" s="1282">
        <v>40</v>
      </c>
      <c r="BA188" s="1281"/>
      <c r="BB188" s="1283">
        <v>1000</v>
      </c>
      <c r="BC188" s="1281"/>
      <c r="BD188" s="1347"/>
      <c r="BE188" s="1281"/>
      <c r="BF188" s="1284">
        <v>10</v>
      </c>
      <c r="BG188" s="1285"/>
      <c r="BH188" s="1286">
        <v>100</v>
      </c>
      <c r="BI188" s="1285"/>
      <c r="BJ188" s="1287">
        <v>400</v>
      </c>
      <c r="BK188" s="1285"/>
      <c r="BL188" s="1289">
        <v>1000</v>
      </c>
      <c r="BM188" s="1285"/>
      <c r="BN188" s="1279"/>
      <c r="BO188" s="1279"/>
      <c r="BP188" s="1279"/>
      <c r="BQ188" s="1279"/>
      <c r="BR188" s="865"/>
      <c r="BS188" s="865"/>
      <c r="BT188" s="865"/>
      <c r="BU188" s="865"/>
      <c r="BV188" s="865"/>
      <c r="BW188" s="865"/>
      <c r="BX188" s="865"/>
      <c r="BY188" s="865"/>
      <c r="BZ188" s="865"/>
      <c r="CA188" s="865"/>
      <c r="CB188" s="865"/>
    </row>
    <row r="189" spans="1:80" ht="14.25" thickTop="1" thickBot="1">
      <c r="A189" s="673">
        <v>164</v>
      </c>
      <c r="B189" s="674">
        <v>11</v>
      </c>
      <c r="C189" s="1244" t="s">
        <v>1439</v>
      </c>
      <c r="D189" s="1149"/>
      <c r="E189" s="1054">
        <f>E188</f>
        <v>8.4199999999999997E-2</v>
      </c>
      <c r="F189" s="661">
        <f t="shared" si="35"/>
        <v>8.0199999999999994E-2</v>
      </c>
      <c r="G189" s="1001" t="str">
        <f t="shared" si="14"/>
        <v/>
      </c>
      <c r="H189" s="922">
        <f>H188</f>
        <v>7.3599999999999999E-2</v>
      </c>
      <c r="I189" s="661">
        <f t="shared" si="36"/>
        <v>6.9599999999999995E-2</v>
      </c>
      <c r="J189" s="1002" t="str">
        <f t="shared" si="15"/>
        <v/>
      </c>
      <c r="K189" s="923">
        <f>K188</f>
        <v>6.08E-2</v>
      </c>
      <c r="L189" s="661">
        <f t="shared" si="37"/>
        <v>5.6800000000000003E-2</v>
      </c>
      <c r="M189" s="1003" t="str">
        <f t="shared" si="38"/>
        <v/>
      </c>
      <c r="N189" s="923">
        <f>IF(Kalkulation!$B$118&lt;137,0,IF($C$166=1,$BE189,$BM189))</f>
        <v>0</v>
      </c>
      <c r="O189" s="666">
        <f t="shared" si="39"/>
        <v>0</v>
      </c>
      <c r="P189" s="468"/>
      <c r="Q189" s="1006"/>
      <c r="R189" s="468"/>
      <c r="S189" s="1004" t="str">
        <f t="shared" si="13"/>
        <v/>
      </c>
      <c r="T189" s="924">
        <f>T188</f>
        <v>6.8599999999999994E-2</v>
      </c>
      <c r="U189" s="924">
        <f t="shared" si="40"/>
        <v>6.4599999999999991E-2</v>
      </c>
      <c r="V189" s="468"/>
      <c r="W189" s="491"/>
      <c r="X189" s="505"/>
      <c r="Y189" s="468"/>
      <c r="Z189" s="907">
        <v>100</v>
      </c>
      <c r="AA189" s="499">
        <v>20000</v>
      </c>
      <c r="AB189" s="500">
        <v>0.2</v>
      </c>
      <c r="AC189" s="496"/>
      <c r="AD189" s="497"/>
      <c r="AE189" s="496"/>
      <c r="AF189" s="497"/>
      <c r="AG189" s="496"/>
      <c r="AH189" s="497"/>
      <c r="AI189" s="496"/>
      <c r="AJ189" s="497"/>
      <c r="AK189" s="206"/>
      <c r="AL189" s="642">
        <v>100</v>
      </c>
      <c r="AM189" s="642">
        <v>100</v>
      </c>
      <c r="AN189" s="206"/>
      <c r="AO189" s="499">
        <v>1000</v>
      </c>
      <c r="AP189" s="499">
        <v>4</v>
      </c>
      <c r="AQ189" s="642"/>
      <c r="AR189" s="206"/>
      <c r="AS189" s="1243">
        <v>300</v>
      </c>
      <c r="AT189" s="1243">
        <v>100</v>
      </c>
      <c r="AU189" s="499">
        <f t="shared" si="28"/>
        <v>20000</v>
      </c>
      <c r="AV189" s="499">
        <f t="shared" si="29"/>
        <v>40000000</v>
      </c>
      <c r="AW189" s="206"/>
      <c r="AX189" s="1280">
        <v>10</v>
      </c>
      <c r="AY189" s="1281"/>
      <c r="AZ189" s="1282">
        <v>40</v>
      </c>
      <c r="BA189" s="1281"/>
      <c r="BB189" s="1283">
        <v>1000</v>
      </c>
      <c r="BC189" s="1281"/>
      <c r="BD189" s="1347"/>
      <c r="BE189" s="1281"/>
      <c r="BF189" s="1284">
        <v>10</v>
      </c>
      <c r="BG189" s="1285"/>
      <c r="BH189" s="1286">
        <v>100</v>
      </c>
      <c r="BI189" s="1285"/>
      <c r="BJ189" s="1287">
        <v>400</v>
      </c>
      <c r="BK189" s="1285"/>
      <c r="BL189" s="1289">
        <v>1000</v>
      </c>
      <c r="BM189" s="1285"/>
      <c r="BN189" s="1279"/>
      <c r="BO189" s="1279"/>
      <c r="BP189" s="1279"/>
      <c r="BQ189" s="1279"/>
      <c r="BR189" s="865"/>
      <c r="BS189" s="865"/>
      <c r="BT189" s="865"/>
      <c r="BU189" s="865"/>
      <c r="BV189" s="865"/>
      <c r="BW189" s="865"/>
      <c r="BX189" s="865"/>
      <c r="BY189" s="865"/>
      <c r="BZ189" s="865"/>
      <c r="CA189" s="865"/>
      <c r="CB189" s="865"/>
    </row>
    <row r="190" spans="1:80" ht="14.25" thickTop="1" thickBot="1">
      <c r="A190" s="673">
        <v>165</v>
      </c>
      <c r="B190" s="674">
        <v>12</v>
      </c>
      <c r="C190" s="1244" t="s">
        <v>1440</v>
      </c>
      <c r="D190" s="1149"/>
      <c r="E190" s="1054">
        <f>E189</f>
        <v>8.4199999999999997E-2</v>
      </c>
      <c r="F190" s="661">
        <f t="shared" si="23"/>
        <v>8.0199999999999994E-2</v>
      </c>
      <c r="G190" s="1001" t="str">
        <f t="shared" si="14"/>
        <v/>
      </c>
      <c r="H190" s="922">
        <f>H189</f>
        <v>7.3599999999999999E-2</v>
      </c>
      <c r="I190" s="661">
        <f t="shared" si="24"/>
        <v>6.9599999999999995E-2</v>
      </c>
      <c r="J190" s="1002" t="str">
        <f t="shared" si="15"/>
        <v/>
      </c>
      <c r="K190" s="923">
        <f>K189</f>
        <v>6.08E-2</v>
      </c>
      <c r="L190" s="661">
        <f t="shared" si="25"/>
        <v>5.6800000000000003E-2</v>
      </c>
      <c r="M190" s="1003" t="str">
        <f t="shared" ref="M190" si="41">IF(ISNUMBER($D190),$D190,"")</f>
        <v/>
      </c>
      <c r="N190" s="923">
        <f>IF(Kalkulation!$B$118&lt;137,0,IF($C$166=1,$BE190,$BM190))</f>
        <v>0</v>
      </c>
      <c r="O190" s="666">
        <f t="shared" si="26"/>
        <v>0</v>
      </c>
      <c r="P190" s="468"/>
      <c r="Q190" s="1006"/>
      <c r="R190" s="468"/>
      <c r="S190" s="1004" t="str">
        <f t="shared" si="13"/>
        <v/>
      </c>
      <c r="T190" s="924">
        <f>T189</f>
        <v>6.8599999999999994E-2</v>
      </c>
      <c r="U190" s="924">
        <f t="shared" si="27"/>
        <v>6.4599999999999991E-2</v>
      </c>
      <c r="V190" s="468"/>
      <c r="W190" s="491"/>
      <c r="X190" s="505"/>
      <c r="Y190" s="468"/>
      <c r="Z190" s="907">
        <v>100</v>
      </c>
      <c r="AA190" s="499">
        <v>20000</v>
      </c>
      <c r="AB190" s="500">
        <v>0.2</v>
      </c>
      <c r="AC190" s="496"/>
      <c r="AD190" s="497"/>
      <c r="AE190" s="496"/>
      <c r="AF190" s="497"/>
      <c r="AG190" s="496"/>
      <c r="AH190" s="497"/>
      <c r="AI190" s="496"/>
      <c r="AJ190" s="497"/>
      <c r="AK190" s="206"/>
      <c r="AL190" s="642">
        <v>100</v>
      </c>
      <c r="AM190" s="642">
        <v>100</v>
      </c>
      <c r="AN190" s="206"/>
      <c r="AO190" s="499">
        <v>1000</v>
      </c>
      <c r="AP190" s="499">
        <v>4</v>
      </c>
      <c r="AQ190" s="642"/>
      <c r="AR190" s="206"/>
      <c r="AS190" s="1243">
        <v>300</v>
      </c>
      <c r="AT190" s="1243">
        <v>100</v>
      </c>
      <c r="AU190" s="499">
        <f t="shared" si="28"/>
        <v>20000</v>
      </c>
      <c r="AV190" s="499">
        <f t="shared" si="29"/>
        <v>40000000</v>
      </c>
      <c r="AW190" s="206"/>
      <c r="AX190" s="1280">
        <v>10</v>
      </c>
      <c r="AY190" s="1281"/>
      <c r="AZ190" s="1282">
        <v>40</v>
      </c>
      <c r="BA190" s="1281"/>
      <c r="BB190" s="1283">
        <v>1000</v>
      </c>
      <c r="BC190" s="1281"/>
      <c r="BD190" s="1347"/>
      <c r="BE190" s="1281"/>
      <c r="BF190" s="1284">
        <v>10</v>
      </c>
      <c r="BG190" s="1285"/>
      <c r="BH190" s="1286">
        <v>100</v>
      </c>
      <c r="BI190" s="1285"/>
      <c r="BJ190" s="1287">
        <v>400</v>
      </c>
      <c r="BK190" s="1285"/>
      <c r="BL190" s="1289">
        <v>1000</v>
      </c>
      <c r="BM190" s="1285"/>
      <c r="BN190" s="1279"/>
      <c r="BO190" s="1279"/>
      <c r="BP190" s="1279"/>
      <c r="BQ190" s="1279"/>
      <c r="BR190" s="865"/>
      <c r="BS190" s="865"/>
      <c r="BT190" s="865"/>
      <c r="BU190" s="865"/>
      <c r="BV190" s="865"/>
      <c r="BW190" s="865"/>
      <c r="BX190" s="865"/>
      <c r="BY190" s="865"/>
      <c r="BZ190" s="865"/>
      <c r="CA190" s="865"/>
      <c r="CB190" s="865"/>
    </row>
    <row r="191" spans="1:80" ht="6" customHeight="1" thickTop="1">
      <c r="A191" s="673"/>
      <c r="B191" s="214"/>
      <c r="C191" s="211"/>
      <c r="D191" s="206"/>
      <c r="E191" s="206"/>
      <c r="F191" s="206"/>
      <c r="G191" s="206"/>
      <c r="H191" s="206"/>
      <c r="I191" s="206"/>
      <c r="J191" s="206"/>
      <c r="K191" s="206"/>
      <c r="L191" s="206"/>
      <c r="M191" s="206"/>
      <c r="N191" s="206"/>
      <c r="O191" s="206"/>
      <c r="P191" s="206"/>
      <c r="Q191" s="206"/>
      <c r="R191" s="206"/>
      <c r="S191" s="206"/>
      <c r="T191" s="206"/>
      <c r="U191" s="206"/>
      <c r="V191" s="206"/>
      <c r="W191" s="206"/>
      <c r="X191" s="206"/>
      <c r="Y191" s="206"/>
      <c r="Z191" s="908"/>
      <c r="AA191" s="206"/>
      <c r="AB191" s="206"/>
      <c r="AC191" s="206"/>
      <c r="AD191" s="206"/>
      <c r="AE191" s="206"/>
      <c r="AF191" s="206"/>
      <c r="AG191" s="206"/>
      <c r="AH191" s="206"/>
      <c r="AI191" s="206"/>
      <c r="AJ191" s="206"/>
      <c r="AK191" s="206"/>
      <c r="AL191" s="206"/>
      <c r="AM191" s="206"/>
      <c r="AN191" s="206"/>
      <c r="AO191" s="206"/>
      <c r="AP191" s="206"/>
      <c r="AQ191" s="206"/>
      <c r="AR191" s="206"/>
      <c r="AS191" s="206"/>
      <c r="AT191" s="206"/>
      <c r="AU191" s="206"/>
      <c r="AV191" s="206"/>
      <c r="AW191" s="206"/>
      <c r="AX191" s="206"/>
      <c r="AY191" s="206"/>
      <c r="AZ191" s="206"/>
      <c r="BA191" s="206"/>
      <c r="BB191" s="206"/>
      <c r="BC191" s="206"/>
      <c r="BD191" s="206"/>
      <c r="BE191" s="206"/>
      <c r="BF191" s="206"/>
      <c r="BG191" s="206"/>
      <c r="BH191" s="206"/>
      <c r="BI191" s="206"/>
      <c r="BJ191" s="206"/>
      <c r="BK191" s="865"/>
      <c r="BL191" s="865"/>
      <c r="BM191" s="865"/>
      <c r="BN191" s="865"/>
      <c r="BO191" s="865"/>
      <c r="BP191" s="865"/>
      <c r="BQ191" s="865"/>
      <c r="BR191" s="865"/>
      <c r="BS191" s="865"/>
      <c r="BT191" s="865"/>
      <c r="BU191" s="865"/>
      <c r="BV191" s="865"/>
      <c r="BW191" s="865"/>
      <c r="BX191" s="865"/>
      <c r="BY191" s="865"/>
      <c r="BZ191" s="865"/>
      <c r="CA191" s="865"/>
      <c r="CB191" s="865"/>
    </row>
    <row r="192" spans="1:80" ht="6" customHeight="1">
      <c r="A192" s="214"/>
      <c r="B192" s="214"/>
      <c r="C192" s="211"/>
      <c r="D192" s="206"/>
      <c r="E192" s="206"/>
      <c r="F192" s="206"/>
      <c r="G192" s="206"/>
      <c r="H192" s="206"/>
      <c r="I192" s="206"/>
      <c r="J192" s="206"/>
      <c r="K192" s="206"/>
      <c r="L192" s="206"/>
      <c r="M192" s="206"/>
      <c r="N192" s="206"/>
      <c r="O192" s="206"/>
      <c r="P192" s="206"/>
      <c r="Q192" s="206"/>
      <c r="R192" s="206"/>
      <c r="S192" s="206"/>
      <c r="T192" s="206"/>
      <c r="U192" s="206"/>
      <c r="V192" s="206"/>
      <c r="W192" s="206"/>
      <c r="X192" s="206"/>
      <c r="Y192" s="206"/>
      <c r="Z192" s="894"/>
      <c r="AA192" s="206"/>
      <c r="AB192" s="206"/>
      <c r="AC192" s="206"/>
      <c r="AD192" s="206"/>
      <c r="AE192" s="206"/>
      <c r="AF192" s="206"/>
      <c r="AG192" s="206"/>
      <c r="AH192" s="206"/>
      <c r="AI192" s="206"/>
      <c r="AJ192" s="206"/>
      <c r="AK192" s="206"/>
      <c r="AL192" s="206"/>
      <c r="AM192" s="206"/>
      <c r="AN192" s="206"/>
      <c r="AO192" s="206"/>
      <c r="AP192" s="206"/>
      <c r="AQ192" s="206"/>
      <c r="AR192" s="206"/>
      <c r="AS192" s="206"/>
      <c r="AT192" s="206"/>
      <c r="AU192" s="206"/>
      <c r="AV192" s="206"/>
      <c r="AW192" s="206"/>
      <c r="AX192" s="206"/>
      <c r="AY192" s="206"/>
      <c r="AZ192" s="206"/>
      <c r="BA192" s="206"/>
      <c r="BB192" s="206"/>
      <c r="BC192" s="206"/>
      <c r="BD192" s="206"/>
      <c r="BE192" s="206"/>
      <c r="BF192" s="206"/>
      <c r="BG192" s="206"/>
      <c r="BH192" s="206"/>
      <c r="BI192" s="206"/>
      <c r="BJ192" s="206"/>
      <c r="BK192" s="865"/>
      <c r="BL192" s="865"/>
      <c r="BM192" s="865"/>
      <c r="BN192" s="865"/>
      <c r="BO192" s="865"/>
      <c r="BP192" s="865"/>
      <c r="BQ192" s="865"/>
      <c r="BR192" s="865"/>
      <c r="BS192" s="865"/>
      <c r="BT192" s="865"/>
      <c r="BU192" s="865"/>
      <c r="BV192" s="865"/>
      <c r="BW192" s="865"/>
      <c r="BX192" s="865"/>
      <c r="BY192" s="865"/>
      <c r="BZ192" s="865"/>
      <c r="CA192" s="865"/>
      <c r="CB192" s="865"/>
    </row>
    <row r="193" spans="1:80" ht="13.7" customHeight="1">
      <c r="A193" s="614"/>
      <c r="B193" s="614"/>
      <c r="C193" s="213" t="s">
        <v>186</v>
      </c>
      <c r="D193" s="206"/>
      <c r="E193" s="206"/>
      <c r="F193" s="206"/>
      <c r="G193" s="206"/>
      <c r="H193" s="206"/>
      <c r="I193" s="206"/>
      <c r="J193" s="206"/>
      <c r="K193" s="206"/>
      <c r="L193" s="206"/>
      <c r="M193" s="206"/>
      <c r="N193" s="206"/>
      <c r="O193" s="206"/>
      <c r="P193" s="206"/>
      <c r="Q193" s="206"/>
      <c r="R193" s="206"/>
      <c r="S193" s="206"/>
      <c r="T193" s="206"/>
      <c r="U193" s="206"/>
      <c r="V193" s="206"/>
      <c r="W193" s="206"/>
      <c r="X193" s="206"/>
      <c r="Y193" s="206"/>
      <c r="Z193" s="894"/>
      <c r="AA193" s="206"/>
      <c r="AB193" s="206"/>
      <c r="AC193" s="206"/>
      <c r="AD193" s="206"/>
      <c r="AE193" s="206"/>
      <c r="AF193" s="206"/>
      <c r="AG193" s="206"/>
      <c r="AH193" s="206"/>
      <c r="AI193" s="206"/>
      <c r="AJ193" s="206"/>
      <c r="AK193" s="206"/>
      <c r="AL193" s="206"/>
      <c r="AM193" s="206"/>
      <c r="AN193" s="206"/>
      <c r="AO193" s="206"/>
      <c r="AP193" s="206"/>
      <c r="AQ193" s="206"/>
      <c r="AR193" s="206"/>
      <c r="AS193" s="206"/>
      <c r="AT193" s="206"/>
      <c r="AU193" s="206"/>
      <c r="AV193" s="206"/>
      <c r="AW193" s="206"/>
      <c r="AX193" s="206"/>
      <c r="AY193" s="206"/>
      <c r="AZ193" s="206"/>
      <c r="BA193" s="206"/>
      <c r="BB193" s="206"/>
      <c r="BC193" s="206"/>
      <c r="BD193" s="206"/>
      <c r="BE193" s="206"/>
      <c r="BF193" s="206"/>
      <c r="BG193" s="206"/>
      <c r="BH193" s="206"/>
      <c r="BI193" s="206"/>
      <c r="BJ193" s="206"/>
      <c r="BK193" s="865"/>
      <c r="BL193" s="865"/>
      <c r="BM193" s="865"/>
      <c r="BN193" s="865"/>
      <c r="BO193" s="865"/>
      <c r="BP193" s="865"/>
      <c r="BQ193" s="865"/>
      <c r="BR193" s="865"/>
      <c r="BS193" s="865"/>
      <c r="BT193" s="865"/>
      <c r="BU193" s="865"/>
      <c r="BV193" s="865"/>
      <c r="BW193" s="865"/>
      <c r="BX193" s="865"/>
      <c r="BY193" s="865"/>
      <c r="BZ193" s="865"/>
      <c r="CA193" s="865"/>
      <c r="CB193" s="865"/>
    </row>
    <row r="194" spans="1:80" ht="13.7" customHeight="1">
      <c r="A194" s="614"/>
      <c r="B194" s="614"/>
      <c r="C194" s="213" t="s">
        <v>595</v>
      </c>
      <c r="D194" s="206"/>
      <c r="E194" s="206"/>
      <c r="F194" s="206"/>
      <c r="G194" s="206"/>
      <c r="H194" s="206"/>
      <c r="I194" s="206"/>
      <c r="J194" s="206"/>
      <c r="K194" s="206"/>
      <c r="L194" s="206"/>
      <c r="M194" s="206"/>
      <c r="N194" s="206"/>
      <c r="O194" s="206"/>
      <c r="P194" s="206"/>
      <c r="Q194" s="206"/>
      <c r="R194" s="206"/>
      <c r="S194" s="206"/>
      <c r="T194" s="206"/>
      <c r="U194" s="206"/>
      <c r="V194" s="206"/>
      <c r="W194" s="206"/>
      <c r="X194" s="206"/>
      <c r="Y194" s="206"/>
      <c r="Z194" s="894"/>
      <c r="AA194" s="206"/>
      <c r="AB194" s="206"/>
      <c r="AC194" s="206"/>
      <c r="AD194" s="206"/>
      <c r="AE194" s="206"/>
      <c r="AF194" s="206"/>
      <c r="AG194" s="206"/>
      <c r="AH194" s="206"/>
      <c r="AI194" s="206"/>
      <c r="AJ194" s="206"/>
      <c r="AK194" s="206"/>
      <c r="AL194" s="206"/>
      <c r="AM194" s="206"/>
      <c r="AN194" s="206"/>
      <c r="AO194" s="206"/>
      <c r="AP194" s="206"/>
      <c r="AQ194" s="206"/>
      <c r="AR194" s="206"/>
      <c r="AS194" s="206"/>
      <c r="AT194" s="206"/>
      <c r="AU194" s="206"/>
      <c r="AV194" s="206"/>
      <c r="AW194" s="206"/>
      <c r="AX194" s="1294"/>
      <c r="AY194" s="206"/>
      <c r="AZ194" s="206"/>
      <c r="BA194" s="206"/>
      <c r="BB194" s="206"/>
      <c r="BC194" s="206"/>
      <c r="BD194" s="206"/>
      <c r="BE194" s="206"/>
      <c r="BF194" s="206"/>
      <c r="BG194" s="206"/>
      <c r="BH194" s="206"/>
      <c r="BI194" s="206"/>
      <c r="BJ194" s="206"/>
      <c r="BK194" s="865"/>
      <c r="BL194" s="865"/>
      <c r="BM194" s="865"/>
      <c r="BN194" s="865"/>
      <c r="BO194" s="865"/>
      <c r="BP194" s="865"/>
      <c r="BQ194" s="865"/>
      <c r="BR194" s="865"/>
      <c r="BS194" s="865"/>
      <c r="BT194" s="865"/>
      <c r="BU194" s="865"/>
      <c r="BV194" s="865"/>
      <c r="BW194" s="865"/>
      <c r="BX194" s="865"/>
      <c r="BY194" s="865"/>
      <c r="BZ194" s="865"/>
      <c r="CA194" s="865"/>
      <c r="CB194" s="865"/>
    </row>
    <row r="195" spans="1:80" ht="15.4" customHeight="1">
      <c r="A195" s="214"/>
      <c r="B195" s="214"/>
      <c r="C195" s="212" t="s">
        <v>591</v>
      </c>
      <c r="D195" s="206"/>
      <c r="E195" s="206"/>
      <c r="F195" s="206"/>
      <c r="G195" s="206"/>
      <c r="H195" s="206"/>
      <c r="I195" s="206"/>
      <c r="J195" s="206"/>
      <c r="K195" s="206"/>
      <c r="L195" s="206"/>
      <c r="M195" s="206"/>
      <c r="N195" s="206"/>
      <c r="O195" s="206"/>
      <c r="P195" s="206"/>
      <c r="Q195" s="206"/>
      <c r="R195" s="206"/>
      <c r="S195" s="206"/>
      <c r="T195" s="206"/>
      <c r="U195" s="206"/>
      <c r="V195" s="206"/>
      <c r="W195" s="206"/>
      <c r="X195" s="206"/>
      <c r="Y195" s="206"/>
      <c r="Z195" s="894"/>
      <c r="AA195" s="206"/>
      <c r="AB195" s="206"/>
      <c r="AC195" s="206"/>
      <c r="AD195" s="206"/>
      <c r="AE195" s="206"/>
      <c r="AF195" s="206"/>
      <c r="AG195" s="206"/>
      <c r="AH195" s="206"/>
      <c r="AI195" s="206"/>
      <c r="AJ195" s="206"/>
      <c r="AK195" s="206"/>
      <c r="AL195" s="206"/>
      <c r="AM195" s="206"/>
      <c r="AN195" s="206"/>
      <c r="AO195" s="206"/>
      <c r="AP195" s="206"/>
      <c r="AQ195" s="206"/>
      <c r="AR195" s="206"/>
      <c r="AS195" s="206"/>
      <c r="AT195" s="206"/>
      <c r="AU195" s="206"/>
      <c r="AV195" s="206"/>
      <c r="AW195" s="206"/>
      <c r="AX195" s="206"/>
      <c r="AY195" s="206"/>
      <c r="AZ195" s="206"/>
      <c r="BA195" s="206"/>
      <c r="BB195" s="206"/>
      <c r="BC195" s="206"/>
      <c r="BD195" s="206"/>
      <c r="BE195" s="206"/>
      <c r="BF195" s="206"/>
      <c r="BG195" s="206"/>
      <c r="BH195" s="206"/>
      <c r="BI195" s="206"/>
      <c r="BJ195" s="206"/>
      <c r="BK195" s="865"/>
      <c r="BL195" s="865"/>
      <c r="BM195" s="865"/>
      <c r="BN195" s="865"/>
      <c r="BO195" s="865"/>
      <c r="BP195" s="865"/>
      <c r="BQ195" s="865"/>
      <c r="BR195" s="865"/>
      <c r="BS195" s="865"/>
      <c r="BT195" s="865"/>
      <c r="BU195" s="865"/>
      <c r="BV195" s="865"/>
      <c r="BW195" s="865"/>
      <c r="BX195" s="865"/>
      <c r="BY195" s="865"/>
      <c r="BZ195" s="865"/>
      <c r="CA195" s="865"/>
      <c r="CB195" s="865"/>
    </row>
    <row r="196" spans="1:80" ht="15.4" customHeight="1">
      <c r="A196" s="214"/>
      <c r="B196" s="214"/>
      <c r="C196" s="212" t="s">
        <v>592</v>
      </c>
      <c r="D196" s="206"/>
      <c r="E196" s="206"/>
      <c r="F196" s="206"/>
      <c r="G196" s="206"/>
      <c r="H196" s="206"/>
      <c r="I196" s="206"/>
      <c r="J196" s="206"/>
      <c r="K196" s="206"/>
      <c r="L196" s="206"/>
      <c r="M196" s="206"/>
      <c r="N196" s="206"/>
      <c r="O196" s="206"/>
      <c r="P196" s="206"/>
      <c r="Q196" s="206"/>
      <c r="R196" s="206"/>
      <c r="S196" s="206"/>
      <c r="T196" s="206"/>
      <c r="U196" s="206"/>
      <c r="V196" s="206"/>
      <c r="W196" s="206"/>
      <c r="X196" s="206"/>
      <c r="Y196" s="206"/>
      <c r="Z196" s="894"/>
      <c r="AA196" s="206"/>
      <c r="AB196" s="206"/>
      <c r="AC196" s="206"/>
      <c r="AD196" s="206"/>
      <c r="AE196" s="206"/>
      <c r="AF196" s="206"/>
      <c r="AG196" s="206"/>
      <c r="AH196" s="206"/>
      <c r="AI196" s="206"/>
      <c r="AJ196" s="206"/>
      <c r="AK196" s="206"/>
      <c r="AL196" s="206"/>
      <c r="AM196" s="206"/>
      <c r="AN196" s="206"/>
      <c r="AO196" s="206"/>
      <c r="AP196" s="206"/>
      <c r="AQ196" s="206"/>
      <c r="AR196" s="206"/>
      <c r="AS196" s="206"/>
      <c r="AT196" s="206"/>
      <c r="AU196" s="206"/>
      <c r="AV196" s="206"/>
      <c r="AW196" s="206"/>
      <c r="AX196" s="206"/>
      <c r="AY196" s="206"/>
      <c r="AZ196" s="206"/>
      <c r="BA196" s="206"/>
      <c r="BB196" s="206"/>
      <c r="BC196" s="206"/>
      <c r="BD196" s="206"/>
      <c r="BE196" s="206"/>
      <c r="BF196" s="206"/>
      <c r="BG196" s="206"/>
      <c r="BH196" s="206"/>
      <c r="BI196" s="206"/>
      <c r="BJ196" s="206"/>
      <c r="BK196" s="865"/>
      <c r="BL196" s="865"/>
      <c r="BM196" s="865"/>
      <c r="BN196" s="865"/>
      <c r="BO196" s="865"/>
      <c r="BP196" s="865"/>
      <c r="BQ196" s="865"/>
      <c r="BR196" s="865"/>
      <c r="BS196" s="865"/>
      <c r="BT196" s="865"/>
      <c r="BU196" s="865"/>
      <c r="BV196" s="865"/>
      <c r="BW196" s="865"/>
      <c r="BX196" s="865"/>
      <c r="BY196" s="865"/>
      <c r="BZ196" s="865"/>
      <c r="CA196" s="865"/>
      <c r="CB196" s="865"/>
    </row>
    <row r="197" spans="1:80" ht="15.4" customHeight="1">
      <c r="A197" s="214"/>
      <c r="B197" s="214"/>
      <c r="C197" s="212" t="s">
        <v>593</v>
      </c>
      <c r="D197" s="206"/>
      <c r="E197" s="206"/>
      <c r="F197" s="206"/>
      <c r="G197" s="206"/>
      <c r="H197" s="206"/>
      <c r="I197" s="206"/>
      <c r="J197" s="206"/>
      <c r="K197" s="206"/>
      <c r="L197" s="206"/>
      <c r="M197" s="206"/>
      <c r="N197" s="206"/>
      <c r="O197" s="206"/>
      <c r="P197" s="206"/>
      <c r="Q197" s="206"/>
      <c r="R197" s="206"/>
      <c r="S197" s="206"/>
      <c r="T197" s="206"/>
      <c r="U197" s="206"/>
      <c r="V197" s="206"/>
      <c r="W197" s="206"/>
      <c r="X197" s="206"/>
      <c r="Y197" s="206"/>
      <c r="Z197" s="894"/>
      <c r="AA197" s="206"/>
      <c r="AB197" s="206"/>
      <c r="AC197" s="206"/>
      <c r="AD197" s="206"/>
      <c r="AE197" s="206"/>
      <c r="AF197" s="206"/>
      <c r="AG197" s="206"/>
      <c r="AH197" s="206"/>
      <c r="AI197" s="206"/>
      <c r="AJ197" s="206"/>
      <c r="AK197" s="206"/>
      <c r="AL197" s="206"/>
      <c r="AM197" s="206"/>
      <c r="AN197" s="206"/>
      <c r="AO197" s="206"/>
      <c r="AP197" s="206"/>
      <c r="AQ197" s="206"/>
      <c r="AR197" s="206"/>
      <c r="AS197" s="206"/>
      <c r="AT197" s="206"/>
      <c r="AU197" s="206"/>
      <c r="AV197" s="206"/>
      <c r="AW197" s="206"/>
      <c r="AX197" s="206"/>
      <c r="AY197" s="206"/>
      <c r="AZ197" s="206"/>
      <c r="BA197" s="206"/>
      <c r="BB197" s="206"/>
      <c r="BC197" s="206"/>
      <c r="BD197" s="206"/>
      <c r="BE197" s="206"/>
      <c r="BF197" s="206"/>
      <c r="BG197" s="206"/>
      <c r="BH197" s="206"/>
      <c r="BI197" s="206"/>
      <c r="BJ197" s="206"/>
      <c r="BK197" s="865"/>
      <c r="BL197" s="865"/>
      <c r="BM197" s="865"/>
      <c r="BN197" s="865"/>
      <c r="BO197" s="865"/>
      <c r="BP197" s="865"/>
      <c r="BQ197" s="865"/>
      <c r="BR197" s="865"/>
      <c r="BS197" s="865"/>
      <c r="BT197" s="865"/>
      <c r="BU197" s="865"/>
      <c r="BV197" s="865"/>
      <c r="BW197" s="865"/>
      <c r="BX197" s="865"/>
      <c r="BY197" s="865"/>
      <c r="BZ197" s="865"/>
      <c r="CA197" s="865"/>
      <c r="CB197" s="865"/>
    </row>
    <row r="198" spans="1:80" ht="15.4" customHeight="1">
      <c r="A198" s="214"/>
      <c r="B198" s="214"/>
      <c r="C198" s="212" t="s">
        <v>594</v>
      </c>
      <c r="D198" s="206"/>
      <c r="E198" s="206"/>
      <c r="F198" s="206"/>
      <c r="G198" s="206"/>
      <c r="H198" s="206"/>
      <c r="I198" s="206"/>
      <c r="J198" s="206"/>
      <c r="K198" s="206"/>
      <c r="L198" s="206"/>
      <c r="M198" s="206"/>
      <c r="N198" s="206"/>
      <c r="O198" s="206"/>
      <c r="P198" s="206"/>
      <c r="Q198" s="206"/>
      <c r="R198" s="206"/>
      <c r="S198" s="206"/>
      <c r="T198" s="206"/>
      <c r="U198" s="206"/>
      <c r="V198" s="206"/>
      <c r="W198" s="206"/>
      <c r="X198" s="206"/>
      <c r="Y198" s="206"/>
      <c r="Z198" s="894"/>
      <c r="AA198" s="206"/>
      <c r="AB198" s="206"/>
      <c r="AC198" s="206"/>
      <c r="AD198" s="206"/>
      <c r="AE198" s="206"/>
      <c r="AF198" s="206"/>
      <c r="AG198" s="206"/>
      <c r="AH198" s="206"/>
      <c r="AI198" s="206"/>
      <c r="AJ198" s="206"/>
      <c r="AK198" s="206"/>
      <c r="AL198" s="206"/>
      <c r="AM198" s="206"/>
      <c r="AN198" s="206"/>
      <c r="AO198" s="206"/>
      <c r="AP198" s="206"/>
      <c r="AQ198" s="206"/>
      <c r="AR198" s="206"/>
      <c r="AS198" s="206"/>
      <c r="AT198" s="206"/>
      <c r="AU198" s="206"/>
      <c r="AV198" s="206"/>
      <c r="AW198" s="206"/>
      <c r="AX198" s="206"/>
      <c r="AY198" s="206"/>
      <c r="AZ198" s="206"/>
      <c r="BA198" s="206"/>
      <c r="BB198" s="206"/>
      <c r="BC198" s="206"/>
      <c r="BD198" s="206"/>
      <c r="BE198" s="206"/>
      <c r="BF198" s="206"/>
      <c r="BG198" s="206"/>
      <c r="BH198" s="206"/>
      <c r="BI198" s="206"/>
      <c r="BJ198" s="206"/>
      <c r="BK198" s="865"/>
      <c r="BL198" s="865"/>
      <c r="BM198" s="865"/>
      <c r="BN198" s="865"/>
      <c r="BO198" s="865"/>
      <c r="BP198" s="865"/>
      <c r="BQ198" s="865"/>
      <c r="BR198" s="865"/>
      <c r="BS198" s="865"/>
      <c r="BT198" s="865"/>
      <c r="BU198" s="865"/>
      <c r="BV198" s="865"/>
      <c r="BW198" s="865"/>
      <c r="BX198" s="865"/>
      <c r="BY198" s="865"/>
      <c r="BZ198" s="865"/>
      <c r="CA198" s="865"/>
      <c r="CB198" s="865"/>
    </row>
    <row r="199" spans="1:80">
      <c r="A199" s="214"/>
      <c r="B199" s="214"/>
      <c r="C199" s="212" t="s">
        <v>801</v>
      </c>
      <c r="D199" s="206"/>
      <c r="E199" s="206"/>
      <c r="F199" s="206"/>
      <c r="G199" s="206"/>
      <c r="H199" s="206"/>
      <c r="I199" s="206"/>
      <c r="J199" s="206"/>
      <c r="K199" s="206"/>
      <c r="L199" s="206"/>
      <c r="M199" s="206"/>
      <c r="N199" s="206"/>
      <c r="O199" s="206"/>
      <c r="P199" s="206"/>
      <c r="Q199" s="206"/>
      <c r="R199" s="206"/>
      <c r="S199" s="206"/>
      <c r="T199" s="206"/>
      <c r="U199" s="206"/>
      <c r="V199" s="206"/>
      <c r="W199" s="206"/>
      <c r="X199" s="206"/>
      <c r="Y199" s="206"/>
      <c r="Z199" s="894"/>
      <c r="AA199" s="206"/>
      <c r="AB199" s="206"/>
      <c r="AC199" s="206"/>
      <c r="AD199" s="206"/>
      <c r="AE199" s="206"/>
      <c r="AF199" s="206"/>
      <c r="AG199" s="206"/>
      <c r="AH199" s="206"/>
      <c r="AI199" s="206"/>
      <c r="AJ199" s="206"/>
      <c r="AK199" s="633"/>
      <c r="AL199" s="206"/>
      <c r="AM199" s="206"/>
      <c r="AN199" s="633"/>
      <c r="AO199" s="206"/>
      <c r="AP199" s="206"/>
      <c r="AQ199" s="206"/>
      <c r="AR199" s="633"/>
      <c r="AS199" s="206"/>
      <c r="AT199" s="206"/>
      <c r="AU199" s="206"/>
      <c r="AV199" s="206"/>
      <c r="AW199" s="633"/>
      <c r="AX199" s="206"/>
      <c r="AY199" s="206"/>
      <c r="AZ199" s="206"/>
      <c r="BA199" s="206"/>
      <c r="BB199" s="206"/>
      <c r="BC199" s="206"/>
      <c r="BD199" s="206"/>
      <c r="BE199" s="206"/>
      <c r="BF199" s="206"/>
      <c r="BG199" s="206"/>
      <c r="BH199" s="206"/>
      <c r="BI199" s="206"/>
      <c r="BJ199" s="206"/>
      <c r="BK199" s="865"/>
      <c r="BL199" s="865"/>
      <c r="BM199" s="865"/>
      <c r="BN199" s="865"/>
      <c r="BO199" s="865"/>
      <c r="BP199" s="865"/>
      <c r="BQ199" s="865"/>
      <c r="BR199" s="865"/>
      <c r="BS199" s="865"/>
      <c r="BT199" s="865"/>
      <c r="BU199" s="865"/>
      <c r="BV199" s="865"/>
      <c r="BW199" s="865"/>
      <c r="BX199" s="865"/>
      <c r="BY199" s="865"/>
      <c r="BZ199" s="865"/>
      <c r="CA199" s="865"/>
      <c r="CB199" s="865"/>
    </row>
    <row r="200" spans="1:80">
      <c r="A200" s="214"/>
      <c r="B200" s="214"/>
      <c r="C200" s="213" t="s">
        <v>1157</v>
      </c>
      <c r="D200" s="206"/>
      <c r="E200" s="206"/>
      <c r="F200" s="206"/>
      <c r="G200" s="206"/>
      <c r="H200" s="206"/>
      <c r="I200" s="206"/>
      <c r="J200" s="206"/>
      <c r="K200" s="206"/>
      <c r="L200" s="206"/>
      <c r="M200" s="206"/>
      <c r="N200" s="206"/>
      <c r="O200" s="206"/>
      <c r="P200" s="206"/>
      <c r="Q200" s="206"/>
      <c r="R200" s="206"/>
      <c r="S200" s="206"/>
      <c r="T200" s="206"/>
      <c r="U200" s="206"/>
      <c r="V200" s="206"/>
      <c r="W200" s="206"/>
      <c r="X200" s="206"/>
      <c r="Y200" s="206"/>
      <c r="Z200" s="894"/>
      <c r="AA200" s="206"/>
      <c r="AB200" s="206"/>
      <c r="AC200" s="206"/>
      <c r="AD200" s="206"/>
      <c r="AE200" s="206"/>
      <c r="AF200" s="206"/>
      <c r="AG200" s="206"/>
      <c r="AH200" s="206"/>
      <c r="AI200" s="206"/>
      <c r="AJ200" s="206"/>
      <c r="AK200" s="206"/>
      <c r="AL200" s="206"/>
      <c r="AM200" s="206"/>
      <c r="AN200" s="206"/>
      <c r="AO200" s="206"/>
      <c r="AP200" s="206"/>
      <c r="AQ200" s="206"/>
      <c r="AR200" s="206"/>
      <c r="AS200" s="206"/>
      <c r="AT200" s="206"/>
      <c r="AU200" s="206"/>
      <c r="AV200" s="206"/>
      <c r="AW200" s="206"/>
      <c r="AX200" s="206"/>
      <c r="AY200" s="206"/>
      <c r="AZ200" s="206"/>
      <c r="BA200" s="206"/>
      <c r="BB200" s="206"/>
      <c r="BC200" s="206"/>
      <c r="BD200" s="206"/>
      <c r="BE200" s="206"/>
      <c r="BF200" s="206"/>
      <c r="BG200" s="206"/>
      <c r="BH200" s="206"/>
      <c r="BI200" s="206"/>
      <c r="BJ200" s="206"/>
      <c r="BK200" s="865"/>
      <c r="BL200" s="865"/>
      <c r="BM200" s="865"/>
      <c r="BN200" s="865"/>
      <c r="BO200" s="865"/>
      <c r="BP200" s="865"/>
      <c r="BQ200" s="865"/>
      <c r="BR200" s="865"/>
      <c r="BS200" s="865"/>
      <c r="BT200" s="865"/>
      <c r="BU200" s="865"/>
      <c r="BV200" s="865"/>
      <c r="BW200" s="865"/>
      <c r="BX200" s="865"/>
      <c r="BY200" s="865"/>
      <c r="BZ200" s="865"/>
      <c r="CA200" s="865"/>
      <c r="CB200" s="865"/>
    </row>
    <row r="201" spans="1:80">
      <c r="A201" s="214"/>
      <c r="B201" s="214"/>
      <c r="C201" s="213" t="s">
        <v>1158</v>
      </c>
      <c r="D201" s="206"/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  <c r="O201" s="206"/>
      <c r="P201" s="206"/>
      <c r="Q201" s="206"/>
      <c r="R201" s="206"/>
      <c r="S201" s="206"/>
      <c r="T201" s="206"/>
      <c r="U201" s="206"/>
      <c r="V201" s="206"/>
      <c r="W201" s="206"/>
      <c r="X201" s="206"/>
      <c r="Y201" s="206"/>
      <c r="Z201" s="894"/>
      <c r="AA201" s="206"/>
      <c r="AB201" s="206"/>
      <c r="AC201" s="206"/>
      <c r="AD201" s="206"/>
      <c r="AE201" s="206"/>
      <c r="AF201" s="206"/>
      <c r="AG201" s="206"/>
      <c r="AH201" s="206"/>
      <c r="AI201" s="206"/>
      <c r="AJ201" s="206"/>
      <c r="AK201" s="206"/>
      <c r="AL201" s="206"/>
      <c r="AM201" s="206"/>
      <c r="AN201" s="206"/>
      <c r="AO201" s="206"/>
      <c r="AP201" s="206"/>
      <c r="AQ201" s="206"/>
      <c r="AR201" s="206"/>
      <c r="AS201" s="206"/>
      <c r="AT201" s="206"/>
      <c r="AU201" s="206"/>
      <c r="AV201" s="206"/>
      <c r="AW201" s="206"/>
      <c r="AX201" s="206"/>
      <c r="AY201" s="206"/>
      <c r="AZ201" s="206"/>
      <c r="BA201" s="206"/>
      <c r="BB201" s="206"/>
      <c r="BC201" s="206"/>
      <c r="BD201" s="206"/>
      <c r="BE201" s="206"/>
      <c r="BF201" s="206"/>
      <c r="BG201" s="206"/>
      <c r="BH201" s="206"/>
      <c r="BI201" s="206"/>
      <c r="BJ201" s="206"/>
      <c r="BK201" s="865"/>
      <c r="BL201" s="865"/>
      <c r="BM201" s="865"/>
      <c r="BN201" s="865"/>
      <c r="BO201" s="865"/>
      <c r="BP201" s="865"/>
      <c r="BQ201" s="865"/>
      <c r="BR201" s="865"/>
      <c r="BS201" s="865"/>
      <c r="BT201" s="865"/>
      <c r="BU201" s="865"/>
      <c r="BV201" s="865"/>
      <c r="BW201" s="865"/>
      <c r="BX201" s="865"/>
      <c r="BY201" s="865"/>
      <c r="BZ201" s="865"/>
      <c r="CA201" s="865"/>
      <c r="CB201" s="865"/>
    </row>
    <row r="202" spans="1:80">
      <c r="A202" s="214"/>
      <c r="B202" s="214"/>
      <c r="C202" s="212" t="s">
        <v>1249</v>
      </c>
      <c r="D202" s="206"/>
      <c r="E202" s="206"/>
      <c r="F202" s="206"/>
      <c r="G202" s="206"/>
      <c r="H202" s="206"/>
      <c r="I202" s="206"/>
      <c r="J202" s="206"/>
      <c r="K202" s="206"/>
      <c r="L202" s="206"/>
      <c r="M202" s="206"/>
      <c r="N202" s="206"/>
      <c r="O202" s="206"/>
      <c r="P202" s="206"/>
      <c r="Q202" s="206"/>
      <c r="R202" s="206"/>
      <c r="S202" s="206"/>
      <c r="T202" s="206"/>
      <c r="U202" s="206"/>
      <c r="V202" s="206"/>
      <c r="W202" s="206"/>
      <c r="X202" s="206"/>
      <c r="Y202" s="206"/>
      <c r="Z202" s="894"/>
      <c r="AA202" s="206"/>
      <c r="AB202" s="206"/>
      <c r="AC202" s="206"/>
      <c r="AD202" s="206"/>
      <c r="AE202" s="206"/>
      <c r="AF202" s="206"/>
      <c r="AG202" s="206"/>
      <c r="AH202" s="206"/>
      <c r="AI202" s="206"/>
      <c r="AJ202" s="206"/>
      <c r="AK202" s="206"/>
      <c r="AL202" s="206"/>
      <c r="AM202" s="206"/>
      <c r="AN202" s="206"/>
      <c r="AO202" s="206"/>
      <c r="AP202" s="206"/>
      <c r="AQ202" s="206"/>
      <c r="AR202" s="206"/>
      <c r="AS202" s="206"/>
      <c r="AT202" s="206"/>
      <c r="AU202" s="206"/>
      <c r="AV202" s="206"/>
      <c r="AW202" s="206"/>
      <c r="AX202" s="206"/>
      <c r="AY202" s="206"/>
      <c r="AZ202" s="206"/>
      <c r="BA202" s="206"/>
      <c r="BB202" s="206"/>
      <c r="BC202" s="206"/>
      <c r="BD202" s="206"/>
      <c r="BE202" s="206"/>
      <c r="BF202" s="206"/>
      <c r="BG202" s="206"/>
      <c r="BH202" s="206"/>
      <c r="BI202" s="206"/>
      <c r="BJ202" s="206"/>
      <c r="BK202" s="865"/>
      <c r="BL202" s="865"/>
      <c r="BM202" s="865"/>
      <c r="BN202" s="865"/>
      <c r="BO202" s="865"/>
      <c r="BP202" s="865"/>
      <c r="BQ202" s="865"/>
      <c r="BR202" s="865"/>
      <c r="BS202" s="865"/>
      <c r="BT202" s="865"/>
      <c r="BU202" s="865"/>
      <c r="BV202" s="865"/>
      <c r="BW202" s="865"/>
      <c r="BX202" s="865"/>
      <c r="BY202" s="865"/>
      <c r="BZ202" s="865"/>
      <c r="CA202" s="865"/>
      <c r="CB202" s="865"/>
    </row>
    <row r="203" spans="1:80">
      <c r="A203" s="214"/>
      <c r="B203" s="214"/>
      <c r="C203" s="212" t="s">
        <v>1399</v>
      </c>
      <c r="D203" s="206"/>
      <c r="E203" s="206"/>
      <c r="F203" s="206"/>
      <c r="G203" s="206"/>
      <c r="H203" s="206"/>
      <c r="I203" s="206"/>
      <c r="J203" s="206"/>
      <c r="K203" s="206"/>
      <c r="L203" s="206"/>
      <c r="M203" s="206"/>
      <c r="N203" s="206"/>
      <c r="O203" s="206"/>
      <c r="P203" s="206"/>
      <c r="Q203" s="206"/>
      <c r="R203" s="206"/>
      <c r="S203" s="206"/>
      <c r="T203" s="206"/>
      <c r="U203" s="206"/>
      <c r="V203" s="206"/>
      <c r="W203" s="206"/>
      <c r="X203" s="206"/>
      <c r="Y203" s="206"/>
      <c r="Z203" s="894"/>
      <c r="AA203" s="206"/>
      <c r="AB203" s="206"/>
      <c r="AC203" s="206"/>
      <c r="AD203" s="206"/>
      <c r="AE203" s="206"/>
      <c r="AF203" s="206"/>
      <c r="AG203" s="206"/>
      <c r="AH203" s="206"/>
      <c r="AI203" s="206"/>
      <c r="AJ203" s="206"/>
      <c r="AK203" s="206"/>
      <c r="AL203" s="206"/>
      <c r="AM203" s="206"/>
      <c r="AN203" s="206"/>
      <c r="AO203" s="206"/>
      <c r="AP203" s="206"/>
      <c r="AQ203" s="206"/>
      <c r="AR203" s="206"/>
      <c r="AS203" s="206"/>
      <c r="AT203" s="206"/>
      <c r="AU203" s="206"/>
      <c r="AV203" s="206"/>
      <c r="AW203" s="206"/>
      <c r="AX203" s="206"/>
      <c r="AY203" s="206"/>
      <c r="AZ203" s="206"/>
      <c r="BA203" s="206"/>
      <c r="BB203" s="206"/>
      <c r="BC203" s="206"/>
      <c r="BD203" s="206"/>
      <c r="BE203" s="206"/>
      <c r="BF203" s="206"/>
      <c r="BG203" s="206"/>
      <c r="BH203" s="206"/>
      <c r="BI203" s="206"/>
      <c r="BJ203" s="206"/>
      <c r="BK203" s="865"/>
      <c r="BL203" s="865"/>
      <c r="BM203" s="865"/>
      <c r="BN203" s="865"/>
      <c r="BO203" s="865"/>
      <c r="BP203" s="865"/>
      <c r="BQ203" s="865"/>
      <c r="BR203" s="865"/>
      <c r="BS203" s="865"/>
      <c r="BT203" s="865"/>
      <c r="BU203" s="865"/>
      <c r="BV203" s="865"/>
      <c r="BW203" s="865"/>
      <c r="BX203" s="865"/>
      <c r="BY203" s="865"/>
      <c r="BZ203" s="865"/>
      <c r="CA203" s="865"/>
      <c r="CB203" s="865"/>
    </row>
    <row r="204" spans="1:80">
      <c r="A204" s="214"/>
      <c r="B204" s="214"/>
      <c r="C204" s="212" t="s">
        <v>1403</v>
      </c>
      <c r="D204" s="206"/>
      <c r="E204" s="206"/>
      <c r="F204" s="206"/>
      <c r="G204" s="206"/>
      <c r="H204" s="206"/>
      <c r="I204" s="206"/>
      <c r="J204" s="206"/>
      <c r="K204" s="206"/>
      <c r="L204" s="206"/>
      <c r="M204" s="206"/>
      <c r="N204" s="206"/>
      <c r="O204" s="206"/>
      <c r="P204" s="206"/>
      <c r="Q204" s="206"/>
      <c r="R204" s="206"/>
      <c r="S204" s="206"/>
      <c r="T204" s="206"/>
      <c r="U204" s="206"/>
      <c r="V204" s="206"/>
      <c r="W204" s="206"/>
      <c r="X204" s="206"/>
      <c r="Y204" s="206"/>
      <c r="Z204" s="894"/>
      <c r="AA204" s="206"/>
      <c r="AB204" s="206"/>
      <c r="AC204" s="206"/>
      <c r="AD204" s="206"/>
      <c r="AE204" s="206"/>
      <c r="AF204" s="206"/>
      <c r="AG204" s="206"/>
      <c r="AH204" s="206"/>
      <c r="AI204" s="206"/>
      <c r="AJ204" s="206"/>
      <c r="AK204" s="206"/>
      <c r="AL204" s="206"/>
      <c r="AM204" s="206"/>
      <c r="AN204" s="206"/>
      <c r="AO204" s="206"/>
      <c r="AP204" s="206"/>
      <c r="AQ204" s="206"/>
      <c r="AR204" s="206"/>
      <c r="AS204" s="206"/>
      <c r="AT204" s="206"/>
      <c r="AU204" s="206"/>
      <c r="AV204" s="206"/>
      <c r="AW204" s="206"/>
      <c r="AX204" s="206"/>
      <c r="AY204" s="206"/>
      <c r="AZ204" s="206"/>
      <c r="BA204" s="206"/>
      <c r="BB204" s="206"/>
      <c r="BC204" s="206"/>
      <c r="BD204" s="206"/>
      <c r="BE204" s="206"/>
      <c r="BF204" s="206"/>
      <c r="BG204" s="206"/>
      <c r="BH204" s="206"/>
      <c r="BI204" s="206"/>
      <c r="BJ204" s="206"/>
      <c r="BK204" s="865"/>
      <c r="BL204" s="865"/>
      <c r="BM204" s="865"/>
      <c r="BN204" s="865"/>
      <c r="BO204" s="865"/>
      <c r="BP204" s="865"/>
      <c r="BQ204" s="865"/>
      <c r="BR204" s="865"/>
      <c r="BS204" s="865"/>
      <c r="BT204" s="865"/>
      <c r="BU204" s="865"/>
      <c r="BV204" s="865"/>
      <c r="BW204" s="865"/>
      <c r="BX204" s="865"/>
      <c r="BY204" s="865"/>
      <c r="BZ204" s="865"/>
      <c r="CA204" s="865"/>
      <c r="CB204" s="865"/>
    </row>
    <row r="205" spans="1:80">
      <c r="A205" s="214"/>
      <c r="B205" s="214"/>
      <c r="C205" s="212" t="s">
        <v>1405</v>
      </c>
      <c r="D205" s="206"/>
      <c r="E205" s="206"/>
      <c r="F205" s="206"/>
      <c r="G205" s="206"/>
      <c r="H205" s="206"/>
      <c r="I205" s="206"/>
      <c r="J205" s="206"/>
      <c r="K205" s="206"/>
      <c r="L205" s="206"/>
      <c r="M205" s="206"/>
      <c r="N205" s="206"/>
      <c r="O205" s="206"/>
      <c r="P205" s="206"/>
      <c r="Q205" s="206"/>
      <c r="R205" s="206"/>
      <c r="S205" s="206"/>
      <c r="T205" s="206"/>
      <c r="U205" s="206"/>
      <c r="V205" s="206"/>
      <c r="W205" s="206"/>
      <c r="X205" s="206"/>
      <c r="Y205" s="206"/>
      <c r="Z205" s="894"/>
      <c r="AA205" s="206"/>
      <c r="AB205" s="206"/>
      <c r="AC205" s="206"/>
      <c r="AD205" s="206"/>
      <c r="AE205" s="206"/>
      <c r="AF205" s="206"/>
      <c r="AG205" s="206"/>
      <c r="AH205" s="206"/>
      <c r="AI205" s="206"/>
      <c r="AJ205" s="206"/>
      <c r="AK205" s="206"/>
      <c r="AL205" s="206"/>
      <c r="AM205" s="206"/>
      <c r="AN205" s="206"/>
      <c r="AO205" s="206"/>
      <c r="AP205" s="206"/>
      <c r="AQ205" s="206"/>
      <c r="AR205" s="206"/>
      <c r="AS205" s="206"/>
      <c r="AT205" s="206"/>
      <c r="AU205" s="206"/>
      <c r="AV205" s="206"/>
      <c r="AW205" s="206"/>
      <c r="AX205" s="206"/>
      <c r="AY205" s="206"/>
      <c r="AZ205" s="206"/>
      <c r="BA205" s="206"/>
      <c r="BB205" s="206"/>
      <c r="BC205" s="206"/>
      <c r="BD205" s="206"/>
      <c r="BE205" s="206"/>
      <c r="BF205" s="206"/>
      <c r="BG205" s="206"/>
      <c r="BH205" s="206"/>
      <c r="BI205" s="206"/>
      <c r="BJ205" s="206"/>
      <c r="BK205" s="865"/>
      <c r="BL205" s="865"/>
      <c r="BM205" s="865"/>
      <c r="BN205" s="865"/>
      <c r="BO205" s="865"/>
      <c r="BP205" s="865"/>
      <c r="BQ205" s="865"/>
      <c r="BR205" s="865"/>
      <c r="BS205" s="865"/>
      <c r="BT205" s="865"/>
      <c r="BU205" s="865"/>
      <c r="BV205" s="865"/>
      <c r="BW205" s="865"/>
      <c r="BX205" s="865"/>
      <c r="BY205" s="865"/>
      <c r="BZ205" s="865"/>
      <c r="CA205" s="865"/>
      <c r="CB205" s="865"/>
    </row>
    <row r="206" spans="1:80">
      <c r="A206" s="214"/>
      <c r="B206" s="214"/>
      <c r="C206" s="212" t="s">
        <v>1429</v>
      </c>
      <c r="D206" s="206"/>
      <c r="E206" s="206"/>
      <c r="F206" s="206"/>
      <c r="G206" s="206"/>
      <c r="H206" s="206"/>
      <c r="I206" s="206"/>
      <c r="J206" s="206"/>
      <c r="K206" s="206"/>
      <c r="L206" s="206"/>
      <c r="M206" s="206"/>
      <c r="N206" s="206"/>
      <c r="O206" s="206"/>
      <c r="P206" s="206"/>
      <c r="Q206" s="206"/>
      <c r="R206" s="206"/>
      <c r="S206" s="206"/>
      <c r="T206" s="206"/>
      <c r="U206" s="206"/>
      <c r="V206" s="206"/>
      <c r="W206" s="206"/>
      <c r="X206" s="206"/>
      <c r="Y206" s="206"/>
      <c r="Z206" s="894"/>
      <c r="AA206" s="206"/>
      <c r="AB206" s="206"/>
      <c r="AC206" s="206"/>
      <c r="AD206" s="206"/>
      <c r="AE206" s="206"/>
      <c r="AF206" s="206"/>
      <c r="AG206" s="206"/>
      <c r="AH206" s="206"/>
      <c r="AI206" s="206"/>
      <c r="AJ206" s="206"/>
      <c r="AK206" s="206"/>
      <c r="AL206" s="206"/>
      <c r="AM206" s="206"/>
      <c r="AN206" s="206"/>
      <c r="AO206" s="206"/>
      <c r="AP206" s="206"/>
      <c r="AQ206" s="206"/>
      <c r="AR206" s="206"/>
      <c r="AS206" s="206"/>
      <c r="AT206" s="206"/>
      <c r="AU206" s="206"/>
      <c r="AV206" s="206"/>
      <c r="AW206" s="206"/>
      <c r="AX206" s="206"/>
      <c r="AY206" s="206"/>
      <c r="AZ206" s="206"/>
      <c r="BA206" s="206"/>
      <c r="BB206" s="206"/>
      <c r="BC206" s="206"/>
      <c r="BD206" s="206"/>
      <c r="BE206" s="206"/>
      <c r="BF206" s="206"/>
      <c r="BG206" s="206"/>
      <c r="BH206" s="206"/>
      <c r="BI206" s="206"/>
      <c r="BJ206" s="206"/>
      <c r="BK206" s="865"/>
      <c r="BL206" s="865"/>
      <c r="BM206" s="865"/>
      <c r="BN206" s="865"/>
      <c r="BO206" s="865"/>
      <c r="BP206" s="865"/>
      <c r="BQ206" s="865"/>
      <c r="BR206" s="865"/>
      <c r="BS206" s="865"/>
      <c r="BT206" s="865"/>
      <c r="BU206" s="865"/>
      <c r="BV206" s="865"/>
      <c r="BW206" s="865"/>
      <c r="BX206" s="865"/>
      <c r="BY206" s="865"/>
      <c r="BZ206" s="865"/>
      <c r="CA206" s="865"/>
      <c r="CB206" s="865"/>
    </row>
    <row r="207" spans="1:80">
      <c r="A207" s="214"/>
      <c r="B207" s="214"/>
      <c r="C207" s="211"/>
      <c r="D207" s="206"/>
      <c r="E207" s="206"/>
      <c r="F207" s="206"/>
      <c r="G207" s="206"/>
      <c r="H207" s="206"/>
      <c r="I207" s="206"/>
      <c r="J207" s="206"/>
      <c r="K207" s="206"/>
      <c r="L207" s="206"/>
      <c r="M207" s="206"/>
      <c r="N207" s="206"/>
      <c r="O207" s="206"/>
      <c r="P207" s="206"/>
      <c r="Q207" s="206"/>
      <c r="R207" s="206"/>
      <c r="S207" s="206"/>
      <c r="T207" s="206"/>
      <c r="U207" s="206"/>
      <c r="V207" s="206"/>
      <c r="W207" s="206"/>
      <c r="X207" s="206"/>
      <c r="Y207" s="206"/>
      <c r="Z207" s="894"/>
      <c r="AA207" s="206"/>
      <c r="AB207" s="206"/>
      <c r="AC207" s="206"/>
      <c r="AD207" s="206"/>
      <c r="AE207" s="206"/>
      <c r="AF207" s="206"/>
      <c r="AG207" s="206"/>
      <c r="AH207" s="206"/>
      <c r="AI207" s="206"/>
      <c r="AJ207" s="206"/>
      <c r="AK207" s="206"/>
      <c r="AL207" s="206"/>
      <c r="AM207" s="206"/>
      <c r="AN207" s="206"/>
      <c r="AO207" s="206"/>
      <c r="AP207" s="206"/>
      <c r="AQ207" s="206"/>
      <c r="AR207" s="206"/>
      <c r="AS207" s="206"/>
      <c r="AT207" s="206"/>
      <c r="AU207" s="206"/>
      <c r="AV207" s="206"/>
      <c r="AW207" s="206"/>
      <c r="AX207" s="206"/>
      <c r="AY207" s="206"/>
      <c r="AZ207" s="206"/>
      <c r="BA207" s="206"/>
      <c r="BB207" s="206"/>
      <c r="BC207" s="206"/>
      <c r="BD207" s="206"/>
      <c r="BE207" s="206"/>
      <c r="BF207" s="206"/>
      <c r="BG207" s="206"/>
      <c r="BH207" s="206"/>
      <c r="BI207" s="206"/>
      <c r="BJ207" s="206"/>
      <c r="BK207" s="865"/>
      <c r="BL207" s="865"/>
      <c r="BM207" s="865"/>
      <c r="BN207" s="865"/>
      <c r="BO207" s="865"/>
      <c r="BP207" s="865"/>
      <c r="BQ207" s="865"/>
      <c r="BR207" s="865"/>
      <c r="BS207" s="865"/>
      <c r="BT207" s="865"/>
      <c r="BU207" s="865"/>
      <c r="BV207" s="865"/>
      <c r="BW207" s="865"/>
      <c r="BX207" s="865"/>
      <c r="BY207" s="865"/>
      <c r="BZ207" s="865"/>
      <c r="CA207" s="865"/>
      <c r="CB207" s="865"/>
    </row>
    <row r="208" spans="1:80">
      <c r="A208" s="214"/>
      <c r="B208" s="214"/>
      <c r="C208" s="211"/>
      <c r="D208" s="206"/>
      <c r="E208" s="206"/>
      <c r="F208" s="206"/>
      <c r="G208" s="206"/>
      <c r="H208" s="206"/>
      <c r="I208" s="206"/>
      <c r="J208" s="206"/>
      <c r="K208" s="206"/>
      <c r="L208" s="206"/>
      <c r="M208" s="206"/>
      <c r="N208" s="206"/>
      <c r="O208" s="206"/>
      <c r="P208" s="206"/>
      <c r="Q208" s="206"/>
      <c r="R208" s="206"/>
      <c r="S208" s="206"/>
      <c r="T208" s="206"/>
      <c r="U208" s="206"/>
      <c r="V208" s="206"/>
      <c r="W208" s="206"/>
      <c r="X208" s="206"/>
      <c r="Y208" s="206"/>
      <c r="Z208" s="894"/>
      <c r="AA208" s="206"/>
      <c r="AB208" s="206"/>
      <c r="AC208" s="206"/>
      <c r="AD208" s="206"/>
      <c r="AE208" s="206"/>
      <c r="AF208" s="206"/>
      <c r="AG208" s="206"/>
      <c r="AH208" s="206"/>
      <c r="AI208" s="206"/>
      <c r="AJ208" s="206"/>
      <c r="AK208" s="206"/>
      <c r="AL208" s="206"/>
      <c r="AM208" s="206"/>
      <c r="AN208" s="206"/>
      <c r="AO208" s="206"/>
      <c r="AP208" s="206"/>
      <c r="AQ208" s="206"/>
      <c r="AR208" s="206"/>
      <c r="AS208" s="206"/>
      <c r="AT208" s="206"/>
      <c r="AU208" s="206"/>
      <c r="AV208" s="206"/>
      <c r="AW208" s="206"/>
      <c r="AX208" s="206"/>
      <c r="AY208" s="206"/>
      <c r="AZ208" s="206"/>
      <c r="BA208" s="206"/>
      <c r="BB208" s="206"/>
      <c r="BC208" s="206"/>
      <c r="BD208" s="206"/>
      <c r="BE208" s="206"/>
      <c r="BF208" s="206"/>
      <c r="BG208" s="206"/>
      <c r="BH208" s="206"/>
      <c r="BI208" s="206"/>
      <c r="BJ208" s="206"/>
      <c r="BK208" s="865"/>
      <c r="BL208" s="865"/>
      <c r="BM208" s="865"/>
      <c r="BN208" s="865"/>
      <c r="BO208" s="865"/>
      <c r="BP208" s="865"/>
      <c r="BQ208" s="865"/>
      <c r="BR208" s="865"/>
      <c r="BS208" s="865"/>
      <c r="BT208" s="865"/>
      <c r="BU208" s="865"/>
      <c r="BV208" s="865"/>
      <c r="BW208" s="865"/>
      <c r="BX208" s="865"/>
      <c r="BY208" s="865"/>
      <c r="BZ208" s="865"/>
      <c r="CA208" s="865"/>
      <c r="CB208" s="865"/>
    </row>
    <row r="209" spans="1:80">
      <c r="A209" s="214"/>
      <c r="B209" s="214"/>
      <c r="C209" s="211"/>
      <c r="D209" s="206"/>
      <c r="E209" s="206"/>
      <c r="F209" s="206"/>
      <c r="G209" s="206"/>
      <c r="H209" s="206"/>
      <c r="I209" s="206"/>
      <c r="J209" s="206"/>
      <c r="K209" s="206"/>
      <c r="L209" s="206"/>
      <c r="M209" s="206"/>
      <c r="N209" s="206"/>
      <c r="O209" s="206"/>
      <c r="P209" s="206"/>
      <c r="Q209" s="206"/>
      <c r="R209" s="206"/>
      <c r="S209" s="206"/>
      <c r="T209" s="206"/>
      <c r="U209" s="206"/>
      <c r="V209" s="206"/>
      <c r="W209" s="206"/>
      <c r="X209" s="206"/>
      <c r="Y209" s="206"/>
      <c r="Z209" s="894"/>
      <c r="AA209" s="206"/>
      <c r="AB209" s="206"/>
      <c r="AC209" s="206"/>
      <c r="AD209" s="206"/>
      <c r="AE209" s="206"/>
      <c r="AF209" s="206"/>
      <c r="AG209" s="206"/>
      <c r="AH209" s="206"/>
      <c r="AI209" s="206"/>
      <c r="AJ209" s="206"/>
      <c r="AK209" s="206"/>
      <c r="AL209" s="206"/>
      <c r="AM209" s="206"/>
      <c r="AN209" s="206"/>
      <c r="AO209" s="206"/>
      <c r="AP209" s="206"/>
      <c r="AQ209" s="206"/>
      <c r="AR209" s="206"/>
      <c r="AS209" s="206"/>
      <c r="AT209" s="206"/>
      <c r="AU209" s="206"/>
      <c r="AV209" s="206"/>
      <c r="AW209" s="206"/>
      <c r="AX209" s="206"/>
      <c r="AY209" s="206"/>
      <c r="AZ209" s="206"/>
      <c r="BA209" s="206"/>
      <c r="BB209" s="206"/>
      <c r="BC209" s="206"/>
      <c r="BD209" s="206"/>
      <c r="BE209" s="206"/>
      <c r="BF209" s="206"/>
      <c r="BG209" s="206"/>
      <c r="BH209" s="206"/>
      <c r="BI209" s="206"/>
      <c r="BJ209" s="206"/>
      <c r="BK209" s="865"/>
      <c r="BL209" s="865"/>
      <c r="BM209" s="865"/>
      <c r="BN209" s="865"/>
      <c r="BO209" s="865"/>
      <c r="BP209" s="865"/>
      <c r="BQ209" s="865"/>
      <c r="BR209" s="865"/>
      <c r="BS209" s="865"/>
      <c r="BT209" s="865"/>
      <c r="BU209" s="865"/>
      <c r="BV209" s="865"/>
      <c r="BW209" s="865"/>
      <c r="BX209" s="865"/>
      <c r="BY209" s="865"/>
      <c r="BZ209" s="865"/>
      <c r="CA209" s="865"/>
      <c r="CB209" s="865"/>
    </row>
    <row r="210" spans="1:80">
      <c r="A210" s="214"/>
      <c r="B210" s="214"/>
      <c r="C210" s="970" t="s">
        <v>1049</v>
      </c>
      <c r="D210" s="971"/>
      <c r="E210" s="971"/>
      <c r="F210" s="971"/>
      <c r="G210" s="971"/>
      <c r="H210" s="971"/>
      <c r="I210" s="971"/>
      <c r="J210" s="971"/>
      <c r="K210" s="971"/>
      <c r="L210" s="971"/>
      <c r="M210" s="971"/>
      <c r="N210" s="971"/>
      <c r="O210" s="971"/>
      <c r="P210" s="971"/>
      <c r="Q210" s="971"/>
      <c r="R210" s="971"/>
      <c r="S210" s="971"/>
      <c r="T210" s="971"/>
      <c r="U210" s="971"/>
      <c r="V210" s="971"/>
      <c r="W210" s="971"/>
      <c r="X210" s="971"/>
      <c r="Y210" s="971"/>
      <c r="Z210" s="972"/>
      <c r="AA210" s="971"/>
      <c r="AB210" s="971"/>
      <c r="AC210" s="971"/>
      <c r="AD210" s="206"/>
      <c r="AE210" s="206"/>
      <c r="AF210" s="206"/>
      <c r="AG210" s="206"/>
      <c r="AH210" s="206"/>
      <c r="AI210" s="206"/>
      <c r="AJ210" s="206"/>
      <c r="AK210" s="206"/>
      <c r="AL210" s="206"/>
      <c r="AM210" s="206"/>
      <c r="AN210" s="206"/>
      <c r="AO210" s="206"/>
      <c r="AP210" s="206"/>
      <c r="AQ210" s="206"/>
      <c r="AR210" s="206"/>
      <c r="AS210" s="971"/>
      <c r="AT210" s="971"/>
      <c r="AU210" s="971"/>
      <c r="AV210" s="971"/>
      <c r="AW210" s="206"/>
      <c r="AX210" s="206"/>
      <c r="AY210" s="206"/>
      <c r="AZ210" s="206"/>
      <c r="BA210" s="206"/>
      <c r="BB210" s="206"/>
      <c r="BC210" s="206"/>
      <c r="BD210" s="206"/>
      <c r="BE210" s="206"/>
      <c r="BF210" s="206"/>
      <c r="BG210" s="206"/>
      <c r="BH210" s="206"/>
      <c r="BI210" s="206"/>
      <c r="BJ210" s="206"/>
      <c r="BK210" s="865"/>
      <c r="BL210" s="865"/>
      <c r="BM210" s="865"/>
      <c r="BN210" s="865"/>
      <c r="BO210" s="865"/>
      <c r="BP210" s="865"/>
      <c r="BQ210" s="865"/>
      <c r="BR210" s="865"/>
      <c r="BS210" s="865"/>
      <c r="BT210" s="865"/>
      <c r="BU210" s="865"/>
      <c r="BV210" s="865"/>
      <c r="BW210" s="865"/>
      <c r="BX210" s="865"/>
      <c r="BY210" s="865"/>
      <c r="BZ210" s="865"/>
      <c r="CA210" s="865"/>
      <c r="CB210" s="865"/>
    </row>
    <row r="211" spans="1:80">
      <c r="A211" s="214"/>
      <c r="B211" s="214"/>
      <c r="C211" s="971"/>
      <c r="D211" s="971"/>
      <c r="E211" s="971"/>
      <c r="F211" s="971"/>
      <c r="G211" s="971"/>
      <c r="H211" s="971"/>
      <c r="I211" s="971"/>
      <c r="J211" s="971"/>
      <c r="K211" s="971"/>
      <c r="L211" s="971"/>
      <c r="M211" s="971"/>
      <c r="N211" s="971"/>
      <c r="O211" s="971"/>
      <c r="P211" s="971"/>
      <c r="Q211" s="971"/>
      <c r="R211" s="971"/>
      <c r="S211" s="971"/>
      <c r="T211" s="971"/>
      <c r="U211" s="971"/>
      <c r="V211" s="971"/>
      <c r="W211" s="971"/>
      <c r="X211" s="971"/>
      <c r="Y211" s="971"/>
      <c r="Z211" s="972"/>
      <c r="AA211" s="971"/>
      <c r="AB211" s="971"/>
      <c r="AC211" s="971"/>
      <c r="AD211" s="206"/>
      <c r="AE211" s="206"/>
      <c r="AF211" s="206"/>
      <c r="AG211" s="206"/>
      <c r="AH211" s="206"/>
      <c r="AI211" s="206"/>
      <c r="AJ211" s="206"/>
      <c r="AK211" s="206"/>
      <c r="AL211" s="206"/>
      <c r="AM211" s="206"/>
      <c r="AN211" s="206"/>
      <c r="AO211" s="206"/>
      <c r="AP211" s="206"/>
      <c r="AQ211" s="206"/>
      <c r="AR211" s="206"/>
      <c r="AS211" s="971"/>
      <c r="AT211" s="971"/>
      <c r="AU211" s="971"/>
      <c r="AV211" s="971"/>
      <c r="AW211" s="206"/>
      <c r="AX211" s="206"/>
      <c r="AY211" s="206"/>
      <c r="AZ211" s="206"/>
      <c r="BA211" s="206"/>
      <c r="BB211" s="206"/>
      <c r="BC211" s="206"/>
      <c r="BD211" s="206"/>
      <c r="BE211" s="206"/>
      <c r="BF211" s="206"/>
      <c r="BG211" s="206"/>
      <c r="BH211" s="206"/>
      <c r="BI211" s="206"/>
      <c r="BJ211" s="206"/>
      <c r="BK211" s="865"/>
      <c r="BL211" s="865"/>
      <c r="BM211" s="865"/>
      <c r="BN211" s="865"/>
      <c r="BO211" s="865"/>
      <c r="BP211" s="865"/>
      <c r="BQ211" s="865"/>
      <c r="BR211" s="865"/>
      <c r="BS211" s="865"/>
      <c r="BT211" s="865"/>
      <c r="BU211" s="865"/>
      <c r="BV211" s="865"/>
      <c r="BW211" s="865"/>
      <c r="BX211" s="865"/>
      <c r="BY211" s="865"/>
      <c r="BZ211" s="865"/>
      <c r="CA211" s="865"/>
      <c r="CB211" s="865"/>
    </row>
    <row r="212" spans="1:80">
      <c r="A212" s="214"/>
      <c r="B212" s="214"/>
      <c r="C212" s="973" t="s">
        <v>1026</v>
      </c>
      <c r="D212" s="971"/>
      <c r="E212" s="971"/>
      <c r="F212" s="971"/>
      <c r="G212" s="971"/>
      <c r="H212" s="971"/>
      <c r="I212" s="971"/>
      <c r="J212" s="971"/>
      <c r="K212" s="971"/>
      <c r="L212" s="971"/>
      <c r="M212" s="971"/>
      <c r="N212" s="971"/>
      <c r="O212" s="971"/>
      <c r="P212" s="971"/>
      <c r="Q212" s="971"/>
      <c r="R212" s="971"/>
      <c r="S212" s="971"/>
      <c r="T212" s="971"/>
      <c r="U212" s="971"/>
      <c r="V212" s="971"/>
      <c r="W212" s="971"/>
      <c r="X212" s="971"/>
      <c r="Y212" s="971"/>
      <c r="Z212" s="972"/>
      <c r="AA212" s="971"/>
      <c r="AB212" s="971"/>
      <c r="AC212" s="971"/>
      <c r="AD212" s="206"/>
      <c r="AE212" s="206"/>
      <c r="AF212" s="206"/>
      <c r="AG212" s="206"/>
      <c r="AH212" s="206"/>
      <c r="AI212" s="206"/>
      <c r="AJ212" s="206"/>
      <c r="AK212" s="206"/>
      <c r="AL212" s="206"/>
      <c r="AM212" s="206"/>
      <c r="AN212" s="206"/>
      <c r="AO212" s="206"/>
      <c r="AP212" s="206"/>
      <c r="AQ212" s="206"/>
      <c r="AR212" s="206"/>
      <c r="AS212" s="971"/>
      <c r="AT212" s="971"/>
      <c r="AU212" s="971"/>
      <c r="AV212" s="971"/>
      <c r="AW212" s="206"/>
      <c r="AX212" s="206"/>
      <c r="AY212" s="206"/>
      <c r="AZ212" s="206"/>
      <c r="BA212" s="206"/>
      <c r="BB212" s="206"/>
      <c r="BC212" s="206"/>
      <c r="BD212" s="206"/>
      <c r="BE212" s="206"/>
      <c r="BF212" s="206"/>
      <c r="BG212" s="206"/>
      <c r="BH212" s="206"/>
      <c r="BI212" s="206"/>
      <c r="BJ212" s="206"/>
      <c r="BK212" s="865"/>
      <c r="BL212" s="865"/>
      <c r="BM212" s="865"/>
      <c r="BN212" s="865"/>
      <c r="BO212" s="865"/>
      <c r="BP212" s="865"/>
      <c r="BQ212" s="865"/>
      <c r="BR212" s="865"/>
      <c r="BS212" s="865"/>
      <c r="BT212" s="865"/>
      <c r="BU212" s="865"/>
      <c r="BV212" s="865"/>
      <c r="BW212" s="865"/>
      <c r="BX212" s="865"/>
      <c r="BY212" s="865"/>
      <c r="BZ212" s="865"/>
      <c r="CA212" s="865"/>
      <c r="CB212" s="865"/>
    </row>
    <row r="213" spans="1:80">
      <c r="A213" s="214"/>
      <c r="B213" s="214"/>
      <c r="C213" s="973" t="s">
        <v>1027</v>
      </c>
      <c r="D213" s="971"/>
      <c r="E213" s="971"/>
      <c r="F213" s="971"/>
      <c r="G213" s="971"/>
      <c r="H213" s="971"/>
      <c r="I213" s="971"/>
      <c r="J213" s="971"/>
      <c r="K213" s="971"/>
      <c r="L213" s="971"/>
      <c r="M213" s="971"/>
      <c r="N213" s="971"/>
      <c r="O213" s="971"/>
      <c r="P213" s="971"/>
      <c r="Q213" s="971"/>
      <c r="R213" s="971"/>
      <c r="S213" s="971"/>
      <c r="T213" s="971"/>
      <c r="U213" s="971"/>
      <c r="V213" s="971"/>
      <c r="W213" s="971"/>
      <c r="X213" s="971"/>
      <c r="Y213" s="971"/>
      <c r="Z213" s="972"/>
      <c r="AA213" s="971"/>
      <c r="AB213" s="971"/>
      <c r="AC213" s="971"/>
      <c r="AD213" s="206"/>
      <c r="AE213" s="206"/>
      <c r="AF213" s="206"/>
      <c r="AG213" s="206"/>
      <c r="AH213" s="206"/>
      <c r="AI213" s="206"/>
      <c r="AJ213" s="206"/>
      <c r="AK213" s="206"/>
      <c r="AL213" s="206"/>
      <c r="AM213" s="206"/>
      <c r="AN213" s="206"/>
      <c r="AO213" s="206"/>
      <c r="AP213" s="206"/>
      <c r="AQ213" s="206"/>
      <c r="AR213" s="206"/>
      <c r="AS213" s="971"/>
      <c r="AT213" s="971"/>
      <c r="AU213" s="971"/>
      <c r="AV213" s="971"/>
      <c r="AW213" s="206"/>
      <c r="AX213" s="206"/>
      <c r="AY213" s="206"/>
      <c r="AZ213" s="206"/>
      <c r="BA213" s="206"/>
      <c r="BB213" s="206"/>
      <c r="BC213" s="206"/>
      <c r="BD213" s="206"/>
      <c r="BE213" s="206"/>
      <c r="BF213" s="206"/>
      <c r="BG213" s="206"/>
      <c r="BH213" s="206"/>
      <c r="BI213" s="206"/>
      <c r="BJ213" s="206"/>
      <c r="BK213" s="865"/>
      <c r="BL213" s="865"/>
      <c r="BM213" s="865"/>
      <c r="BN213" s="865"/>
      <c r="BO213" s="865"/>
      <c r="BP213" s="865"/>
      <c r="BQ213" s="865"/>
      <c r="BR213" s="865"/>
      <c r="BS213" s="865"/>
      <c r="BT213" s="865"/>
      <c r="BU213" s="865"/>
      <c r="BV213" s="865"/>
      <c r="BW213" s="865"/>
      <c r="BX213" s="865"/>
      <c r="BY213" s="865"/>
      <c r="BZ213" s="865"/>
      <c r="CA213" s="865"/>
      <c r="CB213" s="865"/>
    </row>
    <row r="214" spans="1:80">
      <c r="A214" s="214"/>
      <c r="B214" s="214"/>
      <c r="C214" s="971"/>
      <c r="D214" s="971"/>
      <c r="E214" s="971"/>
      <c r="F214" s="971"/>
      <c r="G214" s="971"/>
      <c r="H214" s="971"/>
      <c r="I214" s="971"/>
      <c r="J214" s="971"/>
      <c r="K214" s="971"/>
      <c r="L214" s="971"/>
      <c r="M214" s="971"/>
      <c r="N214" s="971"/>
      <c r="O214" s="971"/>
      <c r="P214" s="971"/>
      <c r="Q214" s="971"/>
      <c r="R214" s="971"/>
      <c r="S214" s="971"/>
      <c r="T214" s="971"/>
      <c r="U214" s="971"/>
      <c r="V214" s="971"/>
      <c r="W214" s="971"/>
      <c r="X214" s="971"/>
      <c r="Y214" s="971"/>
      <c r="Z214" s="972"/>
      <c r="AA214" s="971"/>
      <c r="AB214" s="971"/>
      <c r="AC214" s="971"/>
      <c r="AD214" s="206"/>
      <c r="AE214" s="206"/>
      <c r="AF214" s="206"/>
      <c r="AG214" s="206"/>
      <c r="AH214" s="206"/>
      <c r="AI214" s="206"/>
      <c r="AJ214" s="206"/>
      <c r="AK214" s="206"/>
      <c r="AL214" s="206"/>
      <c r="AM214" s="206"/>
      <c r="AN214" s="206"/>
      <c r="AO214" s="206"/>
      <c r="AP214" s="206"/>
      <c r="AQ214" s="206"/>
      <c r="AR214" s="206"/>
      <c r="AS214" s="971"/>
      <c r="AT214" s="971"/>
      <c r="AU214" s="971"/>
      <c r="AV214" s="971"/>
      <c r="AW214" s="206"/>
      <c r="AX214" s="206"/>
      <c r="AY214" s="206"/>
      <c r="AZ214" s="206"/>
      <c r="BA214" s="206"/>
      <c r="BB214" s="206"/>
      <c r="BC214" s="206"/>
      <c r="BD214" s="206"/>
      <c r="BE214" s="206"/>
      <c r="BF214" s="206"/>
      <c r="BG214" s="206"/>
      <c r="BH214" s="206"/>
      <c r="BI214" s="206"/>
      <c r="BJ214" s="206"/>
      <c r="BK214" s="865"/>
      <c r="BL214" s="865"/>
      <c r="BM214" s="865"/>
      <c r="BN214" s="865"/>
      <c r="BO214" s="865"/>
      <c r="BP214" s="865"/>
      <c r="BQ214" s="865"/>
      <c r="BR214" s="865"/>
      <c r="BS214" s="865"/>
      <c r="BT214" s="865"/>
      <c r="BU214" s="865"/>
      <c r="BV214" s="865"/>
      <c r="BW214" s="865"/>
      <c r="BX214" s="865"/>
      <c r="BY214" s="865"/>
      <c r="BZ214" s="865"/>
      <c r="CA214" s="865"/>
      <c r="CB214" s="865"/>
    </row>
    <row r="215" spans="1:80">
      <c r="A215" s="214"/>
      <c r="B215" s="214"/>
      <c r="C215" s="973" t="s">
        <v>1028</v>
      </c>
      <c r="D215" s="971"/>
      <c r="E215" s="971"/>
      <c r="F215" s="971"/>
      <c r="G215" s="971"/>
      <c r="H215" s="971"/>
      <c r="I215" s="971"/>
      <c r="J215" s="971"/>
      <c r="K215" s="971"/>
      <c r="L215" s="971"/>
      <c r="M215" s="971"/>
      <c r="N215" s="971"/>
      <c r="O215" s="971"/>
      <c r="P215" s="971"/>
      <c r="Q215" s="971"/>
      <c r="R215" s="971"/>
      <c r="S215" s="971"/>
      <c r="T215" s="971"/>
      <c r="U215" s="971"/>
      <c r="V215" s="971"/>
      <c r="W215" s="971"/>
      <c r="X215" s="971"/>
      <c r="Y215" s="971"/>
      <c r="Z215" s="972"/>
      <c r="AA215" s="971"/>
      <c r="AB215" s="971"/>
      <c r="AC215" s="971"/>
      <c r="AD215" s="206"/>
      <c r="AE215" s="206"/>
      <c r="AF215" s="206"/>
      <c r="AG215" s="206"/>
      <c r="AH215" s="206"/>
      <c r="AI215" s="206"/>
      <c r="AJ215" s="206"/>
      <c r="AK215" s="206"/>
      <c r="AL215" s="206"/>
      <c r="AM215" s="206"/>
      <c r="AN215" s="206"/>
      <c r="AO215" s="206"/>
      <c r="AP215" s="206"/>
      <c r="AQ215" s="206"/>
      <c r="AR215" s="206"/>
      <c r="AS215" s="971"/>
      <c r="AT215" s="971"/>
      <c r="AU215" s="971"/>
      <c r="AV215" s="971"/>
      <c r="AW215" s="206"/>
      <c r="AX215" s="206"/>
      <c r="AY215" s="206"/>
      <c r="AZ215" s="206"/>
      <c r="BA215" s="206"/>
      <c r="BB215" s="206"/>
      <c r="BC215" s="206"/>
      <c r="BD215" s="206"/>
      <c r="BE215" s="206"/>
      <c r="BF215" s="206"/>
      <c r="BG215" s="206"/>
      <c r="BH215" s="206"/>
      <c r="BI215" s="206"/>
      <c r="BJ215" s="206"/>
      <c r="BK215" s="865"/>
      <c r="BL215" s="865"/>
      <c r="BM215" s="865"/>
      <c r="BN215" s="865"/>
      <c r="BO215" s="865"/>
      <c r="BP215" s="865"/>
      <c r="BQ215" s="865"/>
      <c r="BR215" s="865"/>
      <c r="BS215" s="865"/>
      <c r="BT215" s="865"/>
      <c r="BU215" s="865"/>
      <c r="BV215" s="865"/>
      <c r="BW215" s="865"/>
      <c r="BX215" s="865"/>
      <c r="BY215" s="865"/>
      <c r="BZ215" s="865"/>
      <c r="CA215" s="865"/>
      <c r="CB215" s="865"/>
    </row>
    <row r="216" spans="1:80">
      <c r="A216" s="214"/>
      <c r="B216" s="214"/>
      <c r="C216" s="973" t="s">
        <v>1029</v>
      </c>
      <c r="D216" s="971"/>
      <c r="E216" s="971"/>
      <c r="F216" s="971"/>
      <c r="G216" s="971"/>
      <c r="H216" s="971"/>
      <c r="I216" s="971"/>
      <c r="J216" s="971"/>
      <c r="K216" s="971"/>
      <c r="L216" s="971"/>
      <c r="M216" s="971"/>
      <c r="N216" s="971"/>
      <c r="O216" s="971"/>
      <c r="P216" s="971"/>
      <c r="Q216" s="971"/>
      <c r="R216" s="971"/>
      <c r="S216" s="971"/>
      <c r="T216" s="971"/>
      <c r="U216" s="971"/>
      <c r="V216" s="971"/>
      <c r="W216" s="971"/>
      <c r="X216" s="971"/>
      <c r="Y216" s="971"/>
      <c r="Z216" s="972"/>
      <c r="AA216" s="971"/>
      <c r="AB216" s="971"/>
      <c r="AC216" s="971"/>
      <c r="AD216" s="206"/>
      <c r="AE216" s="206"/>
      <c r="AF216" s="206"/>
      <c r="AG216" s="206"/>
      <c r="AH216" s="206"/>
      <c r="AI216" s="206"/>
      <c r="AJ216" s="206"/>
      <c r="AK216" s="206"/>
      <c r="AL216" s="206"/>
      <c r="AM216" s="206"/>
      <c r="AN216" s="206"/>
      <c r="AO216" s="206"/>
      <c r="AP216" s="206"/>
      <c r="AQ216" s="206"/>
      <c r="AR216" s="206"/>
      <c r="AS216" s="971"/>
      <c r="AT216" s="971"/>
      <c r="AU216" s="971"/>
      <c r="AV216" s="971"/>
      <c r="AW216" s="206"/>
      <c r="AX216" s="206"/>
      <c r="AY216" s="206"/>
      <c r="AZ216" s="206"/>
      <c r="BA216" s="206"/>
      <c r="BB216" s="206"/>
      <c r="BC216" s="206"/>
      <c r="BD216" s="206"/>
      <c r="BE216" s="206"/>
      <c r="BF216" s="206"/>
      <c r="BG216" s="206"/>
      <c r="BH216" s="206"/>
      <c r="BI216" s="206"/>
      <c r="BJ216" s="206"/>
      <c r="BK216" s="865"/>
      <c r="BL216" s="865"/>
      <c r="BM216" s="865"/>
      <c r="BN216" s="865"/>
      <c r="BO216" s="865"/>
      <c r="BP216" s="865"/>
      <c r="BQ216" s="865"/>
      <c r="BR216" s="865"/>
      <c r="BS216" s="865"/>
      <c r="BT216" s="865"/>
      <c r="BU216" s="865"/>
      <c r="BV216" s="865"/>
      <c r="BW216" s="865"/>
      <c r="BX216" s="865"/>
      <c r="BY216" s="865"/>
      <c r="BZ216" s="865"/>
      <c r="CA216" s="865"/>
      <c r="CB216" s="865"/>
    </row>
    <row r="217" spans="1:80">
      <c r="A217" s="214"/>
      <c r="B217" s="214"/>
      <c r="C217" s="973" t="s">
        <v>1030</v>
      </c>
      <c r="D217" s="971"/>
      <c r="E217" s="971"/>
      <c r="F217" s="971"/>
      <c r="G217" s="971"/>
      <c r="H217" s="971"/>
      <c r="I217" s="971"/>
      <c r="J217" s="971"/>
      <c r="K217" s="971"/>
      <c r="L217" s="971"/>
      <c r="M217" s="971"/>
      <c r="N217" s="971"/>
      <c r="O217" s="971"/>
      <c r="P217" s="971"/>
      <c r="Q217" s="971"/>
      <c r="R217" s="971"/>
      <c r="S217" s="971"/>
      <c r="T217" s="971"/>
      <c r="U217" s="971"/>
      <c r="V217" s="971"/>
      <c r="W217" s="971"/>
      <c r="X217" s="971"/>
      <c r="Y217" s="971"/>
      <c r="Z217" s="972"/>
      <c r="AA217" s="971"/>
      <c r="AB217" s="971"/>
      <c r="AC217" s="971"/>
      <c r="AD217" s="206"/>
      <c r="AE217" s="206"/>
      <c r="AF217" s="206"/>
      <c r="AG217" s="206"/>
      <c r="AH217" s="206"/>
      <c r="AI217" s="206"/>
      <c r="AJ217" s="206"/>
      <c r="AK217" s="206"/>
      <c r="AL217" s="206"/>
      <c r="AM217" s="206"/>
      <c r="AN217" s="206"/>
      <c r="AO217" s="206"/>
      <c r="AP217" s="206"/>
      <c r="AQ217" s="206"/>
      <c r="AR217" s="206"/>
      <c r="AS217" s="971"/>
      <c r="AT217" s="971"/>
      <c r="AU217" s="971"/>
      <c r="AV217" s="971"/>
      <c r="AW217" s="206"/>
      <c r="AX217" s="206"/>
      <c r="AY217" s="206"/>
      <c r="AZ217" s="206"/>
      <c r="BA217" s="206"/>
      <c r="BB217" s="206"/>
      <c r="BC217" s="206"/>
      <c r="BD217" s="206"/>
      <c r="BE217" s="206"/>
      <c r="BF217" s="206"/>
      <c r="BG217" s="206"/>
      <c r="BH217" s="206"/>
      <c r="BI217" s="206"/>
      <c r="BJ217" s="206"/>
      <c r="BK217" s="865"/>
      <c r="BL217" s="865"/>
      <c r="BM217" s="865"/>
      <c r="BN217" s="865"/>
      <c r="BO217" s="865"/>
      <c r="BP217" s="865"/>
      <c r="BQ217" s="865"/>
      <c r="BR217" s="865"/>
      <c r="BS217" s="865"/>
      <c r="BT217" s="865"/>
      <c r="BU217" s="865"/>
      <c r="BV217" s="865"/>
      <c r="BW217" s="865"/>
      <c r="BX217" s="865"/>
      <c r="BY217" s="865"/>
      <c r="BZ217" s="865"/>
      <c r="CA217" s="865"/>
      <c r="CB217" s="865"/>
    </row>
    <row r="218" spans="1:80">
      <c r="A218" s="214"/>
      <c r="B218" s="214"/>
      <c r="C218" s="973" t="s">
        <v>1031</v>
      </c>
      <c r="D218" s="971"/>
      <c r="E218" s="971"/>
      <c r="F218" s="971"/>
      <c r="G218" s="971"/>
      <c r="H218" s="971"/>
      <c r="I218" s="971"/>
      <c r="J218" s="971"/>
      <c r="K218" s="971"/>
      <c r="L218" s="971"/>
      <c r="M218" s="971"/>
      <c r="N218" s="971"/>
      <c r="O218" s="971"/>
      <c r="P218" s="971"/>
      <c r="Q218" s="971"/>
      <c r="R218" s="971"/>
      <c r="S218" s="971"/>
      <c r="T218" s="971"/>
      <c r="U218" s="971"/>
      <c r="V218" s="971"/>
      <c r="W218" s="971"/>
      <c r="X218" s="971"/>
      <c r="Y218" s="971"/>
      <c r="Z218" s="972"/>
      <c r="AA218" s="971"/>
      <c r="AB218" s="971"/>
      <c r="AC218" s="971"/>
      <c r="AD218" s="206"/>
      <c r="AE218" s="206"/>
      <c r="AF218" s="206"/>
      <c r="AG218" s="206"/>
      <c r="AH218" s="206"/>
      <c r="AI218" s="206"/>
      <c r="AJ218" s="206"/>
      <c r="AK218" s="206"/>
      <c r="AL218" s="206"/>
      <c r="AM218" s="206"/>
      <c r="AN218" s="206"/>
      <c r="AO218" s="206"/>
      <c r="AP218" s="206"/>
      <c r="AQ218" s="206"/>
      <c r="AR218" s="206"/>
      <c r="AS218" s="971"/>
      <c r="AT218" s="971"/>
      <c r="AU218" s="971"/>
      <c r="AV218" s="971"/>
      <c r="AW218" s="206"/>
      <c r="AX218" s="206"/>
      <c r="AY218" s="206"/>
      <c r="AZ218" s="206"/>
      <c r="BA218" s="206"/>
      <c r="BB218" s="206"/>
      <c r="BC218" s="206"/>
      <c r="BD218" s="206"/>
      <c r="BE218" s="206"/>
      <c r="BF218" s="206"/>
      <c r="BG218" s="206"/>
      <c r="BH218" s="206"/>
      <c r="BI218" s="206"/>
      <c r="BJ218" s="206"/>
      <c r="BK218" s="865"/>
      <c r="BL218" s="865"/>
      <c r="BM218" s="865"/>
      <c r="BN218" s="865"/>
      <c r="BO218" s="865"/>
      <c r="BP218" s="865"/>
      <c r="BQ218" s="865"/>
      <c r="BR218" s="865"/>
      <c r="BS218" s="865"/>
      <c r="BT218" s="865"/>
      <c r="BU218" s="865"/>
      <c r="BV218" s="865"/>
      <c r="BW218" s="865"/>
      <c r="BX218" s="865"/>
      <c r="BY218" s="865"/>
      <c r="BZ218" s="865"/>
      <c r="CA218" s="865"/>
      <c r="CB218" s="865"/>
    </row>
    <row r="219" spans="1:80">
      <c r="A219" s="214"/>
      <c r="B219" s="214"/>
      <c r="C219" s="971"/>
      <c r="D219" s="971"/>
      <c r="E219" s="971"/>
      <c r="F219" s="971"/>
      <c r="G219" s="971"/>
      <c r="H219" s="971"/>
      <c r="I219" s="971"/>
      <c r="J219" s="971"/>
      <c r="K219" s="971"/>
      <c r="L219" s="971"/>
      <c r="M219" s="971"/>
      <c r="N219" s="971"/>
      <c r="O219" s="971"/>
      <c r="P219" s="971"/>
      <c r="Q219" s="971"/>
      <c r="R219" s="971"/>
      <c r="S219" s="971"/>
      <c r="T219" s="971"/>
      <c r="U219" s="971"/>
      <c r="V219" s="971"/>
      <c r="W219" s="971"/>
      <c r="X219" s="971"/>
      <c r="Y219" s="971"/>
      <c r="Z219" s="972"/>
      <c r="AA219" s="971"/>
      <c r="AB219" s="971"/>
      <c r="AC219" s="971"/>
      <c r="AD219" s="206"/>
      <c r="AE219" s="206"/>
      <c r="AF219" s="206"/>
      <c r="AG219" s="206"/>
      <c r="AH219" s="206"/>
      <c r="AI219" s="206"/>
      <c r="AJ219" s="206"/>
      <c r="AK219" s="206"/>
      <c r="AL219" s="206"/>
      <c r="AM219" s="206"/>
      <c r="AN219" s="206"/>
      <c r="AO219" s="206"/>
      <c r="AP219" s="206"/>
      <c r="AQ219" s="206"/>
      <c r="AR219" s="206"/>
      <c r="AS219" s="971"/>
      <c r="AT219" s="971"/>
      <c r="AU219" s="971"/>
      <c r="AV219" s="971"/>
      <c r="AW219" s="206"/>
      <c r="AX219" s="206"/>
      <c r="AY219" s="206"/>
      <c r="AZ219" s="206"/>
      <c r="BA219" s="206"/>
      <c r="BB219" s="206"/>
      <c r="BC219" s="206"/>
      <c r="BD219" s="206"/>
      <c r="BE219" s="206"/>
      <c r="BF219" s="206"/>
      <c r="BG219" s="206"/>
      <c r="BH219" s="206"/>
      <c r="BI219" s="206"/>
      <c r="BJ219" s="206"/>
      <c r="BK219" s="865"/>
      <c r="BL219" s="865"/>
      <c r="BM219" s="865"/>
      <c r="BN219" s="865"/>
      <c r="BO219" s="865"/>
      <c r="BP219" s="865"/>
      <c r="BQ219" s="865"/>
      <c r="BR219" s="865"/>
      <c r="BS219" s="865"/>
      <c r="BT219" s="865"/>
      <c r="BU219" s="865"/>
      <c r="BV219" s="865"/>
      <c r="BW219" s="865"/>
      <c r="BX219" s="865"/>
      <c r="BY219" s="865"/>
      <c r="BZ219" s="865"/>
      <c r="CA219" s="865"/>
      <c r="CB219" s="865"/>
    </row>
    <row r="220" spans="1:80">
      <c r="A220" s="214"/>
      <c r="B220" s="214"/>
      <c r="C220" s="973" t="s">
        <v>1032</v>
      </c>
      <c r="D220" s="971"/>
      <c r="E220" s="971"/>
      <c r="F220" s="971"/>
      <c r="G220" s="971"/>
      <c r="H220" s="971"/>
      <c r="I220" s="971"/>
      <c r="J220" s="971"/>
      <c r="K220" s="971"/>
      <c r="L220" s="971"/>
      <c r="M220" s="971"/>
      <c r="N220" s="971"/>
      <c r="O220" s="971"/>
      <c r="P220" s="971"/>
      <c r="Q220" s="971"/>
      <c r="R220" s="971"/>
      <c r="S220" s="971"/>
      <c r="T220" s="971"/>
      <c r="U220" s="971"/>
      <c r="V220" s="971"/>
      <c r="W220" s="971"/>
      <c r="X220" s="971"/>
      <c r="Y220" s="971"/>
      <c r="Z220" s="972"/>
      <c r="AA220" s="971"/>
      <c r="AB220" s="971"/>
      <c r="AC220" s="971"/>
      <c r="AD220" s="206"/>
      <c r="AE220" s="206"/>
      <c r="AF220" s="206"/>
      <c r="AG220" s="206"/>
      <c r="AH220" s="206"/>
      <c r="AI220" s="206"/>
      <c r="AJ220" s="206"/>
      <c r="AK220" s="206"/>
      <c r="AL220" s="206"/>
      <c r="AM220" s="206"/>
      <c r="AN220" s="206"/>
      <c r="AO220" s="206"/>
      <c r="AP220" s="206"/>
      <c r="AQ220" s="206"/>
      <c r="AR220" s="206"/>
      <c r="AS220" s="971"/>
      <c r="AT220" s="971"/>
      <c r="AU220" s="971"/>
      <c r="AV220" s="971"/>
      <c r="AW220" s="206"/>
      <c r="AX220" s="206"/>
      <c r="AY220" s="206"/>
      <c r="AZ220" s="206"/>
      <c r="BA220" s="206"/>
      <c r="BB220" s="206"/>
      <c r="BC220" s="206"/>
      <c r="BD220" s="206"/>
      <c r="BE220" s="206"/>
      <c r="BF220" s="206"/>
      <c r="BG220" s="206"/>
      <c r="BH220" s="206"/>
      <c r="BI220" s="206"/>
      <c r="BJ220" s="206"/>
      <c r="BK220" s="865"/>
      <c r="BL220" s="865"/>
      <c r="BM220" s="865"/>
      <c r="BN220" s="865"/>
      <c r="BO220" s="865"/>
      <c r="BP220" s="865"/>
      <c r="BQ220" s="865"/>
      <c r="BR220" s="865"/>
      <c r="BS220" s="865"/>
      <c r="BT220" s="865"/>
      <c r="BU220" s="865"/>
      <c r="BV220" s="865"/>
      <c r="BW220" s="865"/>
      <c r="BX220" s="865"/>
      <c r="BY220" s="865"/>
      <c r="BZ220" s="865"/>
      <c r="CA220" s="865"/>
      <c r="CB220" s="865"/>
    </row>
    <row r="221" spans="1:80">
      <c r="A221" s="214"/>
      <c r="B221" s="214"/>
      <c r="C221" s="971"/>
      <c r="D221" s="971"/>
      <c r="E221" s="971"/>
      <c r="F221" s="971"/>
      <c r="G221" s="971"/>
      <c r="H221" s="971"/>
      <c r="I221" s="971"/>
      <c r="J221" s="971"/>
      <c r="K221" s="971"/>
      <c r="L221" s="971"/>
      <c r="M221" s="971"/>
      <c r="N221" s="971"/>
      <c r="O221" s="971"/>
      <c r="P221" s="971"/>
      <c r="Q221" s="971"/>
      <c r="R221" s="971"/>
      <c r="S221" s="971"/>
      <c r="T221" s="971"/>
      <c r="U221" s="971"/>
      <c r="V221" s="971"/>
      <c r="W221" s="971"/>
      <c r="X221" s="971"/>
      <c r="Y221" s="971"/>
      <c r="Z221" s="972"/>
      <c r="AA221" s="971"/>
      <c r="AB221" s="971"/>
      <c r="AC221" s="971"/>
      <c r="AD221" s="206"/>
      <c r="AE221" s="206"/>
      <c r="AF221" s="206"/>
      <c r="AG221" s="206"/>
      <c r="AH221" s="206"/>
      <c r="AI221" s="206"/>
      <c r="AJ221" s="206"/>
      <c r="AK221" s="206"/>
      <c r="AL221" s="206"/>
      <c r="AM221" s="206"/>
      <c r="AN221" s="206"/>
      <c r="AO221" s="206"/>
      <c r="AP221" s="206"/>
      <c r="AQ221" s="206"/>
      <c r="AR221" s="206"/>
      <c r="AS221" s="971"/>
      <c r="AT221" s="971"/>
      <c r="AU221" s="971"/>
      <c r="AV221" s="971"/>
      <c r="AW221" s="206"/>
      <c r="AX221" s="206"/>
      <c r="AY221" s="206"/>
      <c r="AZ221" s="206"/>
      <c r="BA221" s="206"/>
      <c r="BB221" s="206"/>
      <c r="BC221" s="206"/>
      <c r="BD221" s="206"/>
      <c r="BE221" s="206"/>
      <c r="BF221" s="206"/>
      <c r="BG221" s="206"/>
      <c r="BH221" s="206"/>
      <c r="BI221" s="206"/>
      <c r="BJ221" s="206"/>
      <c r="BK221" s="865"/>
      <c r="BL221" s="865"/>
      <c r="BM221" s="865"/>
      <c r="BN221" s="865"/>
      <c r="BO221" s="865"/>
      <c r="BP221" s="865"/>
      <c r="BQ221" s="865"/>
      <c r="BR221" s="865"/>
      <c r="BS221" s="865"/>
      <c r="BT221" s="865"/>
      <c r="BU221" s="865"/>
      <c r="BV221" s="865"/>
      <c r="BW221" s="865"/>
      <c r="BX221" s="865"/>
      <c r="BY221" s="865"/>
      <c r="BZ221" s="865"/>
      <c r="CA221" s="865"/>
      <c r="CB221" s="865"/>
    </row>
    <row r="222" spans="1:80" ht="15">
      <c r="A222" s="214"/>
      <c r="B222" s="214"/>
      <c r="C222" s="971"/>
      <c r="D222" s="971"/>
      <c r="E222" s="971"/>
      <c r="F222" s="971"/>
      <c r="G222" s="971"/>
      <c r="H222" s="1973" t="s">
        <v>1033</v>
      </c>
      <c r="I222" s="1973"/>
      <c r="J222" s="1973"/>
      <c r="K222" s="1973" t="s">
        <v>1034</v>
      </c>
      <c r="L222" s="1973"/>
      <c r="M222" s="1973"/>
      <c r="N222" s="1023"/>
      <c r="O222" s="1973" t="s">
        <v>1035</v>
      </c>
      <c r="P222" s="1973"/>
      <c r="Q222" s="1973"/>
      <c r="R222" s="1980" t="s">
        <v>1036</v>
      </c>
      <c r="S222" s="1981"/>
      <c r="T222" s="1981"/>
      <c r="U222" s="1982"/>
      <c r="V222" s="1973" t="s">
        <v>1037</v>
      </c>
      <c r="W222" s="1973"/>
      <c r="X222" s="1973"/>
      <c r="Y222" s="971"/>
      <c r="Z222" s="972"/>
      <c r="AA222" s="971"/>
      <c r="AB222" s="971"/>
      <c r="AC222" s="971"/>
      <c r="AD222" s="206"/>
      <c r="AE222" s="206"/>
      <c r="AF222" s="206"/>
      <c r="AG222" s="206"/>
      <c r="AH222" s="206"/>
      <c r="AI222" s="206"/>
      <c r="AJ222" s="206"/>
      <c r="AK222" s="206"/>
      <c r="AL222" s="206"/>
      <c r="AM222" s="206"/>
      <c r="AN222" s="206"/>
      <c r="AO222" s="206"/>
      <c r="AP222" s="206"/>
      <c r="AQ222" s="206"/>
      <c r="AR222" s="206"/>
      <c r="AS222" s="971"/>
      <c r="AT222" s="971"/>
      <c r="AU222" s="971"/>
      <c r="AV222" s="971"/>
      <c r="AW222" s="206"/>
      <c r="AX222" s="206"/>
      <c r="AY222" s="206"/>
      <c r="AZ222" s="206"/>
      <c r="BA222" s="206"/>
      <c r="BB222" s="206"/>
      <c r="BC222" s="206"/>
      <c r="BD222" s="206"/>
      <c r="BE222" s="206"/>
      <c r="BF222" s="206"/>
      <c r="BG222" s="206"/>
      <c r="BH222" s="206"/>
      <c r="BI222" s="206"/>
      <c r="BJ222" s="206"/>
      <c r="BK222" s="865"/>
      <c r="BL222" s="865"/>
      <c r="BM222" s="865"/>
      <c r="BN222" s="865"/>
      <c r="BO222" s="865"/>
      <c r="BP222" s="865"/>
      <c r="BQ222" s="865"/>
      <c r="BR222" s="865"/>
      <c r="BS222" s="865"/>
      <c r="BT222" s="865"/>
      <c r="BU222" s="865"/>
      <c r="BV222" s="865"/>
      <c r="BW222" s="865"/>
      <c r="BX222" s="865"/>
      <c r="BY222" s="865"/>
      <c r="BZ222" s="865"/>
      <c r="CA222" s="865"/>
      <c r="CB222" s="865"/>
    </row>
    <row r="223" spans="1:80">
      <c r="A223" s="214"/>
      <c r="B223" s="214"/>
      <c r="C223" s="975" t="s">
        <v>1054</v>
      </c>
      <c r="D223" s="976"/>
      <c r="E223" s="976"/>
      <c r="F223" s="976"/>
      <c r="G223" s="977"/>
      <c r="H223" s="1974">
        <v>12.89</v>
      </c>
      <c r="I223" s="1975"/>
      <c r="J223" s="1976"/>
      <c r="K223" s="1974">
        <v>12.22</v>
      </c>
      <c r="L223" s="1975"/>
      <c r="M223" s="1976"/>
      <c r="N223" s="1024"/>
      <c r="O223" s="1974">
        <v>10.9</v>
      </c>
      <c r="P223" s="1975"/>
      <c r="Q223" s="1976"/>
      <c r="R223" s="1974">
        <v>8.92</v>
      </c>
      <c r="S223" s="1975"/>
      <c r="T223" s="1975"/>
      <c r="U223" s="1976"/>
      <c r="V223" s="1974">
        <v>8.92</v>
      </c>
      <c r="W223" s="1975"/>
      <c r="X223" s="1976"/>
      <c r="Y223" s="971"/>
      <c r="Z223" s="972"/>
      <c r="AA223" s="971"/>
      <c r="AB223" s="971"/>
      <c r="AC223" s="971"/>
      <c r="AD223" s="206"/>
      <c r="AE223" s="206"/>
      <c r="AF223" s="206"/>
      <c r="AG223" s="206"/>
      <c r="AH223" s="206"/>
      <c r="AI223" s="206"/>
      <c r="AJ223" s="206"/>
      <c r="AK223" s="206"/>
      <c r="AL223" s="206"/>
      <c r="AM223" s="206"/>
      <c r="AN223" s="206"/>
      <c r="AO223" s="206"/>
      <c r="AP223" s="206"/>
      <c r="AQ223" s="206"/>
      <c r="AR223" s="206"/>
      <c r="AS223" s="971"/>
      <c r="AT223" s="971"/>
      <c r="AU223" s="971"/>
      <c r="AV223" s="971"/>
      <c r="AW223" s="206"/>
      <c r="AX223" s="206"/>
      <c r="AY223" s="206"/>
      <c r="AZ223" s="206"/>
      <c r="BA223" s="206"/>
      <c r="BB223" s="206"/>
      <c r="BC223" s="206"/>
      <c r="BD223" s="206"/>
      <c r="BE223" s="206"/>
      <c r="BF223" s="206"/>
      <c r="BG223" s="206"/>
      <c r="BH223" s="206"/>
      <c r="BI223" s="206"/>
      <c r="BJ223" s="206"/>
      <c r="BK223" s="865"/>
      <c r="BL223" s="865"/>
      <c r="BM223" s="865"/>
      <c r="BN223" s="865"/>
      <c r="BO223" s="865"/>
      <c r="BP223" s="865"/>
      <c r="BQ223" s="865"/>
      <c r="BR223" s="865"/>
      <c r="BS223" s="865"/>
      <c r="BT223" s="865"/>
      <c r="BU223" s="865"/>
      <c r="BV223" s="865"/>
      <c r="BW223" s="865"/>
      <c r="BX223" s="865"/>
      <c r="BY223" s="865"/>
      <c r="BZ223" s="865"/>
      <c r="CA223" s="865"/>
      <c r="CB223" s="865"/>
    </row>
    <row r="224" spans="1:80">
      <c r="A224" s="214"/>
      <c r="B224" s="214"/>
      <c r="C224" s="985" t="s">
        <v>1038</v>
      </c>
      <c r="D224" s="985"/>
      <c r="E224" s="985"/>
      <c r="F224" s="985"/>
      <c r="G224" s="986"/>
      <c r="H224" s="1977"/>
      <c r="I224" s="1978"/>
      <c r="J224" s="1979"/>
      <c r="K224" s="1977"/>
      <c r="L224" s="1978"/>
      <c r="M224" s="1979"/>
      <c r="N224" s="1027"/>
      <c r="O224" s="1977"/>
      <c r="P224" s="1978"/>
      <c r="Q224" s="1979"/>
      <c r="R224" s="1977"/>
      <c r="S224" s="1978"/>
      <c r="T224" s="1978"/>
      <c r="U224" s="1979"/>
      <c r="V224" s="1977"/>
      <c r="W224" s="1978"/>
      <c r="X224" s="1979"/>
      <c r="Y224" s="971"/>
      <c r="Z224" s="971"/>
      <c r="AA224" s="971"/>
      <c r="AB224" s="971"/>
      <c r="AC224" s="971"/>
      <c r="AD224" s="206"/>
      <c r="AE224" s="206"/>
      <c r="AF224" s="206"/>
      <c r="AG224" s="206"/>
      <c r="AH224" s="206"/>
      <c r="AI224" s="206"/>
      <c r="AJ224" s="206"/>
      <c r="AK224" s="206"/>
      <c r="AL224" s="206"/>
      <c r="AM224" s="206"/>
      <c r="AN224" s="206"/>
      <c r="AO224" s="206"/>
      <c r="AP224" s="206"/>
      <c r="AQ224" s="206"/>
      <c r="AR224" s="206"/>
      <c r="AS224" s="971"/>
      <c r="AT224" s="971"/>
      <c r="AU224" s="971"/>
      <c r="AV224" s="971"/>
      <c r="AW224" s="206"/>
      <c r="AX224" s="206"/>
      <c r="AY224" s="206"/>
      <c r="AZ224" s="206"/>
      <c r="BA224" s="206"/>
      <c r="BB224" s="206"/>
      <c r="BC224" s="206"/>
      <c r="BD224" s="206"/>
      <c r="BE224" s="206"/>
      <c r="BF224" s="206"/>
      <c r="BG224" s="206"/>
      <c r="BH224" s="206"/>
      <c r="BI224" s="206"/>
      <c r="BJ224" s="206"/>
      <c r="BK224" s="865"/>
      <c r="BL224" s="865"/>
      <c r="BM224" s="865"/>
      <c r="BN224" s="865"/>
      <c r="BO224" s="865"/>
      <c r="BP224" s="865"/>
      <c r="BQ224" s="865"/>
      <c r="BR224" s="865"/>
      <c r="BS224" s="865"/>
      <c r="BT224" s="865"/>
      <c r="BU224" s="865"/>
      <c r="BV224" s="865"/>
      <c r="BW224" s="865"/>
      <c r="BX224" s="865"/>
      <c r="BY224" s="865"/>
      <c r="BZ224" s="865"/>
      <c r="CA224" s="865"/>
      <c r="CB224" s="865"/>
    </row>
    <row r="225" spans="1:80">
      <c r="A225" s="214"/>
      <c r="B225" s="214"/>
      <c r="C225" s="987" t="s">
        <v>1039</v>
      </c>
      <c r="D225" s="987"/>
      <c r="E225" s="987"/>
      <c r="F225" s="987"/>
      <c r="G225" s="988"/>
      <c r="H225" s="1969">
        <v>12.75</v>
      </c>
      <c r="I225" s="1970"/>
      <c r="J225" s="1971"/>
      <c r="K225" s="1969">
        <v>12.1</v>
      </c>
      <c r="L225" s="1970"/>
      <c r="M225" s="1971"/>
      <c r="N225" s="1026"/>
      <c r="O225" s="1969">
        <v>10.79</v>
      </c>
      <c r="P225" s="1970"/>
      <c r="Q225" s="1971"/>
      <c r="R225" s="1969">
        <v>8.83</v>
      </c>
      <c r="S225" s="1970"/>
      <c r="T225" s="1970"/>
      <c r="U225" s="1971"/>
      <c r="V225" s="1969">
        <v>8.83</v>
      </c>
      <c r="W225" s="1970"/>
      <c r="X225" s="1971"/>
      <c r="Y225" s="974"/>
      <c r="Z225" s="974"/>
      <c r="AA225" s="974"/>
      <c r="AB225" s="971"/>
      <c r="AC225" s="971"/>
      <c r="AD225" s="206"/>
      <c r="AE225" s="206"/>
      <c r="AF225" s="206"/>
      <c r="AG225" s="206"/>
      <c r="AH225" s="206"/>
      <c r="AI225" s="206"/>
      <c r="AJ225" s="206"/>
      <c r="AK225" s="206"/>
      <c r="AL225" s="206"/>
      <c r="AM225" s="206"/>
      <c r="AN225" s="206"/>
      <c r="AO225" s="206"/>
      <c r="AP225" s="206"/>
      <c r="AQ225" s="206"/>
      <c r="AR225" s="206"/>
      <c r="AS225" s="974"/>
      <c r="AT225" s="974"/>
      <c r="AU225" s="974"/>
      <c r="AV225" s="974"/>
      <c r="AW225" s="206"/>
      <c r="AX225" s="206"/>
      <c r="AY225" s="206"/>
      <c r="AZ225" s="206"/>
      <c r="BA225" s="206"/>
      <c r="BB225" s="206"/>
      <c r="BC225" s="206"/>
      <c r="BD225" s="206"/>
      <c r="BE225" s="206"/>
      <c r="BF225" s="206"/>
      <c r="BG225" s="206"/>
      <c r="BH225" s="206"/>
      <c r="BI225" s="206"/>
      <c r="BJ225" s="206"/>
      <c r="BK225" s="865"/>
      <c r="BL225" s="865"/>
      <c r="BM225" s="865"/>
      <c r="BN225" s="865"/>
      <c r="BO225" s="865"/>
      <c r="BP225" s="865"/>
      <c r="BQ225" s="865"/>
      <c r="BR225" s="865"/>
      <c r="BS225" s="865"/>
      <c r="BT225" s="865"/>
      <c r="BU225" s="865"/>
      <c r="BV225" s="865"/>
      <c r="BW225" s="865"/>
      <c r="BX225" s="865"/>
      <c r="BY225" s="865"/>
      <c r="BZ225" s="865"/>
      <c r="CA225" s="865"/>
      <c r="CB225" s="865"/>
    </row>
    <row r="226" spans="1:80">
      <c r="A226" s="214"/>
      <c r="B226" s="214"/>
      <c r="C226" s="978"/>
      <c r="D226" s="971"/>
      <c r="E226" s="971"/>
      <c r="F226" s="971"/>
      <c r="G226" s="971"/>
      <c r="H226" s="989"/>
      <c r="I226" s="989"/>
      <c r="J226" s="989"/>
      <c r="K226" s="989"/>
      <c r="L226" s="989"/>
      <c r="M226" s="989"/>
      <c r="N226" s="989"/>
      <c r="O226" s="989"/>
      <c r="P226" s="989"/>
      <c r="Q226" s="989"/>
      <c r="R226" s="989"/>
      <c r="S226" s="989"/>
      <c r="T226" s="989"/>
      <c r="U226" s="989"/>
      <c r="V226" s="989"/>
      <c r="W226" s="989"/>
      <c r="X226" s="989"/>
      <c r="Y226" s="971"/>
      <c r="Z226" s="972"/>
      <c r="AA226" s="971"/>
      <c r="AB226" s="971"/>
      <c r="AC226" s="971"/>
      <c r="AD226" s="206"/>
      <c r="AE226" s="206"/>
      <c r="AF226" s="206"/>
      <c r="AG226" s="206"/>
      <c r="AH226" s="206"/>
      <c r="AI226" s="206"/>
      <c r="AJ226" s="206"/>
      <c r="AK226" s="206"/>
      <c r="AL226" s="206"/>
      <c r="AM226" s="206"/>
      <c r="AN226" s="206"/>
      <c r="AO226" s="206"/>
      <c r="AP226" s="206"/>
      <c r="AQ226" s="206"/>
      <c r="AR226" s="206"/>
      <c r="AS226" s="971"/>
      <c r="AT226" s="971"/>
      <c r="AU226" s="971"/>
      <c r="AV226" s="971"/>
      <c r="AW226" s="206"/>
      <c r="AX226" s="206"/>
      <c r="AY226" s="206"/>
      <c r="AZ226" s="206"/>
      <c r="BA226" s="206"/>
      <c r="BB226" s="206"/>
      <c r="BC226" s="206"/>
      <c r="BD226" s="206"/>
      <c r="BE226" s="206"/>
      <c r="BF226" s="206"/>
      <c r="BG226" s="206"/>
      <c r="BH226" s="206"/>
      <c r="BI226" s="206"/>
      <c r="BJ226" s="206"/>
      <c r="BK226" s="865"/>
      <c r="BL226" s="865"/>
      <c r="BM226" s="865"/>
      <c r="BN226" s="865"/>
      <c r="BO226" s="865"/>
      <c r="BP226" s="865"/>
      <c r="BQ226" s="865"/>
      <c r="BR226" s="865"/>
      <c r="BS226" s="865"/>
      <c r="BT226" s="865"/>
      <c r="BU226" s="865"/>
      <c r="BV226" s="865"/>
      <c r="BW226" s="865"/>
      <c r="BX226" s="865"/>
      <c r="BY226" s="865"/>
      <c r="BZ226" s="865"/>
      <c r="CA226" s="865"/>
      <c r="CB226" s="865"/>
    </row>
    <row r="227" spans="1:80">
      <c r="A227" s="214"/>
      <c r="B227" s="214"/>
      <c r="C227" s="978" t="s">
        <v>1040</v>
      </c>
      <c r="D227" s="971"/>
      <c r="E227" s="971"/>
      <c r="F227" s="971"/>
      <c r="G227" s="971"/>
      <c r="H227" s="1958">
        <v>0.4</v>
      </c>
      <c r="I227" s="1959"/>
      <c r="J227" s="1960"/>
      <c r="K227" s="1958">
        <v>0.4</v>
      </c>
      <c r="L227" s="1959"/>
      <c r="M227" s="1960"/>
      <c r="N227" s="991"/>
      <c r="O227" s="1958">
        <v>0.4</v>
      </c>
      <c r="P227" s="1959"/>
      <c r="Q227" s="1960"/>
      <c r="R227" s="1958">
        <v>0.4</v>
      </c>
      <c r="S227" s="1959"/>
      <c r="T227" s="1959"/>
      <c r="U227" s="1960"/>
      <c r="V227" s="1958">
        <v>0.4</v>
      </c>
      <c r="W227" s="1959"/>
      <c r="X227" s="1960"/>
      <c r="Y227" s="971"/>
      <c r="Z227" s="973" t="s">
        <v>1046</v>
      </c>
      <c r="AA227" s="971"/>
      <c r="AB227" s="971"/>
      <c r="AC227" s="971"/>
      <c r="AD227" s="206"/>
      <c r="AE227" s="206"/>
      <c r="AF227" s="206"/>
      <c r="AG227" s="206"/>
      <c r="AH227" s="206"/>
      <c r="AI227" s="206"/>
      <c r="AJ227" s="206"/>
      <c r="AK227" s="206"/>
      <c r="AL227" s="206"/>
      <c r="AM227" s="206"/>
      <c r="AN227" s="206"/>
      <c r="AO227" s="206"/>
      <c r="AP227" s="206"/>
      <c r="AQ227" s="206"/>
      <c r="AR227" s="206"/>
      <c r="AS227" s="971"/>
      <c r="AT227" s="971"/>
      <c r="AU227" s="971"/>
      <c r="AV227" s="971"/>
      <c r="AW227" s="206"/>
      <c r="AX227" s="206"/>
      <c r="AY227" s="206"/>
      <c r="AZ227" s="206"/>
      <c r="BA227" s="206"/>
      <c r="BB227" s="206"/>
      <c r="BC227" s="206"/>
      <c r="BD227" s="206"/>
      <c r="BE227" s="206"/>
      <c r="BF227" s="206"/>
      <c r="BG227" s="206"/>
      <c r="BH227" s="206"/>
      <c r="BI227" s="206"/>
      <c r="BJ227" s="206"/>
      <c r="BK227" s="865"/>
      <c r="BL227" s="865"/>
      <c r="BM227" s="865"/>
      <c r="BN227" s="865"/>
      <c r="BO227" s="865"/>
      <c r="BP227" s="865"/>
      <c r="BQ227" s="865"/>
      <c r="BR227" s="865"/>
      <c r="BS227" s="865"/>
      <c r="BT227" s="865"/>
      <c r="BU227" s="865"/>
      <c r="BV227" s="865"/>
      <c r="BW227" s="865"/>
      <c r="BX227" s="865"/>
      <c r="BY227" s="865"/>
      <c r="BZ227" s="865"/>
      <c r="CA227" s="865"/>
      <c r="CB227" s="865"/>
    </row>
    <row r="228" spans="1:80">
      <c r="A228" s="214"/>
      <c r="B228" s="214"/>
      <c r="C228" s="979" t="s">
        <v>1041</v>
      </c>
      <c r="D228" s="980"/>
      <c r="E228" s="980"/>
      <c r="F228" s="980"/>
      <c r="G228" s="980"/>
      <c r="H228" s="1961" t="s">
        <v>1042</v>
      </c>
      <c r="I228" s="1962"/>
      <c r="J228" s="1963"/>
      <c r="K228" s="1972">
        <v>0.3</v>
      </c>
      <c r="L228" s="1962"/>
      <c r="M228" s="1963"/>
      <c r="N228" s="1025"/>
      <c r="O228" s="1972">
        <v>0.3</v>
      </c>
      <c r="P228" s="1962"/>
      <c r="Q228" s="1963"/>
      <c r="R228" s="1961" t="s">
        <v>1042</v>
      </c>
      <c r="S228" s="1967"/>
      <c r="T228" s="1967"/>
      <c r="U228" s="1968"/>
      <c r="V228" s="1961" t="s">
        <v>1042</v>
      </c>
      <c r="W228" s="1962"/>
      <c r="X228" s="1963"/>
      <c r="Y228" s="971"/>
      <c r="Z228" s="973" t="s">
        <v>1047</v>
      </c>
      <c r="AA228" s="971"/>
      <c r="AB228" s="971"/>
      <c r="AC228" s="971"/>
      <c r="AD228" s="206"/>
      <c r="AE228" s="206"/>
      <c r="AF228" s="206"/>
      <c r="AG228" s="206"/>
      <c r="AH228" s="206"/>
      <c r="AI228" s="206"/>
      <c r="AJ228" s="206"/>
      <c r="AK228" s="206"/>
      <c r="AL228" s="206"/>
      <c r="AM228" s="206"/>
      <c r="AN228" s="206"/>
      <c r="AO228" s="206"/>
      <c r="AP228" s="206"/>
      <c r="AQ228" s="206"/>
      <c r="AR228" s="206"/>
      <c r="AS228" s="971"/>
      <c r="AT228" s="971"/>
      <c r="AU228" s="971"/>
      <c r="AV228" s="971"/>
      <c r="AW228" s="206"/>
      <c r="AX228" s="206"/>
      <c r="AY228" s="206"/>
      <c r="AZ228" s="206"/>
      <c r="BA228" s="206"/>
      <c r="BB228" s="206"/>
      <c r="BC228" s="206"/>
      <c r="BD228" s="206"/>
      <c r="BE228" s="206"/>
      <c r="BF228" s="206"/>
      <c r="BG228" s="206"/>
      <c r="BH228" s="206"/>
      <c r="BI228" s="206"/>
      <c r="BJ228" s="206"/>
      <c r="BK228" s="865"/>
      <c r="BL228" s="865"/>
      <c r="BM228" s="865"/>
      <c r="BN228" s="865"/>
      <c r="BO228" s="865"/>
      <c r="BP228" s="865"/>
      <c r="BQ228" s="865"/>
      <c r="BR228" s="865"/>
      <c r="BS228" s="865"/>
      <c r="BT228" s="865"/>
      <c r="BU228" s="865"/>
      <c r="BV228" s="865"/>
      <c r="BW228" s="865"/>
      <c r="BX228" s="865"/>
      <c r="BY228" s="865"/>
      <c r="BZ228" s="865"/>
      <c r="CA228" s="865"/>
      <c r="CB228" s="865"/>
    </row>
    <row r="229" spans="1:80">
      <c r="A229" s="214"/>
      <c r="B229" s="214"/>
      <c r="C229" s="971"/>
      <c r="D229" s="971"/>
      <c r="E229" s="971"/>
      <c r="F229" s="971"/>
      <c r="G229" s="971"/>
      <c r="H229" s="989"/>
      <c r="I229" s="989"/>
      <c r="J229" s="989"/>
      <c r="K229" s="989"/>
      <c r="L229" s="989"/>
      <c r="M229" s="989"/>
      <c r="N229" s="989"/>
      <c r="O229" s="989"/>
      <c r="P229" s="989"/>
      <c r="Q229" s="989"/>
      <c r="R229" s="989"/>
      <c r="S229" s="989"/>
      <c r="T229" s="989"/>
      <c r="U229" s="989"/>
      <c r="V229" s="989"/>
      <c r="W229" s="989"/>
      <c r="X229" s="989"/>
      <c r="Y229" s="971"/>
      <c r="Z229" s="973" t="s">
        <v>1048</v>
      </c>
      <c r="AA229" s="971"/>
      <c r="AB229" s="971"/>
      <c r="AC229" s="971"/>
      <c r="AD229" s="206"/>
      <c r="AE229" s="206"/>
      <c r="AF229" s="206"/>
      <c r="AG229" s="206"/>
      <c r="AH229" s="206"/>
      <c r="AI229" s="206"/>
      <c r="AJ229" s="206"/>
      <c r="AK229" s="206"/>
      <c r="AL229" s="206"/>
      <c r="AM229" s="206"/>
      <c r="AN229" s="206"/>
      <c r="AO229" s="206"/>
      <c r="AP229" s="206"/>
      <c r="AQ229" s="206"/>
      <c r="AR229" s="206"/>
      <c r="AS229" s="971"/>
      <c r="AT229" s="971"/>
      <c r="AU229" s="971"/>
      <c r="AV229" s="971"/>
      <c r="AW229" s="206"/>
      <c r="AX229" s="206"/>
      <c r="AY229" s="206"/>
      <c r="AZ229" s="206"/>
      <c r="BA229" s="206"/>
      <c r="BB229" s="206"/>
      <c r="BC229" s="206"/>
      <c r="BD229" s="206"/>
      <c r="BE229" s="206"/>
      <c r="BF229" s="206"/>
      <c r="BG229" s="206"/>
      <c r="BH229" s="206"/>
      <c r="BI229" s="206"/>
      <c r="BJ229" s="206"/>
      <c r="BK229" s="865"/>
      <c r="BL229" s="865"/>
      <c r="BM229" s="865"/>
      <c r="BN229" s="865"/>
      <c r="BO229" s="865"/>
      <c r="BP229" s="865"/>
      <c r="BQ229" s="865"/>
      <c r="BR229" s="865"/>
      <c r="BS229" s="865"/>
      <c r="BT229" s="865"/>
      <c r="BU229" s="865"/>
      <c r="BV229" s="865"/>
      <c r="BW229" s="865"/>
      <c r="BX229" s="865"/>
      <c r="BY229" s="865"/>
      <c r="BZ229" s="865"/>
      <c r="CA229" s="865"/>
      <c r="CB229" s="865"/>
    </row>
    <row r="230" spans="1:80" s="984" customFormat="1">
      <c r="A230" s="981"/>
      <c r="B230" s="981"/>
      <c r="C230" s="993" t="s">
        <v>1043</v>
      </c>
      <c r="D230" s="994"/>
      <c r="E230" s="994"/>
      <c r="F230" s="994"/>
      <c r="G230" s="994"/>
      <c r="H230" s="1952">
        <f>H225+H227</f>
        <v>13.15</v>
      </c>
      <c r="I230" s="1953"/>
      <c r="J230" s="1954"/>
      <c r="K230" s="1952">
        <f>K225+K227+K228</f>
        <v>12.8</v>
      </c>
      <c r="L230" s="1953"/>
      <c r="M230" s="1954"/>
      <c r="N230" s="1022"/>
      <c r="O230" s="1952">
        <f>O225+O227+O228</f>
        <v>11.49</v>
      </c>
      <c r="P230" s="1953"/>
      <c r="Q230" s="1954"/>
      <c r="R230" s="1952">
        <f>R225+R227</f>
        <v>9.23</v>
      </c>
      <c r="S230" s="1953"/>
      <c r="T230" s="1953"/>
      <c r="U230" s="1954"/>
      <c r="V230" s="1952">
        <f>V225+V227</f>
        <v>9.23</v>
      </c>
      <c r="W230" s="1953"/>
      <c r="X230" s="1954"/>
      <c r="Y230" s="982"/>
      <c r="Z230" s="982"/>
      <c r="AA230" s="982"/>
      <c r="AB230" s="982"/>
      <c r="AC230" s="982"/>
      <c r="AD230" s="983"/>
      <c r="AE230" s="983"/>
      <c r="AF230" s="983"/>
      <c r="AG230" s="983"/>
      <c r="AH230" s="983"/>
      <c r="AI230" s="983"/>
      <c r="AJ230" s="983"/>
      <c r="AK230" s="983"/>
      <c r="AL230" s="983"/>
      <c r="AM230" s="983"/>
      <c r="AN230" s="983"/>
      <c r="AO230" s="983"/>
      <c r="AP230" s="983"/>
      <c r="AQ230" s="983"/>
      <c r="AR230" s="983"/>
      <c r="AS230" s="982"/>
      <c r="AT230" s="982"/>
      <c r="AU230" s="982"/>
      <c r="AV230" s="982"/>
      <c r="AW230" s="983"/>
      <c r="AX230" s="983"/>
      <c r="AY230" s="983"/>
      <c r="AZ230" s="983"/>
      <c r="BA230" s="983"/>
      <c r="BB230" s="983"/>
      <c r="BC230" s="983"/>
      <c r="BD230" s="983"/>
      <c r="BE230" s="983"/>
      <c r="BF230" s="983"/>
      <c r="BG230" s="983"/>
      <c r="BH230" s="983"/>
      <c r="BI230" s="983"/>
      <c r="BJ230" s="983"/>
      <c r="BK230" s="1277"/>
      <c r="BL230" s="1277"/>
      <c r="BM230" s="1277"/>
      <c r="BN230" s="1277"/>
      <c r="BO230" s="1277"/>
      <c r="BP230" s="1277"/>
      <c r="BQ230" s="1277"/>
      <c r="BR230" s="1277"/>
      <c r="BS230" s="1277"/>
      <c r="BT230" s="1277"/>
      <c r="BU230" s="1277"/>
      <c r="BV230" s="1277"/>
      <c r="BW230" s="1277"/>
      <c r="BX230" s="1277"/>
      <c r="BY230" s="1277"/>
      <c r="BZ230" s="1277"/>
      <c r="CA230" s="1277"/>
      <c r="CB230" s="1277"/>
    </row>
    <row r="231" spans="1:80">
      <c r="A231" s="214"/>
      <c r="B231" s="214"/>
      <c r="C231" s="971"/>
      <c r="D231" s="971"/>
      <c r="E231" s="971"/>
      <c r="F231" s="971"/>
      <c r="G231" s="971"/>
      <c r="H231" s="971"/>
      <c r="I231" s="971"/>
      <c r="J231" s="971"/>
      <c r="K231" s="971"/>
      <c r="L231" s="971"/>
      <c r="M231" s="971"/>
      <c r="N231" s="971"/>
      <c r="O231" s="971"/>
      <c r="P231" s="971"/>
      <c r="Q231" s="971"/>
      <c r="R231" s="971"/>
      <c r="S231" s="971"/>
      <c r="T231" s="971"/>
      <c r="U231" s="971"/>
      <c r="V231" s="971"/>
      <c r="W231" s="971"/>
      <c r="X231" s="971"/>
      <c r="Y231" s="971"/>
      <c r="Z231" s="972"/>
      <c r="AA231" s="971"/>
      <c r="AB231" s="971"/>
      <c r="AC231" s="971"/>
      <c r="AD231" s="206"/>
      <c r="AE231" s="206"/>
      <c r="AF231" s="206"/>
      <c r="AG231" s="206"/>
      <c r="AH231" s="206"/>
      <c r="AI231" s="206"/>
      <c r="AJ231" s="206"/>
      <c r="AK231" s="206"/>
      <c r="AL231" s="206"/>
      <c r="AM231" s="206"/>
      <c r="AN231" s="206"/>
      <c r="AO231" s="206"/>
      <c r="AP231" s="206"/>
      <c r="AQ231" s="206"/>
      <c r="AR231" s="206"/>
      <c r="AS231" s="971"/>
      <c r="AT231" s="971"/>
      <c r="AU231" s="971"/>
      <c r="AV231" s="971"/>
      <c r="AW231" s="206"/>
      <c r="AX231" s="206"/>
      <c r="AY231" s="206"/>
      <c r="AZ231" s="206"/>
      <c r="BA231" s="206"/>
      <c r="BB231" s="206"/>
      <c r="BC231" s="206"/>
      <c r="BD231" s="206"/>
      <c r="BE231" s="206"/>
      <c r="BF231" s="206"/>
      <c r="BG231" s="206"/>
      <c r="BH231" s="206"/>
      <c r="BI231" s="206"/>
      <c r="BJ231" s="206"/>
      <c r="BK231" s="865"/>
      <c r="BL231" s="865"/>
      <c r="BM231" s="865"/>
      <c r="BN231" s="865"/>
      <c r="BO231" s="865"/>
      <c r="BP231" s="865"/>
      <c r="BQ231" s="865"/>
      <c r="BR231" s="865"/>
      <c r="BS231" s="865"/>
      <c r="BT231" s="865"/>
      <c r="BU231" s="865"/>
      <c r="BV231" s="865"/>
      <c r="BW231" s="865"/>
      <c r="BX231" s="865"/>
      <c r="BY231" s="865"/>
      <c r="BZ231" s="865"/>
      <c r="CA231" s="865"/>
      <c r="CB231" s="865"/>
    </row>
    <row r="232" spans="1:80">
      <c r="A232" s="214"/>
      <c r="B232" s="214"/>
      <c r="C232" s="978" t="s">
        <v>1050</v>
      </c>
      <c r="D232" s="971"/>
      <c r="E232" s="971"/>
      <c r="F232" s="971"/>
      <c r="G232" s="971"/>
      <c r="H232" s="1958"/>
      <c r="I232" s="1959"/>
      <c r="J232" s="1960"/>
      <c r="K232" s="1958"/>
      <c r="L232" s="1959"/>
      <c r="M232" s="1960"/>
      <c r="N232" s="991"/>
      <c r="O232" s="1955" t="s">
        <v>1052</v>
      </c>
      <c r="P232" s="1956"/>
      <c r="Q232" s="1957"/>
      <c r="R232" s="995"/>
      <c r="S232" s="996"/>
      <c r="T232" s="996"/>
      <c r="U232" s="997"/>
      <c r="V232" s="1955" t="s">
        <v>1052</v>
      </c>
      <c r="W232" s="1956"/>
      <c r="X232" s="1957"/>
      <c r="Y232" s="971"/>
      <c r="Z232" s="972"/>
      <c r="AA232" s="971"/>
      <c r="AB232" s="971"/>
      <c r="AC232" s="971"/>
      <c r="AD232" s="206"/>
      <c r="AE232" s="206"/>
      <c r="AF232" s="206"/>
      <c r="AG232" s="206"/>
      <c r="AH232" s="206"/>
      <c r="AI232" s="206"/>
      <c r="AJ232" s="206"/>
      <c r="AK232" s="206"/>
      <c r="AL232" s="206"/>
      <c r="AM232" s="206"/>
      <c r="AN232" s="206"/>
      <c r="AO232" s="206"/>
      <c r="AP232" s="206"/>
      <c r="AQ232" s="206"/>
      <c r="AR232" s="206"/>
      <c r="AS232" s="971"/>
      <c r="AT232" s="971"/>
      <c r="AU232" s="971"/>
      <c r="AV232" s="971"/>
      <c r="AW232" s="206"/>
      <c r="AX232" s="206"/>
      <c r="AY232" s="206"/>
      <c r="AZ232" s="206"/>
      <c r="BA232" s="206"/>
      <c r="BB232" s="206"/>
      <c r="BC232" s="206"/>
      <c r="BD232" s="206"/>
      <c r="BE232" s="206"/>
      <c r="BF232" s="206"/>
      <c r="BG232" s="206"/>
      <c r="BH232" s="206"/>
      <c r="BI232" s="206"/>
      <c r="BJ232" s="206"/>
      <c r="BK232" s="865"/>
      <c r="BL232" s="865"/>
      <c r="BM232" s="865"/>
      <c r="BN232" s="865"/>
      <c r="BO232" s="865"/>
      <c r="BP232" s="865"/>
      <c r="BQ232" s="865"/>
      <c r="BR232" s="865"/>
      <c r="BS232" s="865"/>
      <c r="BT232" s="865"/>
      <c r="BU232" s="865"/>
      <c r="BV232" s="865"/>
      <c r="BW232" s="865"/>
      <c r="BX232" s="865"/>
      <c r="BY232" s="865"/>
      <c r="BZ232" s="865"/>
      <c r="CA232" s="865"/>
      <c r="CB232" s="865"/>
    </row>
    <row r="233" spans="1:80">
      <c r="A233" s="214"/>
      <c r="B233" s="214"/>
      <c r="C233" s="978" t="s">
        <v>1051</v>
      </c>
      <c r="D233" s="971"/>
      <c r="E233" s="971"/>
      <c r="F233" s="971"/>
      <c r="G233" s="971"/>
      <c r="H233" s="990"/>
      <c r="I233" s="991"/>
      <c r="J233" s="992"/>
      <c r="K233" s="990"/>
      <c r="L233" s="991"/>
      <c r="M233" s="992"/>
      <c r="N233" s="991"/>
      <c r="O233" s="1955" t="s">
        <v>1053</v>
      </c>
      <c r="P233" s="1956"/>
      <c r="Q233" s="1957"/>
      <c r="R233" s="998"/>
      <c r="S233" s="999"/>
      <c r="T233" s="999"/>
      <c r="U233" s="1000"/>
      <c r="V233" s="1955" t="s">
        <v>1053</v>
      </c>
      <c r="W233" s="1956"/>
      <c r="X233" s="1957"/>
      <c r="Y233" s="971"/>
      <c r="Z233" s="972"/>
      <c r="AA233" s="971"/>
      <c r="AB233" s="971"/>
      <c r="AC233" s="971"/>
      <c r="AD233" s="206"/>
      <c r="AE233" s="206"/>
      <c r="AF233" s="206"/>
      <c r="AG233" s="206"/>
      <c r="AH233" s="206"/>
      <c r="AI233" s="206"/>
      <c r="AJ233" s="206"/>
      <c r="AK233" s="206"/>
      <c r="AL233" s="206"/>
      <c r="AM233" s="206"/>
      <c r="AN233" s="206"/>
      <c r="AO233" s="206"/>
      <c r="AP233" s="206"/>
      <c r="AQ233" s="206"/>
      <c r="AR233" s="206"/>
      <c r="AS233" s="971"/>
      <c r="AT233" s="971"/>
      <c r="AU233" s="971"/>
      <c r="AV233" s="971"/>
      <c r="AW233" s="206"/>
      <c r="AX233" s="206"/>
      <c r="AY233" s="206"/>
      <c r="AZ233" s="206"/>
      <c r="BA233" s="206"/>
      <c r="BB233" s="206"/>
      <c r="BC233" s="206"/>
      <c r="BD233" s="206"/>
      <c r="BE233" s="206"/>
      <c r="BF233" s="206"/>
      <c r="BG233" s="206"/>
      <c r="BH233" s="206"/>
      <c r="BI233" s="206"/>
      <c r="BJ233" s="206"/>
      <c r="BK233" s="865"/>
      <c r="BL233" s="865"/>
      <c r="BM233" s="865"/>
      <c r="BN233" s="865"/>
      <c r="BO233" s="865"/>
      <c r="BP233" s="865"/>
      <c r="BQ233" s="865"/>
      <c r="BR233" s="865"/>
      <c r="BS233" s="865"/>
      <c r="BT233" s="865"/>
      <c r="BU233" s="865"/>
      <c r="BV233" s="865"/>
      <c r="BW233" s="865"/>
      <c r="BX233" s="865"/>
      <c r="BY233" s="865"/>
      <c r="BZ233" s="865"/>
      <c r="CA233" s="865"/>
      <c r="CB233" s="865"/>
    </row>
    <row r="234" spans="1:80">
      <c r="A234" s="214"/>
      <c r="B234" s="214"/>
      <c r="C234" s="979" t="s">
        <v>1044</v>
      </c>
      <c r="D234" s="980"/>
      <c r="E234" s="980"/>
      <c r="F234" s="980"/>
      <c r="G234" s="980"/>
      <c r="H234" s="1961">
        <v>0.4</v>
      </c>
      <c r="I234" s="1962"/>
      <c r="J234" s="1963"/>
      <c r="K234" s="1961">
        <v>0.4</v>
      </c>
      <c r="L234" s="1962"/>
      <c r="M234" s="1963"/>
      <c r="N234" s="1025"/>
      <c r="O234" s="1961">
        <v>0.4</v>
      </c>
      <c r="P234" s="1962"/>
      <c r="Q234" s="1963"/>
      <c r="R234" s="1961" t="s">
        <v>1042</v>
      </c>
      <c r="S234" s="1967"/>
      <c r="T234" s="1967"/>
      <c r="U234" s="1968"/>
      <c r="V234" s="1961">
        <v>0.4</v>
      </c>
      <c r="W234" s="1962"/>
      <c r="X234" s="1963"/>
      <c r="Y234" s="971"/>
      <c r="Z234" s="972"/>
      <c r="AA234" s="971"/>
      <c r="AB234" s="971"/>
      <c r="AC234" s="971"/>
      <c r="AD234" s="206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971"/>
      <c r="AT234" s="971"/>
      <c r="AU234" s="971"/>
      <c r="AV234" s="971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865"/>
      <c r="BL234" s="865"/>
      <c r="BM234" s="865"/>
      <c r="BN234" s="865"/>
      <c r="BO234" s="865"/>
      <c r="BP234" s="865"/>
      <c r="BQ234" s="865"/>
      <c r="BR234" s="865"/>
      <c r="BS234" s="865"/>
      <c r="BT234" s="865"/>
      <c r="BU234" s="865"/>
      <c r="BV234" s="865"/>
      <c r="BW234" s="865"/>
      <c r="BX234" s="865"/>
      <c r="BY234" s="865"/>
      <c r="BZ234" s="865"/>
      <c r="CA234" s="865"/>
      <c r="CB234" s="865"/>
    </row>
    <row r="235" spans="1:80">
      <c r="A235" s="214"/>
      <c r="B235" s="214"/>
      <c r="C235" s="971"/>
      <c r="D235" s="971"/>
      <c r="E235" s="971"/>
      <c r="F235" s="971"/>
      <c r="G235" s="971"/>
      <c r="H235" s="971"/>
      <c r="I235" s="971"/>
      <c r="J235" s="971"/>
      <c r="K235" s="971"/>
      <c r="L235" s="971"/>
      <c r="M235" s="971"/>
      <c r="N235" s="971"/>
      <c r="O235" s="971"/>
      <c r="P235" s="971"/>
      <c r="Q235" s="971"/>
      <c r="R235" s="971"/>
      <c r="S235" s="971"/>
      <c r="T235" s="971"/>
      <c r="U235" s="971"/>
      <c r="V235" s="971"/>
      <c r="W235" s="971"/>
      <c r="X235" s="971"/>
      <c r="Y235" s="971"/>
      <c r="Z235" s="972"/>
      <c r="AA235" s="971"/>
      <c r="AB235" s="971"/>
      <c r="AC235" s="971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971"/>
      <c r="AT235" s="971"/>
      <c r="AU235" s="971"/>
      <c r="AV235" s="971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865"/>
      <c r="BL235" s="865"/>
      <c r="BM235" s="865"/>
      <c r="BN235" s="865"/>
      <c r="BO235" s="865"/>
      <c r="BP235" s="865"/>
      <c r="BQ235" s="865"/>
      <c r="BR235" s="865"/>
      <c r="BS235" s="865"/>
      <c r="BT235" s="865"/>
      <c r="BU235" s="865"/>
      <c r="BV235" s="865"/>
      <c r="BW235" s="865"/>
      <c r="BX235" s="865"/>
      <c r="BY235" s="865"/>
      <c r="BZ235" s="865"/>
      <c r="CA235" s="865"/>
      <c r="CB235" s="865"/>
    </row>
    <row r="236" spans="1:80">
      <c r="A236" s="214"/>
      <c r="B236" s="214"/>
      <c r="C236" s="993" t="s">
        <v>1045</v>
      </c>
      <c r="D236" s="994"/>
      <c r="E236" s="994"/>
      <c r="F236" s="994"/>
      <c r="G236" s="994"/>
      <c r="H236" s="1952">
        <f>H230-H234</f>
        <v>12.75</v>
      </c>
      <c r="I236" s="1953"/>
      <c r="J236" s="1954"/>
      <c r="K236" s="1952">
        <f>K230-K234</f>
        <v>12.4</v>
      </c>
      <c r="L236" s="1953"/>
      <c r="M236" s="1954"/>
      <c r="N236" s="1022"/>
      <c r="O236" s="1952">
        <f>O230-O234</f>
        <v>11.09</v>
      </c>
      <c r="P236" s="1953"/>
      <c r="Q236" s="1954"/>
      <c r="R236" s="1964" t="s">
        <v>1042</v>
      </c>
      <c r="S236" s="1965"/>
      <c r="T236" s="1965"/>
      <c r="U236" s="1966"/>
      <c r="V236" s="1952">
        <f>V230-V234</f>
        <v>8.83</v>
      </c>
      <c r="W236" s="1953"/>
      <c r="X236" s="1954"/>
      <c r="Y236" s="971"/>
      <c r="Z236" s="972"/>
      <c r="AA236" s="971"/>
      <c r="AB236" s="971"/>
      <c r="AC236" s="971"/>
      <c r="AD236" s="206"/>
      <c r="AE236" s="206"/>
      <c r="AF236" s="206"/>
      <c r="AG236" s="206"/>
      <c r="AH236" s="206"/>
      <c r="AI236" s="206"/>
      <c r="AJ236" s="206"/>
      <c r="AK236" s="206"/>
      <c r="AL236" s="206"/>
      <c r="AM236" s="206"/>
      <c r="AN236" s="206"/>
      <c r="AO236" s="206"/>
      <c r="AP236" s="206"/>
      <c r="AQ236" s="206"/>
      <c r="AR236" s="206"/>
      <c r="AS236" s="971"/>
      <c r="AT236" s="971"/>
      <c r="AU236" s="971"/>
      <c r="AV236" s="971"/>
      <c r="AW236" s="206"/>
      <c r="AX236" s="206"/>
      <c r="AY236" s="206"/>
      <c r="AZ236" s="206"/>
      <c r="BA236" s="206"/>
      <c r="BB236" s="206"/>
      <c r="BC236" s="206"/>
      <c r="BD236" s="206"/>
      <c r="BE236" s="206"/>
      <c r="BF236" s="206"/>
      <c r="BG236" s="206"/>
      <c r="BH236" s="206"/>
      <c r="BI236" s="206"/>
      <c r="BJ236" s="206"/>
      <c r="BK236" s="865"/>
      <c r="BL236" s="865"/>
      <c r="BM236" s="865"/>
      <c r="BN236" s="865"/>
      <c r="BO236" s="865"/>
      <c r="BP236" s="865"/>
      <c r="BQ236" s="865"/>
      <c r="BR236" s="865"/>
      <c r="BS236" s="865"/>
      <c r="BT236" s="865"/>
      <c r="BU236" s="865"/>
      <c r="BV236" s="865"/>
      <c r="BW236" s="865"/>
      <c r="BX236" s="865"/>
      <c r="BY236" s="865"/>
      <c r="BZ236" s="865"/>
      <c r="CA236" s="865"/>
      <c r="CB236" s="865"/>
    </row>
    <row r="237" spans="1:80">
      <c r="A237" s="214"/>
      <c r="B237" s="214"/>
      <c r="C237" s="971"/>
      <c r="D237" s="971"/>
      <c r="E237" s="971"/>
      <c r="F237" s="971"/>
      <c r="G237" s="971"/>
      <c r="H237" s="971"/>
      <c r="I237" s="971"/>
      <c r="J237" s="971"/>
      <c r="K237" s="971"/>
      <c r="L237" s="971"/>
      <c r="M237" s="971"/>
      <c r="N237" s="971"/>
      <c r="O237" s="971"/>
      <c r="P237" s="971"/>
      <c r="Q237" s="971"/>
      <c r="R237" s="971"/>
      <c r="S237" s="971"/>
      <c r="T237" s="971"/>
      <c r="U237" s="971"/>
      <c r="V237" s="971"/>
      <c r="W237" s="971"/>
      <c r="X237" s="971"/>
      <c r="Y237" s="971"/>
      <c r="Z237" s="972"/>
      <c r="AA237" s="971"/>
      <c r="AB237" s="971"/>
      <c r="AC237" s="971"/>
      <c r="AD237" s="206"/>
      <c r="AE237" s="206"/>
      <c r="AF237" s="206"/>
      <c r="AG237" s="206"/>
      <c r="AH237" s="206"/>
      <c r="AI237" s="206"/>
      <c r="AJ237" s="206"/>
      <c r="AK237" s="206"/>
      <c r="AL237" s="206"/>
      <c r="AM237" s="206"/>
      <c r="AN237" s="206"/>
      <c r="AO237" s="206"/>
      <c r="AP237" s="206"/>
      <c r="AQ237" s="206"/>
      <c r="AR237" s="206"/>
      <c r="AS237" s="971"/>
      <c r="AT237" s="971"/>
      <c r="AU237" s="971"/>
      <c r="AV237" s="971"/>
      <c r="AW237" s="206"/>
      <c r="AX237" s="206"/>
      <c r="AY237" s="206"/>
      <c r="AZ237" s="206"/>
      <c r="BA237" s="206"/>
      <c r="BB237" s="206"/>
      <c r="BC237" s="206"/>
      <c r="BD237" s="206"/>
      <c r="BE237" s="206"/>
      <c r="BF237" s="206"/>
      <c r="BG237" s="206"/>
      <c r="BH237" s="206"/>
      <c r="BI237" s="206"/>
      <c r="BJ237" s="206"/>
      <c r="BK237" s="865"/>
      <c r="BL237" s="865"/>
      <c r="BM237" s="865"/>
      <c r="BN237" s="865"/>
      <c r="BO237" s="865"/>
      <c r="BP237" s="865"/>
      <c r="BQ237" s="865"/>
      <c r="BR237" s="865"/>
      <c r="BS237" s="865"/>
      <c r="BT237" s="865"/>
      <c r="BU237" s="865"/>
      <c r="BV237" s="865"/>
      <c r="BW237" s="865"/>
      <c r="BX237" s="865"/>
      <c r="BY237" s="865"/>
      <c r="BZ237" s="865"/>
      <c r="CA237" s="865"/>
      <c r="CB237" s="865"/>
    </row>
    <row r="238" spans="1:80">
      <c r="A238" s="214"/>
      <c r="B238" s="214"/>
      <c r="C238" s="971"/>
      <c r="D238" s="971"/>
      <c r="E238" s="971"/>
      <c r="F238" s="971"/>
      <c r="G238" s="971"/>
      <c r="H238" s="971"/>
      <c r="I238" s="971"/>
      <c r="J238" s="971"/>
      <c r="K238" s="971"/>
      <c r="L238" s="971"/>
      <c r="M238" s="971"/>
      <c r="N238" s="971"/>
      <c r="O238" s="971"/>
      <c r="P238" s="971"/>
      <c r="Q238" s="971"/>
      <c r="R238" s="971"/>
      <c r="S238" s="971"/>
      <c r="T238" s="971"/>
      <c r="U238" s="971"/>
      <c r="V238" s="971"/>
      <c r="W238" s="971"/>
      <c r="X238" s="971"/>
      <c r="Y238" s="971"/>
      <c r="Z238" s="972"/>
      <c r="AA238" s="971"/>
      <c r="AB238" s="971"/>
      <c r="AC238" s="971"/>
      <c r="AD238" s="206"/>
      <c r="AE238" s="206"/>
      <c r="AF238" s="206"/>
      <c r="AG238" s="206"/>
      <c r="AH238" s="206"/>
      <c r="AI238" s="206"/>
      <c r="AJ238" s="206"/>
      <c r="AK238" s="206"/>
      <c r="AL238" s="206"/>
      <c r="AM238" s="206"/>
      <c r="AN238" s="206"/>
      <c r="AO238" s="206"/>
      <c r="AP238" s="206"/>
      <c r="AQ238" s="206"/>
      <c r="AR238" s="206"/>
      <c r="AS238" s="971"/>
      <c r="AT238" s="971"/>
      <c r="AU238" s="971"/>
      <c r="AV238" s="971"/>
      <c r="AW238" s="206"/>
      <c r="AX238" s="206"/>
      <c r="AY238" s="206"/>
      <c r="AZ238" s="206"/>
      <c r="BA238" s="206"/>
      <c r="BB238" s="206"/>
      <c r="BC238" s="206"/>
      <c r="BD238" s="206"/>
      <c r="BE238" s="206"/>
      <c r="BF238" s="206"/>
      <c r="BG238" s="206"/>
      <c r="BH238" s="206"/>
      <c r="BI238" s="206"/>
      <c r="BJ238" s="206"/>
      <c r="BK238" s="865"/>
      <c r="BL238" s="865"/>
      <c r="BM238" s="865"/>
      <c r="BN238" s="865"/>
      <c r="BO238" s="865"/>
      <c r="BP238" s="865"/>
      <c r="BQ238" s="865"/>
      <c r="BR238" s="865"/>
      <c r="BS238" s="865"/>
      <c r="BT238" s="865"/>
      <c r="BU238" s="865"/>
      <c r="BV238" s="865"/>
      <c r="BW238" s="865"/>
      <c r="BX238" s="865"/>
      <c r="BY238" s="865"/>
      <c r="BZ238" s="865"/>
      <c r="CA238" s="865"/>
      <c r="CB238" s="865"/>
    </row>
    <row r="239" spans="1:80">
      <c r="A239" s="214"/>
      <c r="B239" s="214"/>
      <c r="C239" s="971"/>
      <c r="D239" s="971"/>
      <c r="E239" s="971"/>
      <c r="F239" s="971"/>
      <c r="G239" s="971"/>
      <c r="H239" s="971"/>
      <c r="I239" s="971"/>
      <c r="J239" s="971"/>
      <c r="K239" s="971"/>
      <c r="L239" s="971"/>
      <c r="M239" s="971"/>
      <c r="N239" s="971"/>
      <c r="O239" s="971"/>
      <c r="P239" s="971"/>
      <c r="Q239" s="971"/>
      <c r="R239" s="971"/>
      <c r="S239" s="971"/>
      <c r="T239" s="971"/>
      <c r="U239" s="971"/>
      <c r="V239" s="971"/>
      <c r="W239" s="971"/>
      <c r="X239" s="971"/>
      <c r="Y239" s="971"/>
      <c r="Z239" s="972"/>
      <c r="AA239" s="971"/>
      <c r="AB239" s="971"/>
      <c r="AC239" s="971"/>
      <c r="AD239" s="206"/>
      <c r="AE239" s="206"/>
      <c r="AF239" s="206"/>
      <c r="AG239" s="206"/>
      <c r="AH239" s="206"/>
      <c r="AI239" s="206"/>
      <c r="AJ239" s="206"/>
      <c r="AK239" s="206"/>
      <c r="AL239" s="206"/>
      <c r="AM239" s="206"/>
      <c r="AN239" s="206"/>
      <c r="AO239" s="206"/>
      <c r="AP239" s="206"/>
      <c r="AQ239" s="206"/>
      <c r="AR239" s="206"/>
      <c r="AS239" s="971"/>
      <c r="AT239" s="971"/>
      <c r="AU239" s="971"/>
      <c r="AV239" s="971"/>
      <c r="AW239" s="206"/>
      <c r="AX239" s="206"/>
      <c r="AY239" s="206"/>
      <c r="AZ239" s="206"/>
      <c r="BA239" s="206"/>
      <c r="BB239" s="206"/>
      <c r="BC239" s="206"/>
      <c r="BD239" s="206"/>
      <c r="BE239" s="206"/>
      <c r="BF239" s="206"/>
      <c r="BG239" s="206"/>
      <c r="BH239" s="206"/>
      <c r="BI239" s="206"/>
      <c r="BJ239" s="206"/>
      <c r="BK239" s="865"/>
      <c r="BL239" s="865"/>
      <c r="BM239" s="865"/>
      <c r="BN239" s="865"/>
      <c r="BO239" s="865"/>
      <c r="BP239" s="865"/>
      <c r="BQ239" s="865"/>
      <c r="BR239" s="865"/>
      <c r="BS239" s="865"/>
      <c r="BT239" s="865"/>
      <c r="BU239" s="865"/>
      <c r="BV239" s="865"/>
      <c r="BW239" s="865"/>
      <c r="BX239" s="865"/>
      <c r="BY239" s="865"/>
      <c r="BZ239" s="865"/>
      <c r="CA239" s="865"/>
      <c r="CB239" s="865"/>
    </row>
    <row r="240" spans="1:80">
      <c r="A240" s="214"/>
      <c r="B240" s="214"/>
      <c r="C240" s="971"/>
      <c r="D240" s="971"/>
      <c r="E240" s="971"/>
      <c r="F240" s="971"/>
      <c r="G240" s="971"/>
      <c r="H240" s="971"/>
      <c r="I240" s="971"/>
      <c r="J240" s="971"/>
      <c r="K240" s="971"/>
      <c r="L240" s="971"/>
      <c r="M240" s="971"/>
      <c r="N240" s="971"/>
      <c r="O240" s="971"/>
      <c r="P240" s="971"/>
      <c r="Q240" s="971"/>
      <c r="R240" s="971"/>
      <c r="S240" s="971"/>
      <c r="T240" s="971"/>
      <c r="U240" s="971"/>
      <c r="V240" s="971"/>
      <c r="W240" s="971"/>
      <c r="X240" s="971"/>
      <c r="Y240" s="971"/>
      <c r="Z240" s="972"/>
      <c r="AA240" s="971"/>
      <c r="AB240" s="971"/>
      <c r="AC240" s="971"/>
      <c r="AD240" s="206"/>
      <c r="AE240" s="206"/>
      <c r="AF240" s="206"/>
      <c r="AG240" s="206"/>
      <c r="AH240" s="206"/>
      <c r="AI240" s="206"/>
      <c r="AJ240" s="206"/>
      <c r="AK240" s="206"/>
      <c r="AL240" s="206"/>
      <c r="AM240" s="206"/>
      <c r="AN240" s="206"/>
      <c r="AO240" s="206"/>
      <c r="AP240" s="206"/>
      <c r="AQ240" s="206"/>
      <c r="AR240" s="206"/>
      <c r="AS240" s="971"/>
      <c r="AT240" s="971"/>
      <c r="AU240" s="971"/>
      <c r="AV240" s="971"/>
      <c r="AW240" s="206"/>
      <c r="AX240" s="206"/>
      <c r="AY240" s="206"/>
      <c r="AZ240" s="206"/>
      <c r="BA240" s="206"/>
      <c r="BB240" s="206"/>
      <c r="BC240" s="206"/>
      <c r="BD240" s="206"/>
      <c r="BE240" s="206"/>
      <c r="BF240" s="206"/>
      <c r="BG240" s="206"/>
      <c r="BH240" s="206"/>
      <c r="BI240" s="206"/>
      <c r="BJ240" s="206"/>
      <c r="BK240" s="865"/>
      <c r="BL240" s="865"/>
      <c r="BM240" s="865"/>
      <c r="BN240" s="865"/>
      <c r="BO240" s="865"/>
      <c r="BP240" s="865"/>
      <c r="BQ240" s="865"/>
      <c r="BR240" s="865"/>
      <c r="BS240" s="865"/>
      <c r="BT240" s="865"/>
      <c r="BU240" s="865"/>
      <c r="BV240" s="865"/>
      <c r="BW240" s="865"/>
      <c r="BX240" s="865"/>
      <c r="BY240" s="865"/>
      <c r="BZ240" s="865"/>
      <c r="CA240" s="865"/>
      <c r="CB240" s="865"/>
    </row>
  </sheetData>
  <sheetProtection algorithmName="SHA-512" hashValue="VArsOMy8Zjl/3o1BhMTDpe1/XLB2Jt4aD0M2zq3xkZtI1+T+ba7ZYSp2s3ObPjgp8vpMeg5LR7nWWW4KWnGrrA==" saltValue="7QI53Dl6wcwnPnhluTCgCw==" spinCount="100000" sheet="1" objects="1" scenarios="1"/>
  <mergeCells count="133">
    <mergeCell ref="BF158:BM158"/>
    <mergeCell ref="BF159:BM159"/>
    <mergeCell ref="BF165:BM165"/>
    <mergeCell ref="BF166:BM166"/>
    <mergeCell ref="D159:F159"/>
    <mergeCell ref="G159:I159"/>
    <mergeCell ref="J159:L159"/>
    <mergeCell ref="M159:O159"/>
    <mergeCell ref="D166:F166"/>
    <mergeCell ref="G166:I166"/>
    <mergeCell ref="J166:L166"/>
    <mergeCell ref="M166:O166"/>
    <mergeCell ref="S159:U159"/>
    <mergeCell ref="AX158:BE158"/>
    <mergeCell ref="AX159:BE159"/>
    <mergeCell ref="AX165:BE165"/>
    <mergeCell ref="AX166:BE166"/>
    <mergeCell ref="S166:U166"/>
    <mergeCell ref="D138:F138"/>
    <mergeCell ref="G138:I138"/>
    <mergeCell ref="J138:L138"/>
    <mergeCell ref="M138:O138"/>
    <mergeCell ref="S138:U138"/>
    <mergeCell ref="S15:U15"/>
    <mergeCell ref="S13:U13"/>
    <mergeCell ref="V2:Z2"/>
    <mergeCell ref="AU8:AV8"/>
    <mergeCell ref="D31:F31"/>
    <mergeCell ref="G31:I31"/>
    <mergeCell ref="J31:L31"/>
    <mergeCell ref="M31:O31"/>
    <mergeCell ref="D9:F9"/>
    <mergeCell ref="G9:I9"/>
    <mergeCell ref="J9:L9"/>
    <mergeCell ref="D7:O7"/>
    <mergeCell ref="AI17:AJ17"/>
    <mergeCell ref="AE17:AF17"/>
    <mergeCell ref="AG8:AH8"/>
    <mergeCell ref="AG9:AH9"/>
    <mergeCell ref="D13:F13"/>
    <mergeCell ref="G13:I13"/>
    <mergeCell ref="J13:L13"/>
    <mergeCell ref="AI8:AJ8"/>
    <mergeCell ref="AS8:AT8"/>
    <mergeCell ref="S31:U31"/>
    <mergeCell ref="S9:U9"/>
    <mergeCell ref="M8:O8"/>
    <mergeCell ref="S7:U7"/>
    <mergeCell ref="S8:U8"/>
    <mergeCell ref="M9:O9"/>
    <mergeCell ref="W8:X8"/>
    <mergeCell ref="M11:O11"/>
    <mergeCell ref="S11:U11"/>
    <mergeCell ref="M13:O13"/>
    <mergeCell ref="AE8:AF8"/>
    <mergeCell ref="AG17:AH17"/>
    <mergeCell ref="AE9:AF9"/>
    <mergeCell ref="AI9:AJ9"/>
    <mergeCell ref="AA7:AJ7"/>
    <mergeCell ref="W7:X7"/>
    <mergeCell ref="S10:U10"/>
    <mergeCell ref="V222:X222"/>
    <mergeCell ref="V223:X223"/>
    <mergeCell ref="H224:J224"/>
    <mergeCell ref="K224:M224"/>
    <mergeCell ref="O224:Q224"/>
    <mergeCell ref="R224:U224"/>
    <mergeCell ref="V224:X224"/>
    <mergeCell ref="H222:J222"/>
    <mergeCell ref="H223:J223"/>
    <mergeCell ref="R223:U223"/>
    <mergeCell ref="K222:M222"/>
    <mergeCell ref="K223:M223"/>
    <mergeCell ref="O222:Q222"/>
    <mergeCell ref="O223:Q223"/>
    <mergeCell ref="R222:U222"/>
    <mergeCell ref="H228:J228"/>
    <mergeCell ref="K228:M228"/>
    <mergeCell ref="O228:Q228"/>
    <mergeCell ref="R228:U228"/>
    <mergeCell ref="V228:X228"/>
    <mergeCell ref="H230:J230"/>
    <mergeCell ref="K230:M230"/>
    <mergeCell ref="O230:Q230"/>
    <mergeCell ref="R230:U230"/>
    <mergeCell ref="V230:X230"/>
    <mergeCell ref="H225:J225"/>
    <mergeCell ref="K225:M225"/>
    <mergeCell ref="O225:Q225"/>
    <mergeCell ref="R225:U225"/>
    <mergeCell ref="V225:X225"/>
    <mergeCell ref="H227:J227"/>
    <mergeCell ref="K227:M227"/>
    <mergeCell ref="O227:Q227"/>
    <mergeCell ref="R227:U227"/>
    <mergeCell ref="V227:X227"/>
    <mergeCell ref="V236:X236"/>
    <mergeCell ref="O233:Q233"/>
    <mergeCell ref="V233:X233"/>
    <mergeCell ref="H232:J232"/>
    <mergeCell ref="K232:M232"/>
    <mergeCell ref="O232:Q232"/>
    <mergeCell ref="V232:X232"/>
    <mergeCell ref="H234:J234"/>
    <mergeCell ref="K234:M234"/>
    <mergeCell ref="O234:Q234"/>
    <mergeCell ref="V234:X234"/>
    <mergeCell ref="H236:J236"/>
    <mergeCell ref="K236:M236"/>
    <mergeCell ref="O236:Q236"/>
    <mergeCell ref="R236:U236"/>
    <mergeCell ref="R234:U234"/>
    <mergeCell ref="M89:O89"/>
    <mergeCell ref="S89:U89"/>
    <mergeCell ref="D8:F8"/>
    <mergeCell ref="A7:A15"/>
    <mergeCell ref="B7:B15"/>
    <mergeCell ref="D89:F89"/>
    <mergeCell ref="G89:I89"/>
    <mergeCell ref="J89:L89"/>
    <mergeCell ref="D15:F15"/>
    <mergeCell ref="G15:I15"/>
    <mergeCell ref="J15:L15"/>
    <mergeCell ref="M15:O15"/>
    <mergeCell ref="D11:F11"/>
    <mergeCell ref="G11:I11"/>
    <mergeCell ref="J10:L10"/>
    <mergeCell ref="M10:O10"/>
    <mergeCell ref="D10:F10"/>
    <mergeCell ref="G10:I10"/>
    <mergeCell ref="G8:I8"/>
    <mergeCell ref="J8:L8"/>
    <mergeCell ref="J11:L11"/>
  </mergeCells>
  <phoneticPr fontId="42" type="noConversion"/>
  <dataValidations disablePrompts="1" count="1">
    <dataValidation type="custom" allowBlank="1" showInputMessage="1" showErrorMessage="1" error="Max. 0,10 €/kWh möglich. Die Erfahrungen zeigen, dass dieAusschreibungsergebnisse deutlich darunter liegen." sqref="T73:T93">
      <formula1>T73&lt;=0.1</formula1>
    </dataValidation>
  </dataValidations>
  <hyperlinks>
    <hyperlink ref="V2:Z2" location="Programmbeschreibung!A292:A398" display="&gt;&gt;&gt;&gt;&gt;&gt;  Zurück  &lt;&lt;&lt;&lt;&lt;&lt;&lt;&lt;"/>
  </hyperlinks>
  <pageMargins left="0.78740157480314965" right="0.78740157480314965" top="0.39370078740157483" bottom="0.39370078740157483" header="0.51181102362204722" footer="0.51181102362204722"/>
  <pageSetup paperSize="8" scale="71" orientation="landscape" r:id="rId1"/>
  <headerFooter alignWithMargins="0">
    <oddFooter>&amp;L&amp;8LEL Schwäbisch Gmünd; Abt. IV; LLM (WS)&amp;C&amp;8&amp;F&amp;R&amp;8Stand: August 2014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A1:AQ278"/>
  <sheetViews>
    <sheetView zoomScaleNormal="100" workbookViewId="0"/>
  </sheetViews>
  <sheetFormatPr baseColWidth="10" defaultColWidth="3.7109375" defaultRowHeight="12.75"/>
  <cols>
    <col min="1" max="2" width="1.85546875" style="20" customWidth="1"/>
    <col min="3" max="22" width="3.7109375" style="20" customWidth="1"/>
    <col min="23" max="23" width="7.5703125" style="20" customWidth="1"/>
    <col min="24" max="24" width="1.5703125" style="20" customWidth="1"/>
    <col min="25" max="29" width="3.7109375" style="20" customWidth="1"/>
    <col min="30" max="30" width="2.7109375" style="20" customWidth="1"/>
    <col min="31" max="31" width="1.85546875" style="20" customWidth="1"/>
    <col min="32" max="34" width="3.42578125" style="20" customWidth="1"/>
    <col min="35" max="36" width="10.7109375" style="135" customWidth="1"/>
    <col min="37" max="37" width="10.7109375" style="20" customWidth="1"/>
    <col min="38" max="138" width="3.42578125" style="20" customWidth="1"/>
    <col min="139" max="16384" width="3.7109375" style="20"/>
  </cols>
  <sheetData>
    <row r="1" spans="1:43" ht="6.4" customHeight="1" thickBot="1">
      <c r="A1" s="138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193"/>
      <c r="AJ1" s="193"/>
      <c r="AK1" s="72"/>
      <c r="AL1" s="72"/>
      <c r="AM1" s="72"/>
      <c r="AN1" s="72"/>
      <c r="AO1" s="72"/>
      <c r="AP1" s="72"/>
      <c r="AQ1" s="72"/>
    </row>
    <row r="2" spans="1:43" ht="3.2" customHeight="1" thickTop="1">
      <c r="A2" s="72"/>
      <c r="B2" s="117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9"/>
      <c r="AE2" s="72"/>
      <c r="AF2" s="72"/>
      <c r="AG2" s="72"/>
      <c r="AH2" s="72"/>
      <c r="AI2" s="193"/>
      <c r="AJ2" s="193"/>
      <c r="AK2" s="72"/>
      <c r="AL2" s="72"/>
      <c r="AM2" s="72"/>
      <c r="AN2" s="72"/>
      <c r="AO2" s="72"/>
      <c r="AP2" s="72"/>
      <c r="AQ2" s="72"/>
    </row>
    <row r="3" spans="1:43" ht="20.25">
      <c r="A3" s="72"/>
      <c r="B3" s="114"/>
      <c r="C3" s="139" t="s">
        <v>111</v>
      </c>
      <c r="D3" s="73"/>
      <c r="E3" s="77"/>
      <c r="F3" s="77"/>
      <c r="G3" s="77"/>
      <c r="H3" s="77"/>
      <c r="I3" s="77"/>
      <c r="J3" s="77"/>
      <c r="K3" s="77"/>
      <c r="L3" s="139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115"/>
      <c r="AE3" s="72"/>
      <c r="AF3" s="72"/>
      <c r="AG3" s="72"/>
      <c r="AH3" s="72"/>
      <c r="AI3" s="193"/>
      <c r="AJ3" s="193"/>
      <c r="AK3" s="72"/>
      <c r="AL3" s="72"/>
      <c r="AM3" s="72"/>
      <c r="AN3" s="72"/>
      <c r="AO3" s="72"/>
      <c r="AP3" s="72"/>
      <c r="AQ3" s="72"/>
    </row>
    <row r="4" spans="1:43" ht="3.2" customHeight="1">
      <c r="A4" s="72"/>
      <c r="B4" s="114"/>
      <c r="C4" s="73"/>
      <c r="D4" s="73"/>
      <c r="E4" s="77"/>
      <c r="F4" s="77"/>
      <c r="G4" s="77"/>
      <c r="H4" s="77"/>
      <c r="I4" s="77"/>
      <c r="J4" s="77"/>
      <c r="K4" s="77"/>
      <c r="L4" s="77"/>
      <c r="M4" s="77"/>
      <c r="N4" s="73"/>
      <c r="O4" s="77"/>
      <c r="P4" s="77"/>
      <c r="Q4" s="77"/>
      <c r="R4" s="77"/>
      <c r="S4" s="77"/>
      <c r="T4" s="77"/>
      <c r="U4" s="78"/>
      <c r="V4" s="79"/>
      <c r="W4" s="79"/>
      <c r="X4" s="79"/>
      <c r="Y4" s="79"/>
      <c r="Z4" s="79"/>
      <c r="AA4" s="79"/>
      <c r="AB4" s="79"/>
      <c r="AC4" s="79"/>
      <c r="AD4" s="115"/>
      <c r="AE4" s="72"/>
      <c r="AF4" s="72"/>
      <c r="AG4" s="72"/>
      <c r="AH4" s="72"/>
      <c r="AI4" s="193"/>
      <c r="AJ4" s="193"/>
      <c r="AK4" s="72"/>
      <c r="AL4" s="72"/>
      <c r="AM4" s="72"/>
      <c r="AN4" s="72"/>
      <c r="AO4" s="72"/>
      <c r="AP4" s="72"/>
      <c r="AQ4" s="72"/>
    </row>
    <row r="5" spans="1:43" ht="3.2" customHeight="1">
      <c r="A5" s="72"/>
      <c r="B5" s="114"/>
      <c r="C5" s="73"/>
      <c r="D5" s="73"/>
      <c r="E5" s="77"/>
      <c r="F5" s="77"/>
      <c r="G5" s="77"/>
      <c r="H5" s="77"/>
      <c r="I5" s="77"/>
      <c r="J5" s="77"/>
      <c r="K5" s="77"/>
      <c r="L5" s="77"/>
      <c r="M5" s="77"/>
      <c r="N5" s="73"/>
      <c r="O5" s="77"/>
      <c r="P5" s="77"/>
      <c r="Q5" s="77"/>
      <c r="R5" s="77"/>
      <c r="S5" s="77"/>
      <c r="T5" s="77"/>
      <c r="U5" s="78"/>
      <c r="V5" s="79"/>
      <c r="W5" s="79"/>
      <c r="X5" s="79"/>
      <c r="Y5" s="79"/>
      <c r="Z5" s="79"/>
      <c r="AA5" s="79"/>
      <c r="AB5" s="79"/>
      <c r="AC5" s="79"/>
      <c r="AD5" s="115"/>
      <c r="AE5" s="72"/>
      <c r="AF5" s="72"/>
      <c r="AG5" s="72"/>
      <c r="AH5" s="72"/>
      <c r="AI5" s="193"/>
      <c r="AJ5" s="193"/>
      <c r="AK5" s="72"/>
      <c r="AL5" s="72"/>
      <c r="AM5" s="72"/>
      <c r="AN5" s="72"/>
      <c r="AO5" s="72"/>
      <c r="AP5" s="72"/>
      <c r="AQ5" s="72"/>
    </row>
    <row r="6" spans="1:43" ht="3.2" customHeight="1">
      <c r="A6" s="72"/>
      <c r="B6" s="114"/>
      <c r="C6" s="80"/>
      <c r="D6" s="80"/>
      <c r="E6" s="81"/>
      <c r="F6" s="81"/>
      <c r="G6" s="81"/>
      <c r="H6" s="81"/>
      <c r="I6" s="81"/>
      <c r="J6" s="81"/>
      <c r="K6" s="81"/>
      <c r="L6" s="81"/>
      <c r="M6" s="81"/>
      <c r="N6" s="80"/>
      <c r="O6" s="81"/>
      <c r="P6" s="81"/>
      <c r="Q6" s="81"/>
      <c r="R6" s="81"/>
      <c r="S6" s="81"/>
      <c r="T6" s="81"/>
      <c r="U6" s="82"/>
      <c r="V6" s="83"/>
      <c r="W6" s="83"/>
      <c r="X6" s="83"/>
      <c r="Y6" s="96"/>
      <c r="Z6" s="83"/>
      <c r="AA6" s="83"/>
      <c r="AB6" s="83"/>
      <c r="AC6" s="97"/>
      <c r="AD6" s="115"/>
      <c r="AE6" s="72"/>
      <c r="AF6" s="72"/>
      <c r="AG6" s="72"/>
      <c r="AH6" s="72"/>
      <c r="AI6" s="193"/>
      <c r="AJ6" s="193"/>
      <c r="AK6" s="72"/>
      <c r="AL6" s="72"/>
      <c r="AM6" s="72"/>
      <c r="AN6" s="72"/>
      <c r="AO6" s="72"/>
      <c r="AP6" s="72"/>
      <c r="AQ6" s="72"/>
    </row>
    <row r="7" spans="1:43" ht="15.75">
      <c r="A7" s="72"/>
      <c r="B7" s="114"/>
      <c r="C7" s="164" t="s">
        <v>397</v>
      </c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2046">
        <f>Kalkulation!T33</f>
        <v>0</v>
      </c>
      <c r="S7" s="2046"/>
      <c r="T7" s="2046"/>
      <c r="U7" s="2046"/>
      <c r="V7" s="2046"/>
      <c r="W7" s="164" t="s">
        <v>380</v>
      </c>
      <c r="X7" s="144"/>
      <c r="Y7" s="166"/>
      <c r="Z7" s="144"/>
      <c r="AA7" s="145" t="s">
        <v>395</v>
      </c>
      <c r="AB7" s="144"/>
      <c r="AC7" s="146"/>
      <c r="AD7" s="115"/>
      <c r="AE7" s="72"/>
      <c r="AF7" s="72"/>
      <c r="AG7" s="72"/>
      <c r="AH7" s="72"/>
      <c r="AI7" s="193"/>
      <c r="AJ7" s="193"/>
      <c r="AK7" s="72"/>
      <c r="AL7" s="72"/>
      <c r="AM7" s="72"/>
      <c r="AN7" s="72"/>
      <c r="AO7" s="72"/>
      <c r="AP7" s="72"/>
      <c r="AQ7" s="72"/>
    </row>
    <row r="8" spans="1:43" ht="3.2" customHeight="1">
      <c r="A8" s="72"/>
      <c r="B8" s="114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8"/>
      <c r="V8" s="149"/>
      <c r="W8" s="149"/>
      <c r="X8" s="149"/>
      <c r="Y8" s="167"/>
      <c r="Z8" s="149"/>
      <c r="AA8" s="149"/>
      <c r="AB8" s="149"/>
      <c r="AC8" s="150"/>
      <c r="AD8" s="115"/>
      <c r="AE8" s="72"/>
      <c r="AF8" s="72"/>
      <c r="AG8" s="72"/>
      <c r="AH8" s="72"/>
      <c r="AI8" s="193"/>
      <c r="AJ8" s="193"/>
      <c r="AK8" s="72"/>
      <c r="AL8" s="72"/>
      <c r="AM8" s="72"/>
      <c r="AN8" s="72"/>
      <c r="AO8" s="72"/>
      <c r="AP8" s="72"/>
      <c r="AQ8" s="72"/>
    </row>
    <row r="9" spans="1:43" ht="3.2" customHeight="1">
      <c r="A9" s="72"/>
      <c r="B9" s="114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2"/>
      <c r="V9" s="153"/>
      <c r="W9" s="153"/>
      <c r="X9" s="153"/>
      <c r="Y9" s="168"/>
      <c r="Z9" s="153"/>
      <c r="AA9" s="153"/>
      <c r="AB9" s="153"/>
      <c r="AC9" s="154"/>
      <c r="AD9" s="115"/>
      <c r="AE9" s="72"/>
      <c r="AF9" s="72"/>
      <c r="AG9" s="72"/>
      <c r="AH9" s="72"/>
      <c r="AI9" s="193"/>
      <c r="AJ9" s="193"/>
      <c r="AK9" s="72"/>
      <c r="AL9" s="72"/>
      <c r="AM9" s="72"/>
      <c r="AN9" s="72"/>
      <c r="AO9" s="72"/>
      <c r="AP9" s="72"/>
      <c r="AQ9" s="72"/>
    </row>
    <row r="10" spans="1:43" ht="15.75">
      <c r="A10" s="72"/>
      <c r="B10" s="114"/>
      <c r="C10" s="164" t="str">
        <f>IF(Y10&lt;0,"Achtung !! Überfinanzierung der Investition","Eigenmittel:")</f>
        <v>Eigenmittel:</v>
      </c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7"/>
      <c r="R10" s="157"/>
      <c r="S10" s="157"/>
      <c r="T10" s="157"/>
      <c r="U10" s="158"/>
      <c r="V10" s="165" t="s">
        <v>117</v>
      </c>
      <c r="W10" s="207" t="str">
        <f>IF(R7=0,"",Y10/R7)</f>
        <v/>
      </c>
      <c r="X10" s="144"/>
      <c r="Y10" s="2047">
        <f>Kalkulation!AA84</f>
        <v>0</v>
      </c>
      <c r="Z10" s="2048"/>
      <c r="AA10" s="2048"/>
      <c r="AB10" s="2048"/>
      <c r="AC10" s="155" t="str">
        <f>IF(Y10&gt;0,"€","")</f>
        <v/>
      </c>
      <c r="AD10" s="115"/>
      <c r="AE10" s="72"/>
      <c r="AF10" s="72"/>
      <c r="AG10" s="72"/>
      <c r="AH10" s="72"/>
      <c r="AI10" s="193"/>
      <c r="AJ10" s="193"/>
      <c r="AK10" s="72"/>
      <c r="AL10" s="72"/>
      <c r="AM10" s="72"/>
      <c r="AN10" s="72"/>
      <c r="AO10" s="72"/>
      <c r="AP10" s="72"/>
      <c r="AQ10" s="72"/>
    </row>
    <row r="11" spans="1:43" ht="3.2" customHeight="1">
      <c r="A11" s="72"/>
      <c r="B11" s="114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7"/>
      <c r="R11" s="157"/>
      <c r="S11" s="157"/>
      <c r="T11" s="157"/>
      <c r="U11" s="158"/>
      <c r="V11" s="159"/>
      <c r="W11" s="208"/>
      <c r="X11" s="144"/>
      <c r="Y11" s="166"/>
      <c r="Z11" s="144"/>
      <c r="AA11" s="144"/>
      <c r="AB11" s="144"/>
      <c r="AC11" s="146"/>
      <c r="AD11" s="115"/>
      <c r="AE11" s="72"/>
      <c r="AF11" s="72"/>
      <c r="AG11" s="72"/>
      <c r="AH11" s="72"/>
      <c r="AI11" s="193"/>
      <c r="AJ11" s="193"/>
      <c r="AK11" s="72"/>
      <c r="AL11" s="72"/>
      <c r="AM11" s="72"/>
      <c r="AN11" s="72"/>
      <c r="AO11" s="72"/>
      <c r="AP11" s="72"/>
      <c r="AQ11" s="72"/>
    </row>
    <row r="12" spans="1:43" ht="15.75">
      <c r="A12" s="72"/>
      <c r="B12" s="114"/>
      <c r="C12" s="164" t="s">
        <v>112</v>
      </c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7"/>
      <c r="R12" s="157"/>
      <c r="S12" s="157"/>
      <c r="T12" s="157"/>
      <c r="U12" s="158"/>
      <c r="V12" s="165" t="s">
        <v>118</v>
      </c>
      <c r="W12" s="207" t="str">
        <f>IF(R7=0,"",Y12/R7)</f>
        <v/>
      </c>
      <c r="X12" s="144"/>
      <c r="Y12" s="2047">
        <f>Kalkulation!AA92+Kalkulation!AA94+Kalkulation!AA96</f>
        <v>0</v>
      </c>
      <c r="Z12" s="2048"/>
      <c r="AA12" s="2048"/>
      <c r="AB12" s="2048"/>
      <c r="AC12" s="155" t="str">
        <f>IF(Y12&gt;0,"€","")</f>
        <v/>
      </c>
      <c r="AD12" s="115"/>
      <c r="AE12" s="72"/>
      <c r="AF12" s="72"/>
      <c r="AG12" s="72"/>
      <c r="AH12" s="72"/>
      <c r="AI12" s="193"/>
      <c r="AJ12" s="193"/>
      <c r="AK12" s="72"/>
      <c r="AL12" s="72"/>
      <c r="AM12" s="72"/>
      <c r="AN12" s="72"/>
      <c r="AO12" s="72"/>
      <c r="AP12" s="72"/>
      <c r="AQ12" s="72"/>
    </row>
    <row r="13" spans="1:43" ht="3.2" customHeight="1">
      <c r="A13" s="72"/>
      <c r="B13" s="114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6"/>
      <c r="V13" s="170"/>
      <c r="W13" s="170"/>
      <c r="X13" s="170"/>
      <c r="Y13" s="169"/>
      <c r="Z13" s="170"/>
      <c r="AA13" s="170"/>
      <c r="AB13" s="170"/>
      <c r="AC13" s="171"/>
      <c r="AD13" s="115"/>
      <c r="AE13" s="72"/>
      <c r="AF13" s="72"/>
      <c r="AG13" s="72"/>
      <c r="AH13" s="72"/>
      <c r="AI13" s="193"/>
      <c r="AJ13" s="193"/>
      <c r="AK13" s="72"/>
      <c r="AL13" s="72"/>
      <c r="AM13" s="72"/>
      <c r="AN13" s="72"/>
      <c r="AO13" s="72"/>
      <c r="AP13" s="72"/>
      <c r="AQ13" s="72"/>
    </row>
    <row r="14" spans="1:43" ht="3.2" customHeight="1">
      <c r="A14" s="72"/>
      <c r="B14" s="114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60"/>
      <c r="V14" s="144"/>
      <c r="W14" s="144"/>
      <c r="X14" s="144"/>
      <c r="Y14" s="144"/>
      <c r="Z14" s="144"/>
      <c r="AA14" s="144"/>
      <c r="AB14" s="144"/>
      <c r="AC14" s="144"/>
      <c r="AD14" s="115"/>
      <c r="AE14" s="72"/>
      <c r="AF14" s="72"/>
      <c r="AG14" s="72"/>
      <c r="AH14" s="72"/>
      <c r="AI14" s="193"/>
      <c r="AJ14" s="193"/>
      <c r="AK14" s="72"/>
      <c r="AL14" s="72"/>
      <c r="AM14" s="72"/>
      <c r="AN14" s="72"/>
      <c r="AO14" s="72"/>
      <c r="AP14" s="72"/>
      <c r="AQ14" s="72"/>
    </row>
    <row r="15" spans="1:43" ht="15.4" customHeight="1">
      <c r="A15" s="72"/>
      <c r="B15" s="114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60"/>
      <c r="V15" s="144"/>
      <c r="W15" s="144"/>
      <c r="X15" s="144"/>
      <c r="Y15" s="144"/>
      <c r="Z15" s="144"/>
      <c r="AA15" s="144"/>
      <c r="AB15" s="144"/>
      <c r="AC15" s="144"/>
      <c r="AD15" s="115"/>
      <c r="AE15" s="72"/>
      <c r="AF15" s="72"/>
      <c r="AG15" s="72"/>
      <c r="AH15" s="72"/>
      <c r="AI15" s="193"/>
      <c r="AJ15" s="193"/>
      <c r="AK15" s="72"/>
      <c r="AL15" s="72"/>
      <c r="AM15" s="72"/>
      <c r="AN15" s="72"/>
      <c r="AO15" s="72"/>
      <c r="AP15" s="72"/>
      <c r="AQ15" s="72"/>
    </row>
    <row r="16" spans="1:43" ht="3.2" customHeight="1">
      <c r="A16" s="72"/>
      <c r="B16" s="114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8"/>
      <c r="V16" s="179"/>
      <c r="W16" s="179"/>
      <c r="X16" s="179"/>
      <c r="Y16" s="179"/>
      <c r="Z16" s="179"/>
      <c r="AA16" s="179"/>
      <c r="AB16" s="179"/>
      <c r="AC16" s="180"/>
      <c r="AD16" s="115"/>
      <c r="AE16" s="72"/>
      <c r="AF16" s="72"/>
      <c r="AG16" s="72"/>
      <c r="AH16" s="72"/>
      <c r="AI16" s="193"/>
      <c r="AJ16" s="193"/>
      <c r="AK16" s="72"/>
      <c r="AL16" s="72"/>
      <c r="AM16" s="72"/>
      <c r="AN16" s="72"/>
      <c r="AO16" s="72"/>
      <c r="AP16" s="72"/>
      <c r="AQ16" s="72"/>
    </row>
    <row r="17" spans="1:43" ht="15.75">
      <c r="A17" s="72"/>
      <c r="B17" s="114"/>
      <c r="C17" s="164" t="str">
        <f>"Kontoendstand nach "&amp;R109&amp;" Jahren:"</f>
        <v>Kontoendstand nach 20,4 Jahren: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60"/>
      <c r="V17" s="144"/>
      <c r="W17" s="144"/>
      <c r="X17" s="144"/>
      <c r="Y17" s="2051">
        <f>ROUND(J110,0)</f>
        <v>0</v>
      </c>
      <c r="Z17" s="2046"/>
      <c r="AA17" s="2046"/>
      <c r="AB17" s="2046"/>
      <c r="AC17" s="181" t="str">
        <f>IF(Y17&gt;0,"€","")</f>
        <v/>
      </c>
      <c r="AD17" s="115"/>
      <c r="AE17" s="72"/>
      <c r="AF17" s="72"/>
      <c r="AG17" s="72"/>
      <c r="AH17" s="72"/>
      <c r="AI17" s="193"/>
      <c r="AJ17" s="193"/>
      <c r="AK17" s="72"/>
      <c r="AL17" s="72"/>
      <c r="AM17" s="72"/>
      <c r="AN17" s="72"/>
      <c r="AO17" s="72"/>
      <c r="AP17" s="72"/>
      <c r="AQ17" s="72"/>
    </row>
    <row r="18" spans="1:43" ht="3.2" customHeight="1">
      <c r="A18" s="72"/>
      <c r="B18" s="114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8"/>
      <c r="V18" s="149"/>
      <c r="W18" s="149"/>
      <c r="X18" s="149"/>
      <c r="Y18" s="149"/>
      <c r="Z18" s="149"/>
      <c r="AA18" s="149"/>
      <c r="AB18" s="149"/>
      <c r="AC18" s="150"/>
      <c r="AD18" s="115"/>
      <c r="AE18" s="72"/>
      <c r="AF18" s="72"/>
      <c r="AG18" s="72"/>
      <c r="AH18" s="72"/>
      <c r="AI18" s="193"/>
      <c r="AJ18" s="193"/>
      <c r="AK18" s="72"/>
      <c r="AL18" s="72"/>
      <c r="AM18" s="72"/>
      <c r="AN18" s="72"/>
      <c r="AO18" s="72"/>
      <c r="AP18" s="72"/>
      <c r="AQ18" s="72"/>
    </row>
    <row r="19" spans="1:43" ht="3.2" customHeight="1">
      <c r="A19" s="72"/>
      <c r="B19" s="114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2"/>
      <c r="V19" s="153"/>
      <c r="W19" s="153"/>
      <c r="X19" s="153"/>
      <c r="Y19" s="153"/>
      <c r="Z19" s="153"/>
      <c r="AA19" s="153"/>
      <c r="AB19" s="153"/>
      <c r="AC19" s="154"/>
      <c r="AD19" s="115"/>
      <c r="AE19" s="72"/>
      <c r="AF19" s="72"/>
      <c r="AG19" s="72"/>
      <c r="AH19" s="72"/>
      <c r="AI19" s="193"/>
      <c r="AJ19" s="193"/>
      <c r="AK19" s="72"/>
      <c r="AL19" s="72"/>
      <c r="AM19" s="72"/>
      <c r="AN19" s="72"/>
      <c r="AO19" s="72"/>
      <c r="AP19" s="72"/>
      <c r="AQ19" s="72"/>
    </row>
    <row r="20" spans="1:43" ht="15.75">
      <c r="A20" s="72"/>
      <c r="B20" s="114"/>
      <c r="C20" s="141" t="s">
        <v>115</v>
      </c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61"/>
      <c r="V20" s="143"/>
      <c r="W20" s="143"/>
      <c r="X20" s="143"/>
      <c r="Y20" s="2049">
        <f>IF(Y10&gt;0,Y10,0)</f>
        <v>0</v>
      </c>
      <c r="Z20" s="2050"/>
      <c r="AA20" s="2050"/>
      <c r="AB20" s="2050"/>
      <c r="AC20" s="162" t="str">
        <f>IF(Y20&gt;0,"€","")</f>
        <v/>
      </c>
      <c r="AD20" s="115"/>
      <c r="AE20" s="72"/>
      <c r="AF20" s="72"/>
      <c r="AG20" s="72"/>
      <c r="AH20" s="72"/>
      <c r="AI20" s="193"/>
      <c r="AJ20" s="193"/>
      <c r="AK20" s="72"/>
      <c r="AL20" s="72"/>
      <c r="AM20" s="72"/>
      <c r="AN20" s="72"/>
      <c r="AO20" s="72"/>
      <c r="AP20" s="72"/>
      <c r="AQ20" s="72"/>
    </row>
    <row r="21" spans="1:43" ht="3.2" customHeight="1">
      <c r="A21" s="72"/>
      <c r="B21" s="114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8"/>
      <c r="V21" s="149"/>
      <c r="W21" s="149"/>
      <c r="X21" s="149"/>
      <c r="Y21" s="149"/>
      <c r="Z21" s="149"/>
      <c r="AA21" s="149"/>
      <c r="AB21" s="149"/>
      <c r="AC21" s="150"/>
      <c r="AD21" s="115"/>
      <c r="AE21" s="72"/>
      <c r="AF21" s="72"/>
      <c r="AG21" s="72"/>
      <c r="AH21" s="72"/>
      <c r="AI21" s="193"/>
      <c r="AJ21" s="193"/>
      <c r="AK21" s="72"/>
      <c r="AL21" s="72"/>
      <c r="AM21" s="72"/>
      <c r="AN21" s="72"/>
      <c r="AO21" s="72"/>
      <c r="AP21" s="72"/>
      <c r="AQ21" s="72"/>
    </row>
    <row r="22" spans="1:43" ht="3.2" customHeight="1">
      <c r="A22" s="72"/>
      <c r="B22" s="114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2"/>
      <c r="V22" s="153"/>
      <c r="W22" s="153"/>
      <c r="X22" s="153"/>
      <c r="Y22" s="153"/>
      <c r="Z22" s="153"/>
      <c r="AA22" s="153"/>
      <c r="AB22" s="153"/>
      <c r="AC22" s="154"/>
      <c r="AD22" s="115"/>
      <c r="AE22" s="72"/>
      <c r="AF22" s="72"/>
      <c r="AG22" s="72"/>
      <c r="AH22" s="72"/>
      <c r="AI22" s="193"/>
      <c r="AJ22" s="193"/>
      <c r="AK22" s="72"/>
      <c r="AL22" s="72"/>
      <c r="AM22" s="72"/>
      <c r="AN22" s="72"/>
      <c r="AO22" s="72"/>
      <c r="AP22" s="72"/>
      <c r="AQ22" s="72"/>
    </row>
    <row r="23" spans="1:43" ht="15.75">
      <c r="A23" s="72"/>
      <c r="B23" s="114"/>
      <c r="C23" s="141" t="s">
        <v>116</v>
      </c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61"/>
      <c r="V23" s="143"/>
      <c r="W23" s="143"/>
      <c r="X23" s="143"/>
      <c r="Y23" s="2049">
        <f>Y17-Y20</f>
        <v>0</v>
      </c>
      <c r="Z23" s="2050"/>
      <c r="AA23" s="2050"/>
      <c r="AB23" s="2050"/>
      <c r="AC23" s="162" t="str">
        <f>IF(Y23&gt;0,"€","")</f>
        <v/>
      </c>
      <c r="AD23" s="115"/>
      <c r="AE23" s="72"/>
      <c r="AF23" s="72"/>
      <c r="AG23" s="72"/>
      <c r="AH23" s="72"/>
      <c r="AI23" s="193"/>
      <c r="AJ23" s="193"/>
      <c r="AK23" s="72"/>
      <c r="AL23" s="72"/>
      <c r="AM23" s="72"/>
      <c r="AN23" s="72"/>
      <c r="AO23" s="72"/>
      <c r="AP23" s="72"/>
      <c r="AQ23" s="72"/>
    </row>
    <row r="24" spans="1:43" ht="3.2" customHeight="1">
      <c r="A24" s="72"/>
      <c r="B24" s="114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6"/>
      <c r="V24" s="170"/>
      <c r="W24" s="170"/>
      <c r="X24" s="170"/>
      <c r="Y24" s="170"/>
      <c r="Z24" s="170"/>
      <c r="AA24" s="170"/>
      <c r="AB24" s="170"/>
      <c r="AC24" s="171"/>
      <c r="AD24" s="115"/>
      <c r="AE24" s="72"/>
      <c r="AF24" s="72"/>
      <c r="AG24" s="72"/>
      <c r="AH24" s="72"/>
      <c r="AI24" s="193"/>
      <c r="AJ24" s="193"/>
      <c r="AK24" s="72"/>
      <c r="AL24" s="72"/>
      <c r="AM24" s="72"/>
      <c r="AN24" s="72"/>
      <c r="AO24" s="72"/>
      <c r="AP24" s="72"/>
      <c r="AQ24" s="72"/>
    </row>
    <row r="25" spans="1:43" ht="15.4" customHeight="1">
      <c r="A25" s="72"/>
      <c r="B25" s="114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60"/>
      <c r="V25" s="144"/>
      <c r="W25" s="144"/>
      <c r="X25" s="144"/>
      <c r="Y25" s="144"/>
      <c r="Z25" s="144"/>
      <c r="AA25" s="144"/>
      <c r="AB25" s="144"/>
      <c r="AC25" s="144"/>
      <c r="AD25" s="115"/>
      <c r="AE25" s="72"/>
      <c r="AF25" s="72"/>
      <c r="AG25" s="72"/>
      <c r="AH25" s="72"/>
      <c r="AI25" s="193"/>
      <c r="AJ25" s="193"/>
      <c r="AK25" s="72"/>
      <c r="AL25" s="72"/>
      <c r="AM25" s="72"/>
      <c r="AN25" s="72"/>
      <c r="AO25" s="72"/>
      <c r="AP25" s="72"/>
      <c r="AQ25" s="72"/>
    </row>
    <row r="26" spans="1:43" ht="3.2" customHeight="1" thickBot="1">
      <c r="A26" s="72"/>
      <c r="B26" s="114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1"/>
      <c r="U26" s="152"/>
      <c r="V26" s="153"/>
      <c r="W26" s="153"/>
      <c r="X26" s="153"/>
      <c r="Y26" s="153"/>
      <c r="Z26" s="153"/>
      <c r="AA26" s="153"/>
      <c r="AB26" s="153"/>
      <c r="AC26" s="154"/>
      <c r="AD26" s="115"/>
      <c r="AE26" s="72"/>
      <c r="AF26" s="72"/>
      <c r="AG26" s="72"/>
      <c r="AH26" s="72"/>
      <c r="AI26" s="193"/>
      <c r="AJ26" s="193"/>
      <c r="AK26" s="72"/>
      <c r="AL26" s="72"/>
      <c r="AM26" s="72"/>
      <c r="AN26" s="72"/>
      <c r="AO26" s="72"/>
      <c r="AP26" s="72"/>
      <c r="AQ26" s="72"/>
    </row>
    <row r="27" spans="1:43" ht="21" thickBot="1">
      <c r="A27" s="72"/>
      <c r="B27" s="114"/>
      <c r="C27" s="140" t="s">
        <v>111</v>
      </c>
      <c r="D27" s="142"/>
      <c r="E27" s="142"/>
      <c r="F27" s="142"/>
      <c r="G27" s="142"/>
      <c r="H27" s="142"/>
      <c r="I27" s="142"/>
      <c r="J27" s="142"/>
      <c r="K27" s="142"/>
      <c r="L27" s="142"/>
      <c r="M27" s="163" t="s">
        <v>124</v>
      </c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2056" t="str">
        <f>IF(Y10&lt;=0,"- - - - -",R108)</f>
        <v>- - - - -</v>
      </c>
      <c r="Z27" s="2057"/>
      <c r="AA27" s="2057"/>
      <c r="AB27" s="2057"/>
      <c r="AC27" s="2058"/>
      <c r="AD27" s="115"/>
      <c r="AE27" s="72"/>
      <c r="AF27" s="72"/>
      <c r="AG27" s="72"/>
      <c r="AH27" s="72"/>
      <c r="AI27" s="193"/>
      <c r="AJ27" s="193"/>
      <c r="AK27" s="72"/>
      <c r="AL27" s="72"/>
      <c r="AM27" s="72"/>
      <c r="AN27" s="72"/>
      <c r="AO27" s="72"/>
      <c r="AP27" s="72"/>
      <c r="AQ27" s="72"/>
    </row>
    <row r="28" spans="1:43" ht="6.4" customHeight="1">
      <c r="A28" s="72"/>
      <c r="B28" s="114"/>
      <c r="C28" s="140"/>
      <c r="D28" s="142"/>
      <c r="E28" s="142"/>
      <c r="F28" s="142"/>
      <c r="G28" s="142"/>
      <c r="H28" s="142"/>
      <c r="I28" s="142"/>
      <c r="J28" s="142"/>
      <c r="K28" s="142"/>
      <c r="L28" s="142"/>
      <c r="M28" s="163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74"/>
      <c r="Z28" s="174"/>
      <c r="AA28" s="174"/>
      <c r="AB28" s="174"/>
      <c r="AC28" s="174"/>
      <c r="AD28" s="115"/>
      <c r="AE28" s="72"/>
      <c r="AF28" s="72"/>
      <c r="AG28" s="72"/>
      <c r="AH28" s="72"/>
      <c r="AI28" s="193"/>
      <c r="AJ28" s="193"/>
      <c r="AK28" s="72"/>
      <c r="AL28" s="72"/>
      <c r="AM28" s="72"/>
      <c r="AN28" s="72"/>
      <c r="AO28" s="72"/>
      <c r="AP28" s="72"/>
      <c r="AQ28" s="72"/>
    </row>
    <row r="29" spans="1:43" ht="41.1" customHeight="1">
      <c r="A29" s="72"/>
      <c r="B29" s="114"/>
      <c r="C29" s="2055" t="str">
        <f>IF(Y10&gt;0,"Aus den zur Finanzierung eingesetzten Eigenmitteln von "&amp;Y20&amp;",- € wurde nach "&amp;R109&amp;" Jahren ein Kontoendstand von "&amp;Y17&amp;",- € auf dem Photovoltaik-Konto erwirtschaftet. Dies entspricht einer Verzinsung des eingesetzen Eigenkapitals von "&amp;Y27*100&amp;"%.","Es kann keine Eigenkapitalverzinsung ausgewiesen werden, da kein Eigenkapital eingesetzt wurde.")</f>
        <v>Es kann keine Eigenkapitalverzinsung ausgewiesen werden, da kein Eigenkapital eingesetzt wurde.</v>
      </c>
      <c r="D29" s="2055"/>
      <c r="E29" s="2055"/>
      <c r="F29" s="2055"/>
      <c r="G29" s="2055"/>
      <c r="H29" s="2055"/>
      <c r="I29" s="2055"/>
      <c r="J29" s="2055"/>
      <c r="K29" s="2055"/>
      <c r="L29" s="2055"/>
      <c r="M29" s="2055"/>
      <c r="N29" s="2055"/>
      <c r="O29" s="2055"/>
      <c r="P29" s="2055"/>
      <c r="Q29" s="2055"/>
      <c r="R29" s="2055"/>
      <c r="S29" s="2055"/>
      <c r="T29" s="2055"/>
      <c r="U29" s="2055"/>
      <c r="V29" s="2055"/>
      <c r="W29" s="2055"/>
      <c r="X29" s="2055"/>
      <c r="Y29" s="2055"/>
      <c r="Z29" s="2055"/>
      <c r="AA29" s="2055"/>
      <c r="AB29" s="2055"/>
      <c r="AC29" s="2055"/>
      <c r="AD29" s="115"/>
      <c r="AE29" s="72"/>
      <c r="AF29" s="72"/>
      <c r="AG29" s="72"/>
      <c r="AH29" s="72"/>
      <c r="AI29" s="193"/>
      <c r="AJ29" s="193"/>
      <c r="AK29" s="72"/>
      <c r="AL29" s="72"/>
      <c r="AM29" s="72"/>
      <c r="AN29" s="72"/>
      <c r="AO29" s="72"/>
      <c r="AP29" s="72"/>
      <c r="AQ29" s="72"/>
    </row>
    <row r="30" spans="1:43" ht="30.2" customHeight="1">
      <c r="A30" s="72"/>
      <c r="B30" s="114"/>
      <c r="C30" s="2053" t="str">
        <f>IF(Y10&gt;0,"Wichtig: Für die auf das Girokonto jährlich laufenden Gutschriften
haben Sie einen Guthabenzins von "&amp;J103*100&amp;"% festgelegt.","")</f>
        <v/>
      </c>
      <c r="D30" s="2053"/>
      <c r="E30" s="2053"/>
      <c r="F30" s="2053"/>
      <c r="G30" s="2053"/>
      <c r="H30" s="2053"/>
      <c r="I30" s="2053"/>
      <c r="J30" s="2053"/>
      <c r="K30" s="2053"/>
      <c r="L30" s="2053"/>
      <c r="M30" s="2053"/>
      <c r="N30" s="2053"/>
      <c r="O30" s="2053"/>
      <c r="P30" s="2053"/>
      <c r="Q30" s="2053"/>
      <c r="R30" s="2053"/>
      <c r="S30" s="2053"/>
      <c r="T30" s="2053"/>
      <c r="U30" s="2053"/>
      <c r="V30" s="2053"/>
      <c r="W30" s="2053"/>
      <c r="X30" s="2053"/>
      <c r="Y30" s="2053"/>
      <c r="Z30" s="2053"/>
      <c r="AA30" s="2053"/>
      <c r="AB30" s="2053"/>
      <c r="AC30" s="2053"/>
      <c r="AD30" s="115"/>
      <c r="AE30" s="72"/>
      <c r="AF30" s="72"/>
      <c r="AG30" s="72"/>
      <c r="AH30" s="72"/>
      <c r="AI30" s="193"/>
      <c r="AJ30" s="193"/>
      <c r="AK30" s="72"/>
      <c r="AL30" s="72"/>
      <c r="AM30" s="72"/>
      <c r="AN30" s="72"/>
      <c r="AO30" s="72"/>
      <c r="AP30" s="72"/>
      <c r="AQ30" s="72"/>
    </row>
    <row r="31" spans="1:43" ht="3.2" customHeight="1">
      <c r="A31" s="72"/>
      <c r="B31" s="114"/>
      <c r="C31" s="102"/>
      <c r="D31" s="102"/>
      <c r="E31" s="103"/>
      <c r="F31" s="103"/>
      <c r="G31" s="103"/>
      <c r="H31" s="103"/>
      <c r="I31" s="103"/>
      <c r="J31" s="103"/>
      <c r="K31" s="103"/>
      <c r="L31" s="103"/>
      <c r="M31" s="103"/>
      <c r="N31" s="102"/>
      <c r="O31" s="103"/>
      <c r="P31" s="103"/>
      <c r="Q31" s="103"/>
      <c r="R31" s="103"/>
      <c r="S31" s="103"/>
      <c r="T31" s="103"/>
      <c r="U31" s="104"/>
      <c r="V31" s="105"/>
      <c r="W31" s="105"/>
      <c r="X31" s="105"/>
      <c r="Y31" s="105"/>
      <c r="Z31" s="105"/>
      <c r="AA31" s="105"/>
      <c r="AB31" s="105"/>
      <c r="AC31" s="105"/>
      <c r="AD31" s="115"/>
      <c r="AE31" s="72"/>
      <c r="AF31" s="72"/>
      <c r="AG31" s="72"/>
      <c r="AH31" s="72"/>
      <c r="AI31" s="193"/>
      <c r="AJ31" s="193"/>
      <c r="AK31" s="72"/>
      <c r="AL31" s="72"/>
      <c r="AM31" s="72"/>
      <c r="AN31" s="72"/>
      <c r="AO31" s="72"/>
      <c r="AP31" s="72"/>
      <c r="AQ31" s="72"/>
    </row>
    <row r="32" spans="1:43" s="192" customFormat="1" ht="30.2" customHeight="1">
      <c r="A32" s="189"/>
      <c r="B32" s="190"/>
      <c r="C32" s="2054" t="str">
        <f>IF(Y10&gt;0,"Hinweis: Erfolgte die Finanzierung einer Photovoltaik-Anlage überwiegend mit Eigenkapital, so wird man in der Realität den größten Teil des auf dem Photovoltaik-Konto aufgelaufenen Guthabens zeitnah auf gut verzinsliche Anlagen umschichten.","")</f>
        <v/>
      </c>
      <c r="D32" s="2054"/>
      <c r="E32" s="2054"/>
      <c r="F32" s="2054"/>
      <c r="G32" s="2054"/>
      <c r="H32" s="2054"/>
      <c r="I32" s="2054"/>
      <c r="J32" s="2054"/>
      <c r="K32" s="2054"/>
      <c r="L32" s="2054"/>
      <c r="M32" s="2054"/>
      <c r="N32" s="2054"/>
      <c r="O32" s="2054"/>
      <c r="P32" s="2054"/>
      <c r="Q32" s="2054"/>
      <c r="R32" s="2054"/>
      <c r="S32" s="2054"/>
      <c r="T32" s="2054"/>
      <c r="U32" s="2054"/>
      <c r="V32" s="2054"/>
      <c r="W32" s="2054"/>
      <c r="X32" s="2054"/>
      <c r="Y32" s="2054"/>
      <c r="Z32" s="2054"/>
      <c r="AA32" s="2054"/>
      <c r="AB32" s="2054"/>
      <c r="AC32" s="2054"/>
      <c r="AD32" s="191"/>
      <c r="AE32" s="189"/>
      <c r="AF32" s="189"/>
      <c r="AG32" s="189"/>
      <c r="AH32" s="189"/>
      <c r="AI32" s="194"/>
      <c r="AJ32" s="194"/>
      <c r="AK32" s="189"/>
      <c r="AL32" s="189"/>
      <c r="AM32" s="189"/>
      <c r="AN32" s="189"/>
      <c r="AO32" s="189"/>
      <c r="AP32" s="189"/>
      <c r="AQ32" s="189"/>
    </row>
    <row r="33" spans="1:43" s="192" customFormat="1" ht="30.2" customHeight="1">
      <c r="A33" s="189"/>
      <c r="B33" s="190"/>
      <c r="C33" s="2054" t="str">
        <f>IF(Y10&gt;0,"Im Falle einer solchen Umschichtung sollte zur annähernd korrekten Ermittlung der Eigenkapitalverzinsung auch der erzielbare Zinsertrag der umgeschichteten Mittel berücksichtigt werden.","")</f>
        <v/>
      </c>
      <c r="D33" s="2054"/>
      <c r="E33" s="2054"/>
      <c r="F33" s="2054"/>
      <c r="G33" s="2054"/>
      <c r="H33" s="2054"/>
      <c r="I33" s="2054"/>
      <c r="J33" s="2054"/>
      <c r="K33" s="2054"/>
      <c r="L33" s="2054"/>
      <c r="M33" s="2054"/>
      <c r="N33" s="2054"/>
      <c r="O33" s="2054"/>
      <c r="P33" s="2054"/>
      <c r="Q33" s="2054"/>
      <c r="R33" s="2054"/>
      <c r="S33" s="2054"/>
      <c r="T33" s="2054"/>
      <c r="U33" s="2054"/>
      <c r="V33" s="2054"/>
      <c r="W33" s="2054"/>
      <c r="X33" s="2054"/>
      <c r="Y33" s="2054"/>
      <c r="Z33" s="2054"/>
      <c r="AA33" s="2054"/>
      <c r="AB33" s="2054"/>
      <c r="AC33" s="2054"/>
      <c r="AD33" s="191"/>
      <c r="AE33" s="189"/>
      <c r="AF33" s="189"/>
      <c r="AG33" s="189"/>
      <c r="AH33" s="189"/>
      <c r="AI33" s="194"/>
      <c r="AJ33" s="194"/>
      <c r="AK33" s="189"/>
      <c r="AL33" s="189"/>
      <c r="AM33" s="189"/>
      <c r="AN33" s="189"/>
      <c r="AO33" s="189"/>
      <c r="AP33" s="189"/>
      <c r="AQ33" s="189"/>
    </row>
    <row r="34" spans="1:43" ht="45" customHeight="1">
      <c r="A34" s="72"/>
      <c r="B34" s="114"/>
      <c r="C34" s="2059" t="str">
        <f>IF(Y10&gt;0,"Vorschlag: Um diesen Zinseffekt näherungsweise zu berücksichten kann im Registerblatt 'Kalkulation' der Guthabenzins (Bereich 'Liquiditätsvorschau (vor Steuern)'; (Excel-Zeile 124) auf eine angemessene Verzinsung der Überschüsse angepasst werden.","")</f>
        <v/>
      </c>
      <c r="D34" s="2059"/>
      <c r="E34" s="2059"/>
      <c r="F34" s="2059"/>
      <c r="G34" s="2059"/>
      <c r="H34" s="2059"/>
      <c r="I34" s="2059"/>
      <c r="J34" s="2059"/>
      <c r="K34" s="2059"/>
      <c r="L34" s="2059"/>
      <c r="M34" s="2059"/>
      <c r="N34" s="2059"/>
      <c r="O34" s="2059"/>
      <c r="P34" s="2059"/>
      <c r="Q34" s="2059"/>
      <c r="R34" s="2059"/>
      <c r="S34" s="2059"/>
      <c r="T34" s="2059"/>
      <c r="U34" s="2059"/>
      <c r="V34" s="2059"/>
      <c r="W34" s="2059"/>
      <c r="X34" s="2059"/>
      <c r="Y34" s="2059"/>
      <c r="Z34" s="2059"/>
      <c r="AA34" s="2059"/>
      <c r="AB34" s="2059"/>
      <c r="AC34" s="2059"/>
      <c r="AD34" s="115"/>
      <c r="AE34" s="72"/>
      <c r="AF34" s="72"/>
      <c r="AG34" s="72"/>
      <c r="AH34" s="72"/>
      <c r="AI34" s="193"/>
      <c r="AJ34" s="193"/>
      <c r="AK34" s="72"/>
      <c r="AL34" s="72"/>
      <c r="AM34" s="72"/>
      <c r="AN34" s="72"/>
      <c r="AO34" s="72"/>
      <c r="AP34" s="72"/>
      <c r="AQ34" s="72"/>
    </row>
    <row r="35" spans="1:43" ht="3.2" customHeight="1" thickBot="1">
      <c r="A35" s="72"/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2"/>
      <c r="AE35" s="72"/>
      <c r="AF35" s="72"/>
      <c r="AG35" s="72"/>
      <c r="AH35" s="72"/>
      <c r="AI35" s="193"/>
      <c r="AJ35" s="193"/>
      <c r="AK35" s="72"/>
      <c r="AL35" s="72"/>
      <c r="AM35" s="72"/>
      <c r="AN35" s="72"/>
      <c r="AO35" s="72"/>
      <c r="AP35" s="72"/>
      <c r="AQ35" s="72"/>
    </row>
    <row r="36" spans="1:43" ht="8.1" customHeight="1" thickTop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138"/>
      <c r="AE36" s="72"/>
      <c r="AF36" s="72"/>
      <c r="AG36" s="72"/>
      <c r="AH36" s="72"/>
      <c r="AI36" s="193"/>
      <c r="AJ36" s="193"/>
      <c r="AK36" s="72"/>
      <c r="AL36" s="72"/>
      <c r="AM36" s="72"/>
      <c r="AN36" s="72"/>
      <c r="AO36" s="72"/>
      <c r="AP36" s="72"/>
      <c r="AQ36" s="72"/>
    </row>
    <row r="37" spans="1:43" ht="14.1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193"/>
      <c r="AJ37" s="193"/>
      <c r="AK37" s="72"/>
      <c r="AL37" s="72"/>
      <c r="AM37" s="72"/>
      <c r="AN37" s="72"/>
      <c r="AO37" s="72"/>
      <c r="AP37" s="72"/>
      <c r="AQ37" s="72"/>
    </row>
    <row r="38" spans="1:43" ht="14.1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193"/>
      <c r="AJ38" s="193"/>
      <c r="AK38" s="72"/>
      <c r="AL38" s="72"/>
      <c r="AM38" s="72"/>
      <c r="AN38" s="72"/>
      <c r="AO38" s="72"/>
      <c r="AP38" s="72"/>
      <c r="AQ38" s="72"/>
    </row>
    <row r="39" spans="1:43" ht="14.1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193"/>
      <c r="AJ39" s="193"/>
      <c r="AK39" s="72"/>
      <c r="AL39" s="72"/>
      <c r="AM39" s="72"/>
      <c r="AN39" s="72"/>
      <c r="AO39" s="72"/>
      <c r="AP39" s="72"/>
      <c r="AQ39" s="72"/>
    </row>
    <row r="40" spans="1:43" ht="14.1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193"/>
      <c r="AJ40" s="193"/>
      <c r="AK40" s="72"/>
      <c r="AL40" s="72"/>
      <c r="AM40" s="72"/>
      <c r="AN40" s="72"/>
      <c r="AO40" s="72"/>
      <c r="AP40" s="72"/>
      <c r="AQ40" s="72"/>
    </row>
    <row r="41" spans="1:43" ht="14.1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193"/>
      <c r="AJ41" s="193"/>
      <c r="AK41" s="72"/>
      <c r="AL41" s="72"/>
      <c r="AM41" s="72"/>
      <c r="AN41" s="72"/>
      <c r="AO41" s="72"/>
      <c r="AP41" s="72"/>
      <c r="AQ41" s="72"/>
    </row>
    <row r="42" spans="1:43" ht="14.1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193"/>
      <c r="AJ42" s="193"/>
      <c r="AK42" s="72"/>
      <c r="AL42" s="72"/>
      <c r="AM42" s="72"/>
      <c r="AN42" s="72"/>
      <c r="AO42" s="72"/>
      <c r="AP42" s="72"/>
      <c r="AQ42" s="72"/>
    </row>
    <row r="43" spans="1:43" ht="14.1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193"/>
      <c r="AJ43" s="193"/>
      <c r="AK43" s="72"/>
      <c r="AL43" s="72"/>
      <c r="AM43" s="72"/>
      <c r="AN43" s="72"/>
      <c r="AO43" s="72"/>
      <c r="AP43" s="72"/>
      <c r="AQ43" s="72"/>
    </row>
    <row r="44" spans="1:43" ht="14.1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193"/>
      <c r="AJ44" s="193"/>
      <c r="AK44" s="72"/>
      <c r="AL44" s="72"/>
      <c r="AM44" s="72"/>
      <c r="AN44" s="72"/>
      <c r="AO44" s="72"/>
      <c r="AP44" s="72"/>
      <c r="AQ44" s="72"/>
    </row>
    <row r="45" spans="1:43" ht="14.1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193"/>
      <c r="AJ45" s="193"/>
      <c r="AK45" s="72"/>
      <c r="AL45" s="72"/>
      <c r="AM45" s="72"/>
      <c r="AN45" s="72"/>
      <c r="AO45" s="72"/>
      <c r="AP45" s="72"/>
      <c r="AQ45" s="72"/>
    </row>
    <row r="46" spans="1:43" ht="14.1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193"/>
      <c r="AJ46" s="193"/>
      <c r="AK46" s="72"/>
      <c r="AL46" s="72"/>
      <c r="AM46" s="72"/>
      <c r="AN46" s="72"/>
      <c r="AO46" s="72"/>
      <c r="AP46" s="72"/>
      <c r="AQ46" s="72"/>
    </row>
    <row r="47" spans="1:43" ht="14.1" customHeight="1"/>
    <row r="48" spans="1:43" ht="14.1" customHeight="1"/>
    <row r="49" ht="14.1" customHeight="1"/>
    <row r="50" ht="14.1" customHeight="1"/>
    <row r="51" ht="14.1" customHeight="1"/>
    <row r="52" ht="14.1" customHeight="1"/>
    <row r="53" ht="14.1" customHeight="1"/>
    <row r="54" ht="14.1" customHeight="1"/>
    <row r="55" ht="14.1" customHeight="1"/>
    <row r="56" ht="14.1" customHeight="1"/>
    <row r="57" ht="14.1" customHeight="1"/>
    <row r="58" ht="14.1" customHeight="1"/>
    <row r="59" ht="14.1" customHeight="1"/>
    <row r="60" ht="14.1" customHeight="1"/>
    <row r="61" ht="14.1" customHeight="1"/>
    <row r="62" ht="14.1" customHeight="1"/>
    <row r="63" ht="14.1" customHeight="1"/>
    <row r="64" ht="14.1" customHeight="1"/>
    <row r="65" ht="14.1" customHeight="1"/>
    <row r="66" ht="14.1" customHeight="1"/>
    <row r="67" ht="14.1" customHeight="1"/>
    <row r="68" ht="14.1" customHeight="1"/>
    <row r="69" ht="14.1" customHeight="1"/>
    <row r="70" ht="14.1" customHeight="1"/>
    <row r="71" ht="14.1" customHeight="1"/>
    <row r="72" ht="14.1" customHeight="1"/>
    <row r="73" ht="14.1" customHeight="1"/>
    <row r="74" ht="14.1" customHeight="1"/>
    <row r="75" ht="14.1" customHeight="1"/>
    <row r="76" ht="14.1" customHeight="1"/>
    <row r="77" ht="14.1" customHeight="1"/>
    <row r="78" ht="14.1" customHeight="1"/>
    <row r="79" ht="14.1" customHeight="1"/>
    <row r="80" ht="14.1" customHeight="1"/>
    <row r="81" ht="14.1" customHeight="1"/>
    <row r="82" ht="14.1" customHeight="1"/>
    <row r="83" ht="14.1" customHeight="1"/>
    <row r="84" ht="14.1" customHeight="1"/>
    <row r="85" ht="14.1" customHeight="1"/>
    <row r="86" ht="14.1" customHeight="1"/>
    <row r="87" ht="14.1" customHeight="1"/>
    <row r="88" ht="14.1" customHeight="1"/>
    <row r="89" ht="14.1" customHeight="1"/>
    <row r="90" ht="14.1" customHeight="1"/>
    <row r="91" ht="14.1" customHeight="1"/>
    <row r="92" ht="14.1" customHeight="1"/>
    <row r="93" ht="14.1" customHeight="1"/>
    <row r="94" ht="14.1" customHeight="1"/>
    <row r="95" ht="14.1" customHeight="1"/>
    <row r="96" ht="14.1" customHeight="1"/>
    <row r="97" spans="3:36" ht="14.1" customHeight="1"/>
    <row r="98" spans="3:36" ht="14.1" customHeight="1"/>
    <row r="99" spans="3:36" ht="14.1" customHeight="1"/>
    <row r="100" spans="3:36" ht="14.1" customHeight="1"/>
    <row r="101" spans="3:36" ht="14.1" customHeight="1"/>
    <row r="102" spans="3:36" ht="14.1" customHeight="1"/>
    <row r="103" spans="3:36" ht="14.1" customHeight="1">
      <c r="C103" s="20" t="s">
        <v>138</v>
      </c>
      <c r="J103" s="2052">
        <f>Kalkulation!AD238/100</f>
        <v>0.01</v>
      </c>
      <c r="K103" s="2052"/>
      <c r="L103" s="2052"/>
    </row>
    <row r="104" spans="3:36" ht="14.1" customHeight="1"/>
    <row r="105" spans="3:36" ht="14.1" customHeight="1">
      <c r="C105" s="20" t="s">
        <v>119</v>
      </c>
      <c r="J105" s="2045">
        <f>Y10</f>
        <v>0</v>
      </c>
      <c r="K105" s="2045"/>
      <c r="L105" s="2045"/>
      <c r="M105" s="20" t="s">
        <v>380</v>
      </c>
    </row>
    <row r="106" spans="3:36" ht="14.1" customHeight="1">
      <c r="C106" s="20" t="s">
        <v>120</v>
      </c>
      <c r="J106" s="2045">
        <f>Y17</f>
        <v>0</v>
      </c>
      <c r="K106" s="2045"/>
      <c r="L106" s="2045"/>
      <c r="M106" s="20" t="s">
        <v>380</v>
      </c>
    </row>
    <row r="107" spans="3:36" ht="14.1" customHeight="1">
      <c r="C107" s="20" t="s">
        <v>121</v>
      </c>
      <c r="J107" s="2061">
        <f>IF(J105&lt;=0,0,J106/J105)</f>
        <v>0</v>
      </c>
      <c r="K107" s="2061"/>
      <c r="L107" s="2061"/>
      <c r="M107" s="20" t="s">
        <v>380</v>
      </c>
    </row>
    <row r="108" spans="3:36" ht="14.1" customHeight="1">
      <c r="C108" s="20" t="s">
        <v>122</v>
      </c>
      <c r="J108" s="2052">
        <f>IF(J105&lt;=0,0,POWER((J106/J105),1/K109)-1)</f>
        <v>0</v>
      </c>
      <c r="K108" s="2052"/>
      <c r="L108" s="2052"/>
      <c r="O108" s="20" t="s">
        <v>123</v>
      </c>
      <c r="R108" s="2052">
        <f>ROUND(J108,3)</f>
        <v>0</v>
      </c>
      <c r="S108" s="2052"/>
      <c r="T108" s="2052"/>
    </row>
    <row r="109" spans="3:36" ht="14.1" customHeight="1">
      <c r="C109" s="20" t="s">
        <v>113</v>
      </c>
      <c r="K109" s="2060">
        <f>Kalkulation!V21+((12-(Kalkulation!R66-1))/12)</f>
        <v>20.416666666666668</v>
      </c>
      <c r="L109" s="2060"/>
      <c r="M109" s="20" t="s">
        <v>377</v>
      </c>
      <c r="O109" s="20" t="s">
        <v>123</v>
      </c>
      <c r="R109" s="2060">
        <f>ROUND(K109,1)</f>
        <v>20.399999999999999</v>
      </c>
      <c r="S109" s="2060"/>
      <c r="T109" s="20" t="s">
        <v>377</v>
      </c>
    </row>
    <row r="110" spans="3:36" ht="14.1" customHeight="1">
      <c r="C110" s="20" t="s">
        <v>114</v>
      </c>
      <c r="J110" s="2045">
        <f>SUM(J113:L138)</f>
        <v>0</v>
      </c>
      <c r="K110" s="2045"/>
      <c r="L110" s="2045"/>
      <c r="M110" s="20" t="s">
        <v>380</v>
      </c>
      <c r="AI110" s="135" t="s">
        <v>125</v>
      </c>
    </row>
    <row r="111" spans="3:36" ht="14.1" customHeight="1"/>
    <row r="112" spans="3:36" ht="14.1" customHeight="1">
      <c r="N112" s="2045"/>
      <c r="O112" s="2045"/>
      <c r="P112" s="2045"/>
      <c r="AI112" s="135">
        <f>J105</f>
        <v>0</v>
      </c>
      <c r="AJ112" s="135">
        <f>AI112*(1+($J$108*(12-(Kalkulation!R66-1))/12))</f>
        <v>0</v>
      </c>
    </row>
    <row r="113" spans="4:36" ht="14.1" customHeight="1">
      <c r="D113" s="20" t="str">
        <f>Kalkulation!Y437</f>
        <v>Hj.</v>
      </c>
      <c r="F113" s="2045">
        <f>Kalkulation!F565</f>
        <v>0</v>
      </c>
      <c r="G113" s="2045"/>
      <c r="H113" s="2045"/>
      <c r="J113" s="2045">
        <f t="shared" ref="J113:J130" si="0">IF(AND(F113&gt;0,F114=0),F113,0)</f>
        <v>0</v>
      </c>
      <c r="K113" s="2045"/>
      <c r="L113" s="2045"/>
      <c r="N113" s="2045"/>
      <c r="O113" s="2045"/>
      <c r="P113" s="2045"/>
      <c r="AI113" s="135">
        <f>AJ112</f>
        <v>0</v>
      </c>
      <c r="AJ113" s="135">
        <f>AI113*(1+$J$108)</f>
        <v>0</v>
      </c>
    </row>
    <row r="114" spans="4:36" ht="14.1" customHeight="1">
      <c r="D114" s="20">
        <f>Kalkulation!Y438</f>
        <v>1</v>
      </c>
      <c r="F114" s="2045">
        <f>Kalkulation!F570</f>
        <v>0</v>
      </c>
      <c r="G114" s="2045"/>
      <c r="H114" s="2045"/>
      <c r="J114" s="2045">
        <f t="shared" si="0"/>
        <v>0</v>
      </c>
      <c r="K114" s="2045"/>
      <c r="L114" s="2045"/>
      <c r="N114" s="2045"/>
      <c r="O114" s="2045"/>
      <c r="P114" s="2045"/>
      <c r="AI114" s="135">
        <f>AJ113</f>
        <v>0</v>
      </c>
      <c r="AJ114" s="135">
        <f t="shared" ref="AJ114:AJ139" si="1">AI114*(1+$J$108)</f>
        <v>0</v>
      </c>
    </row>
    <row r="115" spans="4:36" ht="14.1" customHeight="1">
      <c r="D115" s="20">
        <f>Kalkulation!Y439</f>
        <v>2</v>
      </c>
      <c r="F115" s="2045">
        <f>Kalkulation!F575</f>
        <v>0</v>
      </c>
      <c r="G115" s="2045"/>
      <c r="H115" s="2045"/>
      <c r="J115" s="2045">
        <f t="shared" si="0"/>
        <v>0</v>
      </c>
      <c r="K115" s="2045"/>
      <c r="L115" s="2045"/>
      <c r="N115" s="2045"/>
      <c r="O115" s="2045"/>
      <c r="P115" s="2045"/>
      <c r="AI115" s="135">
        <f t="shared" ref="AI115:AI139" si="2">AJ114</f>
        <v>0</v>
      </c>
      <c r="AJ115" s="135">
        <f t="shared" si="1"/>
        <v>0</v>
      </c>
    </row>
    <row r="116" spans="4:36" ht="14.1" customHeight="1">
      <c r="D116" s="20">
        <f>Kalkulation!Y440</f>
        <v>3</v>
      </c>
      <c r="F116" s="2045">
        <f>Kalkulation!F580</f>
        <v>0</v>
      </c>
      <c r="G116" s="2045"/>
      <c r="H116" s="2045"/>
      <c r="J116" s="2045">
        <f t="shared" si="0"/>
        <v>0</v>
      </c>
      <c r="K116" s="2045"/>
      <c r="L116" s="2045"/>
      <c r="N116" s="2045"/>
      <c r="O116" s="2045"/>
      <c r="P116" s="2045"/>
      <c r="AI116" s="135">
        <f t="shared" si="2"/>
        <v>0</v>
      </c>
      <c r="AJ116" s="135">
        <f t="shared" si="1"/>
        <v>0</v>
      </c>
    </row>
    <row r="117" spans="4:36" ht="14.1" customHeight="1">
      <c r="D117" s="20">
        <f>Kalkulation!Y441</f>
        <v>4</v>
      </c>
      <c r="F117" s="2045">
        <f>Kalkulation!F585</f>
        <v>0</v>
      </c>
      <c r="G117" s="2045"/>
      <c r="H117" s="2045"/>
      <c r="J117" s="2045">
        <f t="shared" si="0"/>
        <v>0</v>
      </c>
      <c r="K117" s="2045"/>
      <c r="L117" s="2045"/>
      <c r="N117" s="2045"/>
      <c r="O117" s="2045"/>
      <c r="P117" s="2045"/>
      <c r="AI117" s="135">
        <f t="shared" si="2"/>
        <v>0</v>
      </c>
      <c r="AJ117" s="135">
        <f t="shared" si="1"/>
        <v>0</v>
      </c>
    </row>
    <row r="118" spans="4:36" ht="14.1" customHeight="1">
      <c r="D118" s="20">
        <f>Kalkulation!Y442</f>
        <v>5</v>
      </c>
      <c r="F118" s="2045">
        <f>Kalkulation!F590</f>
        <v>0</v>
      </c>
      <c r="G118" s="2045"/>
      <c r="H118" s="2045"/>
      <c r="J118" s="2045">
        <f t="shared" si="0"/>
        <v>0</v>
      </c>
      <c r="K118" s="2045"/>
      <c r="L118" s="2045"/>
      <c r="N118" s="2045"/>
      <c r="O118" s="2045"/>
      <c r="P118" s="2045"/>
      <c r="AI118" s="135">
        <f t="shared" si="2"/>
        <v>0</v>
      </c>
      <c r="AJ118" s="135">
        <f t="shared" si="1"/>
        <v>0</v>
      </c>
    </row>
    <row r="119" spans="4:36" ht="14.1" customHeight="1">
      <c r="D119" s="20">
        <f>Kalkulation!Y443</f>
        <v>6</v>
      </c>
      <c r="F119" s="2045">
        <f>Kalkulation!F595</f>
        <v>0</v>
      </c>
      <c r="G119" s="2045"/>
      <c r="H119" s="2045"/>
      <c r="J119" s="2045">
        <f t="shared" si="0"/>
        <v>0</v>
      </c>
      <c r="K119" s="2045"/>
      <c r="L119" s="2045"/>
      <c r="N119" s="2045"/>
      <c r="O119" s="2045"/>
      <c r="P119" s="2045"/>
      <c r="AI119" s="135">
        <f t="shared" si="2"/>
        <v>0</v>
      </c>
      <c r="AJ119" s="135">
        <f t="shared" si="1"/>
        <v>0</v>
      </c>
    </row>
    <row r="120" spans="4:36" ht="14.1" customHeight="1">
      <c r="D120" s="20">
        <f>Kalkulation!Y444</f>
        <v>7</v>
      </c>
      <c r="F120" s="2045">
        <f>Kalkulation!F600</f>
        <v>0</v>
      </c>
      <c r="G120" s="2045"/>
      <c r="H120" s="2045"/>
      <c r="J120" s="2045">
        <f t="shared" si="0"/>
        <v>0</v>
      </c>
      <c r="K120" s="2045"/>
      <c r="L120" s="2045"/>
      <c r="N120" s="2045"/>
      <c r="O120" s="2045"/>
      <c r="P120" s="2045"/>
      <c r="AI120" s="135">
        <f t="shared" si="2"/>
        <v>0</v>
      </c>
      <c r="AJ120" s="135">
        <f t="shared" si="1"/>
        <v>0</v>
      </c>
    </row>
    <row r="121" spans="4:36" ht="14.1" customHeight="1">
      <c r="D121" s="20">
        <f>Kalkulation!Y445</f>
        <v>8</v>
      </c>
      <c r="F121" s="2045">
        <f>Kalkulation!F605</f>
        <v>0</v>
      </c>
      <c r="G121" s="2045"/>
      <c r="H121" s="2045"/>
      <c r="J121" s="2045">
        <f t="shared" si="0"/>
        <v>0</v>
      </c>
      <c r="K121" s="2045"/>
      <c r="L121" s="2045"/>
      <c r="N121" s="2045"/>
      <c r="O121" s="2045"/>
      <c r="P121" s="2045"/>
      <c r="AI121" s="135">
        <f t="shared" si="2"/>
        <v>0</v>
      </c>
      <c r="AJ121" s="135">
        <f t="shared" si="1"/>
        <v>0</v>
      </c>
    </row>
    <row r="122" spans="4:36" ht="14.1" customHeight="1">
      <c r="D122" s="20">
        <f>Kalkulation!Y446</f>
        <v>9</v>
      </c>
      <c r="F122" s="2045">
        <f>Kalkulation!F610</f>
        <v>0</v>
      </c>
      <c r="G122" s="2045"/>
      <c r="H122" s="2045"/>
      <c r="J122" s="2045">
        <f t="shared" si="0"/>
        <v>0</v>
      </c>
      <c r="K122" s="2045"/>
      <c r="L122" s="2045"/>
      <c r="N122" s="2045"/>
      <c r="O122" s="2045"/>
      <c r="P122" s="2045"/>
      <c r="AI122" s="135">
        <f t="shared" si="2"/>
        <v>0</v>
      </c>
      <c r="AJ122" s="135">
        <f t="shared" si="1"/>
        <v>0</v>
      </c>
    </row>
    <row r="123" spans="4:36" ht="14.1" customHeight="1">
      <c r="D123" s="20">
        <f>Kalkulation!Y447</f>
        <v>10</v>
      </c>
      <c r="F123" s="2045">
        <f>Kalkulation!F615</f>
        <v>0</v>
      </c>
      <c r="G123" s="2045"/>
      <c r="H123" s="2045"/>
      <c r="J123" s="2045">
        <f t="shared" si="0"/>
        <v>0</v>
      </c>
      <c r="K123" s="2045"/>
      <c r="L123" s="2045"/>
      <c r="N123" s="2045"/>
      <c r="O123" s="2045"/>
      <c r="P123" s="2045"/>
      <c r="AI123" s="135">
        <f t="shared" si="2"/>
        <v>0</v>
      </c>
      <c r="AJ123" s="135">
        <f t="shared" si="1"/>
        <v>0</v>
      </c>
    </row>
    <row r="124" spans="4:36" ht="14.1" customHeight="1">
      <c r="D124" s="20">
        <f>Kalkulation!Y448</f>
        <v>11</v>
      </c>
      <c r="F124" s="2045">
        <f>Kalkulation!F620</f>
        <v>0</v>
      </c>
      <c r="G124" s="2045"/>
      <c r="H124" s="2045"/>
      <c r="J124" s="2045">
        <f t="shared" si="0"/>
        <v>0</v>
      </c>
      <c r="K124" s="2045"/>
      <c r="L124" s="2045"/>
      <c r="N124" s="2045"/>
      <c r="O124" s="2045"/>
      <c r="P124" s="2045"/>
      <c r="AI124" s="135">
        <f t="shared" si="2"/>
        <v>0</v>
      </c>
      <c r="AJ124" s="135">
        <f t="shared" si="1"/>
        <v>0</v>
      </c>
    </row>
    <row r="125" spans="4:36" ht="14.1" customHeight="1">
      <c r="D125" s="20">
        <f>Kalkulation!Y449</f>
        <v>12</v>
      </c>
      <c r="F125" s="2045">
        <f>Kalkulation!F625</f>
        <v>0</v>
      </c>
      <c r="G125" s="2045"/>
      <c r="H125" s="2045"/>
      <c r="J125" s="2045">
        <f t="shared" si="0"/>
        <v>0</v>
      </c>
      <c r="K125" s="2045"/>
      <c r="L125" s="2045"/>
      <c r="N125" s="2045"/>
      <c r="O125" s="2045"/>
      <c r="P125" s="2045"/>
      <c r="AI125" s="135">
        <f t="shared" si="2"/>
        <v>0</v>
      </c>
      <c r="AJ125" s="135">
        <f t="shared" si="1"/>
        <v>0</v>
      </c>
    </row>
    <row r="126" spans="4:36" ht="14.1" customHeight="1">
      <c r="D126" s="20">
        <f>Kalkulation!Y450</f>
        <v>13</v>
      </c>
      <c r="F126" s="2045">
        <f>Kalkulation!F630</f>
        <v>0</v>
      </c>
      <c r="G126" s="2045"/>
      <c r="H126" s="2045"/>
      <c r="J126" s="2045">
        <f t="shared" si="0"/>
        <v>0</v>
      </c>
      <c r="K126" s="2045"/>
      <c r="L126" s="2045"/>
      <c r="N126" s="2045"/>
      <c r="O126" s="2045"/>
      <c r="P126" s="2045"/>
      <c r="AI126" s="135">
        <f t="shared" si="2"/>
        <v>0</v>
      </c>
      <c r="AJ126" s="135">
        <f t="shared" si="1"/>
        <v>0</v>
      </c>
    </row>
    <row r="127" spans="4:36" ht="14.1" customHeight="1">
      <c r="D127" s="20">
        <f>Kalkulation!Y451</f>
        <v>14</v>
      </c>
      <c r="F127" s="2045">
        <f>Kalkulation!F635</f>
        <v>0</v>
      </c>
      <c r="G127" s="2045"/>
      <c r="H127" s="2045"/>
      <c r="J127" s="2045">
        <f t="shared" si="0"/>
        <v>0</v>
      </c>
      <c r="K127" s="2045"/>
      <c r="L127" s="2045"/>
      <c r="N127" s="2045"/>
      <c r="O127" s="2045"/>
      <c r="P127" s="2045"/>
      <c r="AI127" s="135">
        <f t="shared" si="2"/>
        <v>0</v>
      </c>
      <c r="AJ127" s="135">
        <f t="shared" si="1"/>
        <v>0</v>
      </c>
    </row>
    <row r="128" spans="4:36" ht="14.1" customHeight="1">
      <c r="D128" s="20">
        <f>Kalkulation!Y452</f>
        <v>15</v>
      </c>
      <c r="F128" s="2045">
        <f>Kalkulation!F640</f>
        <v>0</v>
      </c>
      <c r="G128" s="2045"/>
      <c r="H128" s="2045"/>
      <c r="J128" s="2045">
        <f t="shared" si="0"/>
        <v>0</v>
      </c>
      <c r="K128" s="2045"/>
      <c r="L128" s="2045"/>
      <c r="N128" s="2045"/>
      <c r="O128" s="2045"/>
      <c r="P128" s="2045"/>
      <c r="AI128" s="135">
        <f t="shared" si="2"/>
        <v>0</v>
      </c>
      <c r="AJ128" s="135">
        <f t="shared" si="1"/>
        <v>0</v>
      </c>
    </row>
    <row r="129" spans="4:36" ht="14.1" customHeight="1">
      <c r="D129" s="20">
        <f>Kalkulation!Y453</f>
        <v>16</v>
      </c>
      <c r="F129" s="2045">
        <f>Kalkulation!F645</f>
        <v>0</v>
      </c>
      <c r="G129" s="2045"/>
      <c r="H129" s="2045"/>
      <c r="J129" s="2045">
        <f t="shared" si="0"/>
        <v>0</v>
      </c>
      <c r="K129" s="2045"/>
      <c r="L129" s="2045"/>
      <c r="N129" s="2045"/>
      <c r="O129" s="2045"/>
      <c r="P129" s="2045"/>
      <c r="AI129" s="135">
        <f t="shared" si="2"/>
        <v>0</v>
      </c>
      <c r="AJ129" s="135">
        <f t="shared" si="1"/>
        <v>0</v>
      </c>
    </row>
    <row r="130" spans="4:36" ht="14.1" customHeight="1">
      <c r="D130" s="20">
        <f>Kalkulation!Y454</f>
        <v>17</v>
      </c>
      <c r="F130" s="2045">
        <f>Kalkulation!F650</f>
        <v>0</v>
      </c>
      <c r="G130" s="2045"/>
      <c r="H130" s="2045"/>
      <c r="J130" s="2045">
        <f t="shared" si="0"/>
        <v>0</v>
      </c>
      <c r="K130" s="2045"/>
      <c r="L130" s="2045"/>
      <c r="N130" s="2045"/>
      <c r="O130" s="2045"/>
      <c r="P130" s="2045"/>
      <c r="AI130" s="135">
        <f t="shared" si="2"/>
        <v>0</v>
      </c>
      <c r="AJ130" s="135">
        <f t="shared" si="1"/>
        <v>0</v>
      </c>
    </row>
    <row r="131" spans="4:36" ht="14.1" customHeight="1">
      <c r="D131" s="20">
        <f>Kalkulation!Y455</f>
        <v>18</v>
      </c>
      <c r="F131" s="2045">
        <f>Kalkulation!F655</f>
        <v>0</v>
      </c>
      <c r="G131" s="2045"/>
      <c r="H131" s="2045"/>
      <c r="J131" s="2045">
        <f>IF(AND(F131&gt;0,F132=0),F131,0)</f>
        <v>0</v>
      </c>
      <c r="K131" s="2045"/>
      <c r="L131" s="2045"/>
      <c r="N131" s="2045"/>
      <c r="O131" s="2045"/>
      <c r="P131" s="2045"/>
      <c r="AI131" s="135">
        <f t="shared" si="2"/>
        <v>0</v>
      </c>
      <c r="AJ131" s="135">
        <f t="shared" si="1"/>
        <v>0</v>
      </c>
    </row>
    <row r="132" spans="4:36" ht="14.1" customHeight="1">
      <c r="D132" s="20">
        <f>Kalkulation!Y456</f>
        <v>19</v>
      </c>
      <c r="F132" s="2045">
        <f>Kalkulation!F660</f>
        <v>0</v>
      </c>
      <c r="G132" s="2045"/>
      <c r="H132" s="2045"/>
      <c r="J132" s="2045">
        <f t="shared" ref="J132:J138" si="3">IF(AND(F132&gt;0,F133=0),F132,0)</f>
        <v>0</v>
      </c>
      <c r="K132" s="2045"/>
      <c r="L132" s="2045"/>
      <c r="N132" s="2045"/>
      <c r="O132" s="2045"/>
      <c r="P132" s="2045"/>
      <c r="AI132" s="135">
        <f t="shared" si="2"/>
        <v>0</v>
      </c>
      <c r="AJ132" s="135">
        <f t="shared" si="1"/>
        <v>0</v>
      </c>
    </row>
    <row r="133" spans="4:36" ht="14.1" customHeight="1">
      <c r="D133" s="20">
        <f>Kalkulation!Y457</f>
        <v>20</v>
      </c>
      <c r="F133" s="2045">
        <f>Kalkulation!F665</f>
        <v>0</v>
      </c>
      <c r="G133" s="2045"/>
      <c r="H133" s="2045"/>
      <c r="J133" s="2045">
        <f t="shared" si="3"/>
        <v>0</v>
      </c>
      <c r="K133" s="2045"/>
      <c r="L133" s="2045"/>
      <c r="N133" s="2045"/>
      <c r="O133" s="2045"/>
      <c r="P133" s="2045"/>
      <c r="AI133" s="135">
        <f t="shared" si="2"/>
        <v>0</v>
      </c>
      <c r="AJ133" s="135">
        <f t="shared" si="1"/>
        <v>0</v>
      </c>
    </row>
    <row r="134" spans="4:36" ht="14.1" customHeight="1">
      <c r="D134" s="20">
        <f>Kalkulation!Y458</f>
        <v>21</v>
      </c>
      <c r="F134" s="2045">
        <f>Kalkulation!F670</f>
        <v>0</v>
      </c>
      <c r="G134" s="2045"/>
      <c r="H134" s="2045"/>
      <c r="J134" s="2045">
        <f t="shared" si="3"/>
        <v>0</v>
      </c>
      <c r="K134" s="2045"/>
      <c r="L134" s="2045"/>
      <c r="N134" s="2045"/>
      <c r="O134" s="2045"/>
      <c r="P134" s="2045"/>
      <c r="AI134" s="135">
        <f t="shared" si="2"/>
        <v>0</v>
      </c>
      <c r="AJ134" s="135">
        <f t="shared" si="1"/>
        <v>0</v>
      </c>
    </row>
    <row r="135" spans="4:36" ht="14.1" customHeight="1">
      <c r="D135" s="20">
        <f>Kalkulation!Y459</f>
        <v>22</v>
      </c>
      <c r="F135" s="2045">
        <f>Kalkulation!F675</f>
        <v>0</v>
      </c>
      <c r="G135" s="2045"/>
      <c r="H135" s="2045"/>
      <c r="J135" s="2045">
        <f t="shared" si="3"/>
        <v>0</v>
      </c>
      <c r="K135" s="2045"/>
      <c r="L135" s="2045"/>
      <c r="N135" s="2045"/>
      <c r="O135" s="2045"/>
      <c r="P135" s="2045"/>
      <c r="AI135" s="135">
        <f t="shared" si="2"/>
        <v>0</v>
      </c>
      <c r="AJ135" s="135">
        <f t="shared" si="1"/>
        <v>0</v>
      </c>
    </row>
    <row r="136" spans="4:36" ht="14.1" customHeight="1">
      <c r="D136" s="20">
        <f>Kalkulation!Y460</f>
        <v>23</v>
      </c>
      <c r="F136" s="2045">
        <f>Kalkulation!F680</f>
        <v>0</v>
      </c>
      <c r="G136" s="2045"/>
      <c r="H136" s="2045"/>
      <c r="J136" s="2045">
        <f t="shared" si="3"/>
        <v>0</v>
      </c>
      <c r="K136" s="2045"/>
      <c r="L136" s="2045"/>
      <c r="N136" s="2045"/>
      <c r="O136" s="2045"/>
      <c r="P136" s="2045"/>
      <c r="AI136" s="135">
        <f t="shared" si="2"/>
        <v>0</v>
      </c>
      <c r="AJ136" s="135">
        <f t="shared" si="1"/>
        <v>0</v>
      </c>
    </row>
    <row r="137" spans="4:36" ht="14.1" customHeight="1">
      <c r="D137" s="20">
        <f>Kalkulation!Y461</f>
        <v>24</v>
      </c>
      <c r="F137" s="2045">
        <f>Kalkulation!F685</f>
        <v>0</v>
      </c>
      <c r="G137" s="2045"/>
      <c r="H137" s="2045"/>
      <c r="J137" s="2045">
        <f t="shared" si="3"/>
        <v>0</v>
      </c>
      <c r="K137" s="2045"/>
      <c r="L137" s="2045"/>
      <c r="N137" s="2045"/>
      <c r="O137" s="2045"/>
      <c r="P137" s="2045"/>
      <c r="AI137" s="135">
        <f t="shared" si="2"/>
        <v>0</v>
      </c>
      <c r="AJ137" s="135">
        <f t="shared" si="1"/>
        <v>0</v>
      </c>
    </row>
    <row r="138" spans="4:36" ht="14.1" customHeight="1">
      <c r="D138" s="20">
        <f>Kalkulation!Y462</f>
        <v>25</v>
      </c>
      <c r="F138" s="2045">
        <f>Kalkulation!F690</f>
        <v>0</v>
      </c>
      <c r="G138" s="2045"/>
      <c r="H138" s="2045"/>
      <c r="J138" s="2045">
        <f t="shared" si="3"/>
        <v>0</v>
      </c>
      <c r="K138" s="2045"/>
      <c r="L138" s="2045"/>
      <c r="N138" s="2045"/>
      <c r="O138" s="2045"/>
      <c r="P138" s="2045"/>
      <c r="AI138" s="135">
        <f t="shared" si="2"/>
        <v>0</v>
      </c>
      <c r="AJ138" s="135">
        <f t="shared" si="1"/>
        <v>0</v>
      </c>
    </row>
    <row r="139" spans="4:36" ht="14.1" customHeight="1">
      <c r="AI139" s="135">
        <f t="shared" si="2"/>
        <v>0</v>
      </c>
      <c r="AJ139" s="135">
        <f t="shared" si="1"/>
        <v>0</v>
      </c>
    </row>
    <row r="140" spans="4:36" ht="14.1" customHeight="1">
      <c r="N140" s="2045"/>
      <c r="O140" s="2045"/>
      <c r="P140" s="2045"/>
    </row>
    <row r="141" spans="4:36" ht="14.1" customHeight="1"/>
    <row r="142" spans="4:36" ht="14.1" customHeight="1"/>
    <row r="143" spans="4:36" ht="14.1" customHeight="1"/>
    <row r="144" spans="4:36" ht="14.1" customHeight="1"/>
    <row r="145" ht="14.1" customHeight="1"/>
    <row r="146" ht="14.1" customHeight="1"/>
    <row r="147" ht="14.1" customHeight="1"/>
    <row r="148" ht="14.1" customHeight="1"/>
    <row r="149" ht="14.1" customHeight="1"/>
    <row r="150" ht="14.1" customHeight="1"/>
    <row r="151" ht="14.1" customHeight="1"/>
    <row r="152" ht="14.1" customHeight="1"/>
    <row r="153" ht="14.1" customHeight="1"/>
    <row r="154" ht="14.1" customHeight="1"/>
    <row r="155" ht="14.1" customHeight="1"/>
    <row r="156" ht="14.1" customHeight="1"/>
    <row r="157" ht="14.1" customHeight="1"/>
    <row r="158" ht="14.1" customHeight="1"/>
    <row r="159" ht="14.1" customHeight="1"/>
    <row r="160" ht="14.1" customHeight="1"/>
    <row r="161" ht="14.1" customHeight="1"/>
    <row r="162" ht="14.1" customHeight="1"/>
    <row r="163" ht="14.1" customHeight="1"/>
    <row r="164" ht="14.1" customHeight="1"/>
    <row r="165" ht="14.1" customHeight="1"/>
    <row r="166" ht="14.1" customHeight="1"/>
    <row r="167" ht="14.1" customHeight="1"/>
    <row r="168" ht="14.1" customHeight="1"/>
    <row r="169" ht="14.1" customHeight="1"/>
    <row r="170" ht="14.1" customHeight="1"/>
    <row r="171" ht="14.1" customHeight="1"/>
    <row r="172" ht="14.1" customHeight="1"/>
    <row r="173" ht="14.1" customHeight="1"/>
    <row r="174" ht="14.1" customHeight="1"/>
    <row r="175" ht="14.1" customHeight="1"/>
    <row r="176" ht="14.1" customHeight="1"/>
    <row r="177" ht="14.1" customHeight="1"/>
    <row r="178" ht="14.1" customHeight="1"/>
    <row r="179" ht="14.1" customHeight="1"/>
    <row r="180" ht="14.1" customHeight="1"/>
    <row r="181" ht="14.1" customHeight="1"/>
    <row r="182" ht="14.1" customHeight="1"/>
    <row r="183" ht="14.1" customHeight="1"/>
    <row r="184" ht="14.1" customHeight="1"/>
    <row r="185" ht="14.1" customHeight="1"/>
    <row r="186" ht="14.1" customHeight="1"/>
    <row r="187" ht="14.1" customHeight="1"/>
    <row r="188" ht="14.1" customHeight="1"/>
    <row r="189" ht="14.1" customHeight="1"/>
    <row r="190" ht="14.1" customHeight="1"/>
    <row r="191" ht="14.1" customHeight="1"/>
    <row r="192" ht="14.1" customHeight="1"/>
    <row r="193" ht="14.1" customHeight="1"/>
    <row r="194" ht="14.1" customHeight="1"/>
    <row r="195" ht="14.1" customHeight="1"/>
    <row r="196" ht="14.1" customHeight="1"/>
    <row r="197" ht="14.1" customHeight="1"/>
    <row r="198" ht="14.1" customHeight="1"/>
    <row r="199" ht="14.1" customHeight="1"/>
    <row r="200" ht="14.1" customHeight="1"/>
    <row r="201" ht="14.1" customHeight="1"/>
    <row r="202" ht="14.1" customHeight="1"/>
    <row r="203" ht="14.1" customHeight="1"/>
    <row r="204" ht="14.1" customHeight="1"/>
    <row r="205" ht="14.1" customHeight="1"/>
    <row r="206" ht="14.1" customHeight="1"/>
    <row r="207" ht="14.1" customHeight="1"/>
    <row r="208" ht="14.1" customHeight="1"/>
    <row r="209" ht="14.1" customHeight="1"/>
    <row r="210" ht="14.1" customHeight="1"/>
    <row r="211" ht="14.1" customHeight="1"/>
    <row r="212" ht="14.1" customHeight="1"/>
    <row r="213" ht="14.1" customHeight="1"/>
    <row r="214" ht="14.1" customHeight="1"/>
    <row r="215" ht="14.1" customHeight="1"/>
    <row r="216" ht="14.1" customHeight="1"/>
    <row r="217" ht="14.1" customHeight="1"/>
    <row r="218" ht="14.1" customHeight="1"/>
    <row r="219" ht="14.1" customHeight="1"/>
    <row r="220" ht="14.1" customHeight="1"/>
    <row r="221" ht="14.1" customHeight="1"/>
    <row r="222" ht="14.1" customHeight="1"/>
    <row r="223" ht="14.1" customHeight="1"/>
    <row r="224" ht="14.1" customHeight="1"/>
    <row r="225" ht="14.1" customHeight="1"/>
    <row r="226" ht="14.1" customHeight="1"/>
    <row r="227" ht="14.1" customHeight="1"/>
    <row r="228" ht="14.1" customHeight="1"/>
    <row r="229" ht="14.1" customHeight="1"/>
    <row r="230" ht="14.1" customHeight="1"/>
    <row r="231" ht="14.1" customHeight="1"/>
    <row r="232" ht="14.1" customHeight="1"/>
    <row r="233" ht="14.1" customHeight="1"/>
    <row r="234" ht="14.1" customHeight="1"/>
    <row r="235" ht="14.1" customHeight="1"/>
    <row r="236" ht="14.1" customHeight="1"/>
    <row r="237" ht="14.1" customHeight="1"/>
    <row r="238" ht="14.1" customHeight="1"/>
    <row r="239" ht="14.1" customHeight="1"/>
    <row r="240" ht="14.1" customHeight="1"/>
    <row r="241" ht="14.1" customHeight="1"/>
    <row r="242" ht="14.1" customHeight="1"/>
    <row r="243" ht="14.1" customHeight="1"/>
    <row r="244" ht="14.1" customHeight="1"/>
    <row r="245" ht="14.1" customHeight="1"/>
    <row r="246" ht="14.1" customHeight="1"/>
    <row r="247" ht="14.1" customHeight="1"/>
    <row r="248" ht="14.1" customHeight="1"/>
    <row r="249" ht="14.1" customHeight="1"/>
    <row r="250" ht="14.1" customHeight="1"/>
    <row r="251" ht="14.1" customHeight="1"/>
    <row r="252" ht="14.1" customHeight="1"/>
    <row r="253" ht="14.1" customHeight="1"/>
    <row r="254" ht="14.1" customHeight="1"/>
    <row r="255" ht="14.1" customHeight="1"/>
    <row r="256" ht="14.1" customHeight="1"/>
    <row r="257" ht="14.1" customHeight="1"/>
    <row r="258" ht="14.1" customHeight="1"/>
    <row r="259" ht="14.1" customHeight="1"/>
    <row r="260" ht="14.1" customHeight="1"/>
    <row r="261" ht="14.1" customHeight="1"/>
    <row r="262" ht="14.1" customHeight="1"/>
    <row r="263" ht="14.1" customHeight="1"/>
    <row r="264" ht="14.1" customHeight="1"/>
    <row r="265" ht="14.1" customHeight="1"/>
    <row r="266" ht="14.1" customHeight="1"/>
    <row r="267" ht="14.1" customHeight="1"/>
    <row r="268" ht="14.1" customHeight="1"/>
    <row r="269" ht="14.1" customHeight="1"/>
    <row r="270" ht="14.1" customHeight="1"/>
    <row r="271" ht="14.1" customHeight="1"/>
    <row r="272" ht="14.1" customHeight="1"/>
    <row r="273" ht="14.1" customHeight="1"/>
    <row r="274" ht="14.1" customHeight="1"/>
    <row r="275" ht="14.1" customHeight="1"/>
    <row r="276" ht="14.1" customHeight="1"/>
    <row r="277" ht="14.1" customHeight="1"/>
    <row r="278" ht="14.1" customHeight="1"/>
  </sheetData>
  <sheetProtection password="F30F" sheet="1" objects="1" scenarios="1"/>
  <mergeCells count="101">
    <mergeCell ref="R108:T108"/>
    <mergeCell ref="J103:L103"/>
    <mergeCell ref="J105:L105"/>
    <mergeCell ref="J107:L107"/>
    <mergeCell ref="J106:L106"/>
    <mergeCell ref="F138:H138"/>
    <mergeCell ref="J115:L115"/>
    <mergeCell ref="J116:L116"/>
    <mergeCell ref="J117:L117"/>
    <mergeCell ref="J118:L118"/>
    <mergeCell ref="J119:L119"/>
    <mergeCell ref="J120:L120"/>
    <mergeCell ref="J136:L136"/>
    <mergeCell ref="F134:H134"/>
    <mergeCell ref="F135:H135"/>
    <mergeCell ref="F125:H125"/>
    <mergeCell ref="F126:H126"/>
    <mergeCell ref="F127:H127"/>
    <mergeCell ref="F137:H137"/>
    <mergeCell ref="F136:H136"/>
    <mergeCell ref="F129:H129"/>
    <mergeCell ref="F130:H130"/>
    <mergeCell ref="F131:H131"/>
    <mergeCell ref="F122:H122"/>
    <mergeCell ref="F113:H113"/>
    <mergeCell ref="J128:L128"/>
    <mergeCell ref="J129:L129"/>
    <mergeCell ref="F124:H124"/>
    <mergeCell ref="J122:L122"/>
    <mergeCell ref="J123:L123"/>
    <mergeCell ref="J124:L124"/>
    <mergeCell ref="F116:H116"/>
    <mergeCell ref="F117:H117"/>
    <mergeCell ref="F121:H121"/>
    <mergeCell ref="F128:H128"/>
    <mergeCell ref="F123:H123"/>
    <mergeCell ref="F115:H115"/>
    <mergeCell ref="K109:L109"/>
    <mergeCell ref="N114:P114"/>
    <mergeCell ref="J137:L137"/>
    <mergeCell ref="J130:L130"/>
    <mergeCell ref="J131:L131"/>
    <mergeCell ref="J132:L132"/>
    <mergeCell ref="J133:L133"/>
    <mergeCell ref="J125:L125"/>
    <mergeCell ref="J134:L134"/>
    <mergeCell ref="J135:L135"/>
    <mergeCell ref="N121:P121"/>
    <mergeCell ref="N122:P122"/>
    <mergeCell ref="J121:L121"/>
    <mergeCell ref="N117:P117"/>
    <mergeCell ref="N118:P118"/>
    <mergeCell ref="N119:P119"/>
    <mergeCell ref="F133:H133"/>
    <mergeCell ref="J126:L126"/>
    <mergeCell ref="J127:L127"/>
    <mergeCell ref="F132:H132"/>
    <mergeCell ref="J138:L138"/>
    <mergeCell ref="R7:V7"/>
    <mergeCell ref="Y10:AB10"/>
    <mergeCell ref="Y12:AB12"/>
    <mergeCell ref="Y20:AB20"/>
    <mergeCell ref="Y17:AB17"/>
    <mergeCell ref="N112:P112"/>
    <mergeCell ref="J108:L108"/>
    <mergeCell ref="J110:L110"/>
    <mergeCell ref="Y23:AB23"/>
    <mergeCell ref="C30:AC30"/>
    <mergeCell ref="C32:AC32"/>
    <mergeCell ref="C33:AC33"/>
    <mergeCell ref="C29:AC29"/>
    <mergeCell ref="Y27:AC27"/>
    <mergeCell ref="C34:AC34"/>
    <mergeCell ref="F114:H114"/>
    <mergeCell ref="J113:L113"/>
    <mergeCell ref="J114:L114"/>
    <mergeCell ref="R109:S109"/>
    <mergeCell ref="N138:P138"/>
    <mergeCell ref="F118:H118"/>
    <mergeCell ref="F119:H119"/>
    <mergeCell ref="F120:H120"/>
    <mergeCell ref="N140:P140"/>
    <mergeCell ref="N113:P113"/>
    <mergeCell ref="N134:P134"/>
    <mergeCell ref="N135:P135"/>
    <mergeCell ref="N136:P136"/>
    <mergeCell ref="N137:P137"/>
    <mergeCell ref="N130:P130"/>
    <mergeCell ref="N131:P131"/>
    <mergeCell ref="N132:P132"/>
    <mergeCell ref="N120:P120"/>
    <mergeCell ref="N123:P123"/>
    <mergeCell ref="N124:P124"/>
    <mergeCell ref="N125:P125"/>
    <mergeCell ref="N133:P133"/>
    <mergeCell ref="N126:P126"/>
    <mergeCell ref="N127:P127"/>
    <mergeCell ref="N128:P128"/>
    <mergeCell ref="N129:P129"/>
    <mergeCell ref="N115:P115"/>
    <mergeCell ref="N116:P116"/>
  </mergeCells>
  <phoneticPr fontId="42" type="noConversion"/>
  <conditionalFormatting sqref="AI112:AI139">
    <cfRule type="expression" dxfId="36" priority="1" stopIfTrue="1">
      <formula>J112&gt;0</formula>
    </cfRule>
  </conditionalFormatting>
  <conditionalFormatting sqref="J113:L138">
    <cfRule type="expression" dxfId="35" priority="2" stopIfTrue="1">
      <formula>J113&gt;0</formula>
    </cfRule>
  </conditionalFormatting>
  <conditionalFormatting sqref="C20:AB20 C23:AB23 C17:AB17 C10:AC10 Y12:AC12">
    <cfRule type="expression" dxfId="34" priority="3" stopIfTrue="1">
      <formula>$Y$10&lt;0</formula>
    </cfRule>
  </conditionalFormatting>
  <pageMargins left="0.78740157480314965" right="0.78740157480314965" top="0.98425196850393704" bottom="0.98425196850393704" header="0.51181102362204722" footer="0.51181102362204722"/>
  <pageSetup paperSize="9" scale="76" orientation="portrait" r:id="rId1"/>
  <headerFooter alignWithMargins="0">
    <oddFooter>&amp;L&amp;8LEL Schwäbisch Gmünd; Abt. IV; LLM (WS)&amp;C&amp;8&amp;F&amp;R&amp;8Stand: August 2014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/>
  <dimension ref="A1:S152"/>
  <sheetViews>
    <sheetView showGridLines="0" showZeros="0" zoomScale="90" zoomScaleNormal="90" workbookViewId="0">
      <pane ySplit="10" topLeftCell="A11" activePane="bottomLeft" state="frozen"/>
      <selection activeCell="AS1" sqref="AS1"/>
      <selection pane="bottomLeft" activeCell="A11" sqref="A11"/>
    </sheetView>
  </sheetViews>
  <sheetFormatPr baseColWidth="10" defaultColWidth="3.7109375" defaultRowHeight="12.75"/>
  <cols>
    <col min="1" max="1" width="1.85546875" customWidth="1"/>
  </cols>
  <sheetData>
    <row r="1" spans="1:19" ht="3.2" customHeight="1"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</row>
    <row r="2" spans="1:19" ht="3.2" customHeight="1"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</row>
    <row r="3" spans="1:19" ht="12.75" customHeight="1">
      <c r="B3" s="13"/>
      <c r="C3" s="7" t="str">
        <f>Kalkulation!F92</f>
        <v>Darlehen 1</v>
      </c>
      <c r="D3" s="7"/>
      <c r="E3" s="7"/>
      <c r="F3" s="7"/>
      <c r="G3" s="15" t="s">
        <v>400</v>
      </c>
      <c r="H3" s="13"/>
      <c r="I3" s="2075">
        <f>Kalkulation!O92</f>
        <v>0</v>
      </c>
      <c r="J3" s="2075"/>
      <c r="K3" s="2075"/>
      <c r="L3" s="13" t="s">
        <v>380</v>
      </c>
      <c r="M3" s="15" t="s">
        <v>419</v>
      </c>
      <c r="N3" s="13"/>
      <c r="O3" s="13"/>
      <c r="P3" s="13"/>
      <c r="Q3" s="7">
        <f>IF(Kalkulation!R92="A",0,Kalkulation!S92)</f>
        <v>0</v>
      </c>
      <c r="R3" s="13" t="s">
        <v>377</v>
      </c>
      <c r="S3" s="13"/>
    </row>
    <row r="4" spans="1:19" ht="3.2" customHeight="1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5"/>
      <c r="N4" s="13"/>
      <c r="O4" s="13"/>
      <c r="P4" s="13"/>
      <c r="Q4" s="13"/>
      <c r="R4" s="13"/>
      <c r="S4" s="13"/>
    </row>
    <row r="5" spans="1:19" ht="12.75" customHeight="1">
      <c r="B5" s="13"/>
      <c r="C5" s="7">
        <f>Kalkulation!J92</f>
        <v>0</v>
      </c>
      <c r="D5" s="7"/>
      <c r="E5" s="7"/>
      <c r="F5" s="7"/>
      <c r="G5" s="13"/>
      <c r="H5" s="13"/>
      <c r="I5" s="13"/>
      <c r="J5" s="13"/>
      <c r="K5" s="13"/>
      <c r="L5" s="13"/>
      <c r="M5" s="15" t="s">
        <v>401</v>
      </c>
      <c r="N5" s="13"/>
      <c r="O5" s="13"/>
      <c r="P5" s="2076">
        <f>Kalkulation!T92</f>
        <v>0</v>
      </c>
      <c r="Q5" s="2076"/>
      <c r="R5" s="13" t="s">
        <v>381</v>
      </c>
      <c r="S5" s="13"/>
    </row>
    <row r="6" spans="1:19" ht="3.2" customHeight="1"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5"/>
      <c r="N6" s="13"/>
      <c r="O6" s="13"/>
      <c r="P6" s="13"/>
      <c r="Q6" s="13"/>
      <c r="R6" s="13"/>
      <c r="S6" s="13"/>
    </row>
    <row r="7" spans="1:19" ht="12.75" customHeight="1">
      <c r="B7" s="13"/>
      <c r="C7" s="15" t="s">
        <v>418</v>
      </c>
      <c r="D7" s="13"/>
      <c r="E7" s="13"/>
      <c r="F7" s="13"/>
      <c r="G7" s="13"/>
      <c r="H7" s="13"/>
      <c r="I7" s="13"/>
      <c r="J7" s="13"/>
      <c r="K7" s="13"/>
      <c r="L7" s="13"/>
      <c r="M7" s="15" t="s">
        <v>420</v>
      </c>
      <c r="N7" s="13"/>
      <c r="O7" s="13"/>
      <c r="P7" s="2077">
        <f>Kalkulation!V92*Kalkulation!O92/100</f>
        <v>0</v>
      </c>
      <c r="Q7" s="2077"/>
      <c r="R7" s="13" t="s">
        <v>380</v>
      </c>
      <c r="S7" s="13"/>
    </row>
    <row r="8" spans="1:19" ht="3.2" customHeight="1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5"/>
      <c r="N8" s="13"/>
      <c r="O8" s="13"/>
      <c r="P8" s="13"/>
      <c r="Q8" s="13"/>
      <c r="R8" s="13"/>
      <c r="S8" s="13"/>
    </row>
    <row r="9" spans="1:19" ht="12.75" customHeight="1">
      <c r="B9" s="13"/>
      <c r="C9" s="7"/>
      <c r="D9" s="7"/>
      <c r="E9" s="7"/>
      <c r="F9" s="7"/>
      <c r="G9" s="7"/>
      <c r="H9" s="7"/>
      <c r="I9" s="14" t="str">
        <f>IF(Kalkulation!R92="a","Annuitätendarlehen","Raten-oder Tilgungsdarlehen")</f>
        <v>Raten-oder Tilgungsdarlehen</v>
      </c>
      <c r="J9" s="13"/>
      <c r="K9" s="13"/>
      <c r="L9" s="13"/>
      <c r="M9" s="15" t="s">
        <v>421</v>
      </c>
      <c r="N9" s="13"/>
      <c r="O9" s="13"/>
      <c r="P9" s="13"/>
      <c r="Q9" s="7">
        <f>Kalkulation!X92</f>
        <v>0</v>
      </c>
      <c r="R9" s="13" t="str">
        <f>IF(Q9=1,"Jahr","Jahre")</f>
        <v>Jahre</v>
      </c>
      <c r="S9" s="13"/>
    </row>
    <row r="10" spans="1:19" ht="3.2" customHeight="1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</row>
    <row r="11" spans="1:19" ht="3.2" customHeight="1">
      <c r="A11" s="8"/>
      <c r="B11" s="11"/>
      <c r="C11" s="11"/>
      <c r="D11" s="2063" t="s">
        <v>416</v>
      </c>
      <c r="E11" s="2064"/>
      <c r="F11" s="2065"/>
      <c r="G11" s="2063" t="s">
        <v>415</v>
      </c>
      <c r="H11" s="2064"/>
      <c r="I11" s="2065"/>
      <c r="J11" s="2063" t="s">
        <v>375</v>
      </c>
      <c r="K11" s="2064"/>
      <c r="L11" s="2065"/>
      <c r="M11" s="2063" t="s">
        <v>376</v>
      </c>
      <c r="N11" s="2064"/>
      <c r="O11" s="2065"/>
      <c r="P11" s="2063" t="s">
        <v>417</v>
      </c>
      <c r="Q11" s="2064"/>
      <c r="R11" s="2065"/>
      <c r="S11" s="11"/>
    </row>
    <row r="12" spans="1:19" ht="3.2" customHeight="1">
      <c r="B12" s="11"/>
      <c r="C12" s="11"/>
      <c r="D12" s="2066"/>
      <c r="E12" s="2067"/>
      <c r="F12" s="2068"/>
      <c r="G12" s="2066"/>
      <c r="H12" s="2067"/>
      <c r="I12" s="2068"/>
      <c r="J12" s="2066"/>
      <c r="K12" s="2067"/>
      <c r="L12" s="2068"/>
      <c r="M12" s="2066"/>
      <c r="N12" s="2067"/>
      <c r="O12" s="2068"/>
      <c r="P12" s="2066"/>
      <c r="Q12" s="2067"/>
      <c r="R12" s="2068"/>
      <c r="S12" s="11"/>
    </row>
    <row r="13" spans="1:19">
      <c r="B13" s="11"/>
      <c r="C13" s="11"/>
      <c r="D13" s="2066"/>
      <c r="E13" s="2067"/>
      <c r="F13" s="2068"/>
      <c r="G13" s="2066"/>
      <c r="H13" s="2067"/>
      <c r="I13" s="2068"/>
      <c r="J13" s="2066"/>
      <c r="K13" s="2067"/>
      <c r="L13" s="2068"/>
      <c r="M13" s="2066"/>
      <c r="N13" s="2067"/>
      <c r="O13" s="2068"/>
      <c r="P13" s="2066"/>
      <c r="Q13" s="2067"/>
      <c r="R13" s="2068"/>
      <c r="S13" s="11"/>
    </row>
    <row r="14" spans="1:19" ht="3.2" customHeight="1">
      <c r="B14" s="11"/>
      <c r="C14" s="11"/>
      <c r="D14" s="2066"/>
      <c r="E14" s="2067"/>
      <c r="F14" s="2068"/>
      <c r="G14" s="2066"/>
      <c r="H14" s="2067"/>
      <c r="I14" s="2068"/>
      <c r="J14" s="2066"/>
      <c r="K14" s="2067"/>
      <c r="L14" s="2068"/>
      <c r="M14" s="2066"/>
      <c r="N14" s="2067"/>
      <c r="O14" s="2068"/>
      <c r="P14" s="2066"/>
      <c r="Q14" s="2067"/>
      <c r="R14" s="2068"/>
      <c r="S14" s="11"/>
    </row>
    <row r="15" spans="1:19">
      <c r="B15" s="11"/>
      <c r="C15" s="11"/>
      <c r="D15" s="2066"/>
      <c r="E15" s="2067"/>
      <c r="F15" s="2068"/>
      <c r="G15" s="2066"/>
      <c r="H15" s="2067"/>
      <c r="I15" s="2068"/>
      <c r="J15" s="2066"/>
      <c r="K15" s="2067"/>
      <c r="L15" s="2068"/>
      <c r="M15" s="2066"/>
      <c r="N15" s="2067"/>
      <c r="O15" s="2068"/>
      <c r="P15" s="2066"/>
      <c r="Q15" s="2067"/>
      <c r="R15" s="2068"/>
      <c r="S15" s="11"/>
    </row>
    <row r="16" spans="1:19" ht="3.2" customHeight="1">
      <c r="B16" s="11"/>
      <c r="C16" s="11"/>
      <c r="D16" s="2066"/>
      <c r="E16" s="2067"/>
      <c r="F16" s="2068"/>
      <c r="G16" s="2066"/>
      <c r="H16" s="2067"/>
      <c r="I16" s="2068"/>
      <c r="J16" s="2066"/>
      <c r="K16" s="2067"/>
      <c r="L16" s="2068"/>
      <c r="M16" s="2066"/>
      <c r="N16" s="2067"/>
      <c r="O16" s="2068"/>
      <c r="P16" s="2066"/>
      <c r="Q16" s="2067"/>
      <c r="R16" s="2068"/>
      <c r="S16" s="11"/>
    </row>
    <row r="17" spans="2:19">
      <c r="B17" s="11"/>
      <c r="C17" s="2062" t="s">
        <v>391</v>
      </c>
      <c r="D17" s="2066"/>
      <c r="E17" s="2067"/>
      <c r="F17" s="2068"/>
      <c r="G17" s="2066"/>
      <c r="H17" s="2067"/>
      <c r="I17" s="2068"/>
      <c r="J17" s="2066"/>
      <c r="K17" s="2067"/>
      <c r="L17" s="2068"/>
      <c r="M17" s="2066"/>
      <c r="N17" s="2067"/>
      <c r="O17" s="2068"/>
      <c r="P17" s="2066"/>
      <c r="Q17" s="2067"/>
      <c r="R17" s="2068"/>
      <c r="S17" s="11"/>
    </row>
    <row r="18" spans="2:19" ht="3.2" customHeight="1">
      <c r="B18" s="11"/>
      <c r="C18" s="2062"/>
      <c r="D18" s="2066"/>
      <c r="E18" s="2067"/>
      <c r="F18" s="2068"/>
      <c r="G18" s="2066"/>
      <c r="H18" s="2067"/>
      <c r="I18" s="2068"/>
      <c r="J18" s="2066"/>
      <c r="K18" s="2067"/>
      <c r="L18" s="2068"/>
      <c r="M18" s="2066"/>
      <c r="N18" s="2067"/>
      <c r="O18" s="2068"/>
      <c r="P18" s="2066"/>
      <c r="Q18" s="2067"/>
      <c r="R18" s="2068"/>
      <c r="S18" s="11"/>
    </row>
    <row r="19" spans="2:19" ht="12.75" customHeight="1">
      <c r="B19" s="11"/>
      <c r="C19" s="2062"/>
      <c r="D19" s="2066"/>
      <c r="E19" s="2067"/>
      <c r="F19" s="2068"/>
      <c r="G19" s="2066"/>
      <c r="H19" s="2067"/>
      <c r="I19" s="2068"/>
      <c r="J19" s="2066"/>
      <c r="K19" s="2067"/>
      <c r="L19" s="2068"/>
      <c r="M19" s="2066"/>
      <c r="N19" s="2067"/>
      <c r="O19" s="2068"/>
      <c r="P19" s="2066"/>
      <c r="Q19" s="2067"/>
      <c r="R19" s="2068"/>
      <c r="S19" s="11"/>
    </row>
    <row r="20" spans="2:19" ht="3.2" customHeight="1">
      <c r="B20" s="11"/>
      <c r="C20" s="2062"/>
      <c r="D20" s="2066"/>
      <c r="E20" s="2067"/>
      <c r="F20" s="2068"/>
      <c r="G20" s="2066"/>
      <c r="H20" s="2067"/>
      <c r="I20" s="2068"/>
      <c r="J20" s="2066"/>
      <c r="K20" s="2067"/>
      <c r="L20" s="2068"/>
      <c r="M20" s="2066"/>
      <c r="N20" s="2067"/>
      <c r="O20" s="2068"/>
      <c r="P20" s="2066"/>
      <c r="Q20" s="2067"/>
      <c r="R20" s="2068"/>
      <c r="S20" s="11"/>
    </row>
    <row r="21" spans="2:19">
      <c r="B21" s="11"/>
      <c r="C21" s="11"/>
      <c r="D21" s="16"/>
      <c r="E21" s="3"/>
      <c r="F21" s="17"/>
      <c r="G21" s="16"/>
      <c r="H21" s="3"/>
      <c r="I21" s="17"/>
      <c r="J21" s="16"/>
      <c r="K21" s="3"/>
      <c r="L21" s="17"/>
      <c r="M21" s="16"/>
      <c r="N21" s="3"/>
      <c r="O21" s="17"/>
      <c r="P21" s="16"/>
      <c r="Q21" s="3"/>
      <c r="R21" s="17"/>
      <c r="S21" s="11"/>
    </row>
    <row r="22" spans="2:19" ht="3.2" customHeight="1">
      <c r="B22" s="11"/>
      <c r="C22" s="7"/>
      <c r="D22" s="6"/>
      <c r="E22" s="4"/>
      <c r="F22" s="18"/>
      <c r="G22" s="6"/>
      <c r="H22" s="4"/>
      <c r="I22" s="18"/>
      <c r="J22" s="6"/>
      <c r="K22" s="4"/>
      <c r="L22" s="18"/>
      <c r="M22" s="6"/>
      <c r="N22" s="4"/>
      <c r="O22" s="18"/>
      <c r="P22" s="6"/>
      <c r="Q22" s="4"/>
      <c r="R22" s="18"/>
      <c r="S22" s="11"/>
    </row>
    <row r="23" spans="2:19">
      <c r="B23" s="11"/>
      <c r="C23" s="12" t="str">
        <f>IF(D23&gt;0,Kalkulation!BD338,"")</f>
        <v/>
      </c>
      <c r="D23" s="2069">
        <f>Kalkulation!BH338</f>
        <v>0</v>
      </c>
      <c r="E23" s="2070"/>
      <c r="F23" s="2071"/>
      <c r="G23" s="2069">
        <f>Kalkulation!BR349</f>
        <v>0</v>
      </c>
      <c r="H23" s="2070"/>
      <c r="I23" s="2071"/>
      <c r="J23" s="2069">
        <f>SUM(Kalkulation!BO338:BO349)</f>
        <v>0</v>
      </c>
      <c r="K23" s="2070"/>
      <c r="L23" s="2071"/>
      <c r="M23" s="2069">
        <f>SUM(Kalkulation!BL338:BL349)</f>
        <v>0</v>
      </c>
      <c r="N23" s="2070"/>
      <c r="O23" s="2071"/>
      <c r="P23" s="2069">
        <f>J23+M23</f>
        <v>0</v>
      </c>
      <c r="Q23" s="2070"/>
      <c r="R23" s="2071"/>
      <c r="S23" s="11"/>
    </row>
    <row r="24" spans="2:19" ht="3.2" customHeight="1">
      <c r="B24" s="11"/>
      <c r="C24" s="2"/>
      <c r="D24" s="5"/>
      <c r="E24" s="1"/>
      <c r="F24" s="19"/>
      <c r="G24" s="5"/>
      <c r="H24" s="1"/>
      <c r="I24" s="19"/>
      <c r="J24" s="5"/>
      <c r="K24" s="1"/>
      <c r="L24" s="19"/>
      <c r="M24" s="5"/>
      <c r="N24" s="1"/>
      <c r="O24" s="19"/>
      <c r="P24" s="5"/>
      <c r="Q24" s="1"/>
      <c r="R24" s="19"/>
      <c r="S24" s="11"/>
    </row>
    <row r="25" spans="2:19">
      <c r="B25" s="11"/>
      <c r="C25" s="12" t="str">
        <f>IF(D25&gt;0,Kalkulation!BD350,"")</f>
        <v/>
      </c>
      <c r="D25" s="2069">
        <f>Kalkulation!BH350</f>
        <v>0</v>
      </c>
      <c r="E25" s="2070"/>
      <c r="F25" s="2071"/>
      <c r="G25" s="2069">
        <f>Kalkulation!BR361</f>
        <v>0</v>
      </c>
      <c r="H25" s="2070"/>
      <c r="I25" s="2071"/>
      <c r="J25" s="2069">
        <f>SUM(Kalkulation!BO350:BO361)</f>
        <v>0</v>
      </c>
      <c r="K25" s="2070"/>
      <c r="L25" s="2071"/>
      <c r="M25" s="2069">
        <f>SUM(Kalkulation!BL350:BL361)</f>
        <v>0</v>
      </c>
      <c r="N25" s="2070"/>
      <c r="O25" s="2071"/>
      <c r="P25" s="2069">
        <f>J25+M25</f>
        <v>0</v>
      </c>
      <c r="Q25" s="2070"/>
      <c r="R25" s="2071"/>
      <c r="S25" s="11"/>
    </row>
    <row r="26" spans="2:19" ht="3.2" customHeight="1">
      <c r="B26" s="11"/>
      <c r="C26" s="2"/>
      <c r="D26" s="5"/>
      <c r="E26" s="1"/>
      <c r="F26" s="19"/>
      <c r="G26" s="5"/>
      <c r="H26" s="1"/>
      <c r="I26" s="19"/>
      <c r="J26" s="5"/>
      <c r="K26" s="1"/>
      <c r="L26" s="19"/>
      <c r="M26" s="5"/>
      <c r="N26" s="1"/>
      <c r="O26" s="19"/>
      <c r="P26" s="5"/>
      <c r="Q26" s="1"/>
      <c r="R26" s="19"/>
      <c r="S26" s="11"/>
    </row>
    <row r="27" spans="2:19">
      <c r="B27" s="11"/>
      <c r="C27" s="12" t="str">
        <f>IF(D27&gt;0,Kalkulation!BD362,"")</f>
        <v/>
      </c>
      <c r="D27" s="2069">
        <f>Kalkulation!BH362</f>
        <v>0</v>
      </c>
      <c r="E27" s="2070"/>
      <c r="F27" s="2071"/>
      <c r="G27" s="2069">
        <f>Kalkulation!BR373</f>
        <v>0</v>
      </c>
      <c r="H27" s="2070"/>
      <c r="I27" s="2071"/>
      <c r="J27" s="2069">
        <f>SUM(Kalkulation!BO362:BO373)</f>
        <v>0</v>
      </c>
      <c r="K27" s="2070"/>
      <c r="L27" s="2071"/>
      <c r="M27" s="2069">
        <f>SUM(Kalkulation!BL362:BL373)</f>
        <v>0</v>
      </c>
      <c r="N27" s="2070"/>
      <c r="O27" s="2071"/>
      <c r="P27" s="2069">
        <f>J27+M27</f>
        <v>0</v>
      </c>
      <c r="Q27" s="2070"/>
      <c r="R27" s="2071"/>
      <c r="S27" s="11"/>
    </row>
    <row r="28" spans="2:19" ht="3.2" customHeight="1">
      <c r="B28" s="11"/>
      <c r="C28" s="2"/>
      <c r="D28" s="5"/>
      <c r="E28" s="1"/>
      <c r="F28" s="19"/>
      <c r="G28" s="5"/>
      <c r="H28" s="1"/>
      <c r="I28" s="19"/>
      <c r="J28" s="5"/>
      <c r="K28" s="1"/>
      <c r="L28" s="19"/>
      <c r="M28" s="5"/>
      <c r="N28" s="1"/>
      <c r="O28" s="19"/>
      <c r="P28" s="5"/>
      <c r="Q28" s="1"/>
      <c r="R28" s="19"/>
      <c r="S28" s="11"/>
    </row>
    <row r="29" spans="2:19">
      <c r="B29" s="11"/>
      <c r="C29" s="12" t="str">
        <f>IF(D29&gt;0,Kalkulation!BD374,"")</f>
        <v/>
      </c>
      <c r="D29" s="2069">
        <f>Kalkulation!BH374</f>
        <v>0</v>
      </c>
      <c r="E29" s="2070"/>
      <c r="F29" s="2071"/>
      <c r="G29" s="2069">
        <f>Kalkulation!BR385</f>
        <v>0</v>
      </c>
      <c r="H29" s="2070"/>
      <c r="I29" s="2071"/>
      <c r="J29" s="2069">
        <f>SUM(Kalkulation!BO374:BO385)</f>
        <v>0</v>
      </c>
      <c r="K29" s="2070"/>
      <c r="L29" s="2071"/>
      <c r="M29" s="2069">
        <f>SUM(Kalkulation!BL374:BL385)</f>
        <v>0</v>
      </c>
      <c r="N29" s="2070"/>
      <c r="O29" s="2071"/>
      <c r="P29" s="2069">
        <f>J29+M29</f>
        <v>0</v>
      </c>
      <c r="Q29" s="2070"/>
      <c r="R29" s="2071"/>
      <c r="S29" s="11"/>
    </row>
    <row r="30" spans="2:19" ht="3.2" customHeight="1">
      <c r="B30" s="11"/>
      <c r="C30" s="2"/>
      <c r="D30" s="5"/>
      <c r="E30" s="1"/>
      <c r="F30" s="19"/>
      <c r="G30" s="5"/>
      <c r="H30" s="1"/>
      <c r="I30" s="19"/>
      <c r="J30" s="5"/>
      <c r="K30" s="1"/>
      <c r="L30" s="19"/>
      <c r="M30" s="5"/>
      <c r="N30" s="1"/>
      <c r="O30" s="19"/>
      <c r="P30" s="5"/>
      <c r="Q30" s="1"/>
      <c r="R30" s="19"/>
      <c r="S30" s="11"/>
    </row>
    <row r="31" spans="2:19">
      <c r="B31" s="11"/>
      <c r="C31" s="12" t="str">
        <f>IF(D31&gt;0,Kalkulation!BD386,"")</f>
        <v/>
      </c>
      <c r="D31" s="2069">
        <f>Kalkulation!BH386</f>
        <v>0</v>
      </c>
      <c r="E31" s="2070">
        <f>Kalkulation!BH388</f>
        <v>0</v>
      </c>
      <c r="F31" s="2071"/>
      <c r="G31" s="2069">
        <f>Kalkulation!BR397</f>
        <v>0</v>
      </c>
      <c r="H31" s="2070"/>
      <c r="I31" s="2071"/>
      <c r="J31" s="2069">
        <f>SUM(Kalkulation!BO386:BO397)</f>
        <v>0</v>
      </c>
      <c r="K31" s="2070"/>
      <c r="L31" s="2071"/>
      <c r="M31" s="2069">
        <f>SUM(Kalkulation!BL386:BL397)</f>
        <v>0</v>
      </c>
      <c r="N31" s="2070"/>
      <c r="O31" s="2071"/>
      <c r="P31" s="2069">
        <f>J31+M31</f>
        <v>0</v>
      </c>
      <c r="Q31" s="2070"/>
      <c r="R31" s="2071"/>
      <c r="S31" s="11"/>
    </row>
    <row r="32" spans="2:19" ht="3.2" customHeight="1">
      <c r="B32" s="11"/>
      <c r="C32" s="2"/>
      <c r="D32" s="5"/>
      <c r="E32" s="1"/>
      <c r="F32" s="19"/>
      <c r="G32" s="5"/>
      <c r="H32" s="1"/>
      <c r="I32" s="19"/>
      <c r="J32" s="5"/>
      <c r="K32" s="1"/>
      <c r="L32" s="19"/>
      <c r="M32" s="5"/>
      <c r="N32" s="1"/>
      <c r="O32" s="19"/>
      <c r="P32" s="5"/>
      <c r="Q32" s="1"/>
      <c r="R32" s="19"/>
      <c r="S32" s="11"/>
    </row>
    <row r="33" spans="2:19" ht="12.75" customHeight="1">
      <c r="B33" s="11"/>
      <c r="C33" s="12" t="str">
        <f>IF(D33&gt;0,Kalkulation!BD398,"")</f>
        <v/>
      </c>
      <c r="D33" s="2069">
        <f>Kalkulation!BH398</f>
        <v>0</v>
      </c>
      <c r="E33" s="2070"/>
      <c r="F33" s="2071"/>
      <c r="G33" s="2069">
        <f>Kalkulation!BR409</f>
        <v>0</v>
      </c>
      <c r="H33" s="2070"/>
      <c r="I33" s="2071"/>
      <c r="J33" s="2069">
        <f>SUM(Kalkulation!BO398:BO409)</f>
        <v>0</v>
      </c>
      <c r="K33" s="2070"/>
      <c r="L33" s="2071"/>
      <c r="M33" s="2069">
        <f>SUM(Kalkulation!BL398:BL409)</f>
        <v>0</v>
      </c>
      <c r="N33" s="2070"/>
      <c r="O33" s="2071"/>
      <c r="P33" s="2069">
        <f>J33+M33</f>
        <v>0</v>
      </c>
      <c r="Q33" s="2070"/>
      <c r="R33" s="2071"/>
      <c r="S33" s="11"/>
    </row>
    <row r="34" spans="2:19" ht="3.2" customHeight="1">
      <c r="B34" s="11"/>
      <c r="C34" s="2"/>
      <c r="D34" s="5"/>
      <c r="E34" s="1"/>
      <c r="F34" s="19"/>
      <c r="G34" s="5"/>
      <c r="H34" s="1"/>
      <c r="I34" s="19"/>
      <c r="J34" s="5"/>
      <c r="K34" s="1"/>
      <c r="L34" s="19"/>
      <c r="M34" s="5"/>
      <c r="N34" s="1"/>
      <c r="O34" s="19"/>
      <c r="P34" s="5"/>
      <c r="Q34" s="1"/>
      <c r="R34" s="19"/>
      <c r="S34" s="11"/>
    </row>
    <row r="35" spans="2:19">
      <c r="B35" s="11"/>
      <c r="C35" s="12" t="str">
        <f>IF(D35&gt;0,Kalkulation!BD410,"")</f>
        <v/>
      </c>
      <c r="D35" s="2069">
        <f>Kalkulation!BH410</f>
        <v>0</v>
      </c>
      <c r="E35" s="2070"/>
      <c r="F35" s="2071"/>
      <c r="G35" s="2069">
        <f>Kalkulation!BR421</f>
        <v>0</v>
      </c>
      <c r="H35" s="2070"/>
      <c r="I35" s="2071"/>
      <c r="J35" s="2069">
        <f>SUM(Kalkulation!BO410:BO421)</f>
        <v>0</v>
      </c>
      <c r="K35" s="2070"/>
      <c r="L35" s="2071"/>
      <c r="M35" s="2069">
        <f>SUM(Kalkulation!BL410:BL421)</f>
        <v>0</v>
      </c>
      <c r="N35" s="2070"/>
      <c r="O35" s="2071"/>
      <c r="P35" s="2069">
        <f>J35+M35</f>
        <v>0</v>
      </c>
      <c r="Q35" s="2070"/>
      <c r="R35" s="2071"/>
      <c r="S35" s="11"/>
    </row>
    <row r="36" spans="2:19" ht="3.2" customHeight="1">
      <c r="B36" s="11"/>
      <c r="C36" s="2"/>
      <c r="D36" s="5"/>
      <c r="E36" s="1"/>
      <c r="F36" s="19"/>
      <c r="G36" s="5"/>
      <c r="H36" s="1"/>
      <c r="I36" s="19"/>
      <c r="J36" s="5"/>
      <c r="K36" s="1"/>
      <c r="L36" s="19"/>
      <c r="M36" s="5"/>
      <c r="N36" s="1"/>
      <c r="O36" s="19"/>
      <c r="P36" s="5"/>
      <c r="Q36" s="1"/>
      <c r="R36" s="19"/>
      <c r="S36" s="11"/>
    </row>
    <row r="37" spans="2:19">
      <c r="B37" s="11"/>
      <c r="C37" s="12" t="str">
        <f>IF(D37&gt;0,Kalkulation!BD422,"")</f>
        <v/>
      </c>
      <c r="D37" s="2069">
        <f>Kalkulation!BH422</f>
        <v>0</v>
      </c>
      <c r="E37" s="2070"/>
      <c r="F37" s="2071"/>
      <c r="G37" s="2069">
        <f>Kalkulation!BR433</f>
        <v>0</v>
      </c>
      <c r="H37" s="2070"/>
      <c r="I37" s="2071"/>
      <c r="J37" s="2069">
        <f>SUM(Kalkulation!BO422:BO433)</f>
        <v>0</v>
      </c>
      <c r="K37" s="2070"/>
      <c r="L37" s="2071"/>
      <c r="M37" s="2069">
        <f>SUM(Kalkulation!BL422:BL433)</f>
        <v>0</v>
      </c>
      <c r="N37" s="2070"/>
      <c r="O37" s="2071"/>
      <c r="P37" s="2069">
        <f>J37+M37</f>
        <v>0</v>
      </c>
      <c r="Q37" s="2070"/>
      <c r="R37" s="2071"/>
      <c r="S37" s="11"/>
    </row>
    <row r="38" spans="2:19" ht="3.2" customHeight="1">
      <c r="B38" s="11"/>
      <c r="C38" s="2"/>
      <c r="D38" s="5"/>
      <c r="E38" s="1"/>
      <c r="F38" s="19"/>
      <c r="G38" s="5"/>
      <c r="H38" s="1"/>
      <c r="I38" s="19"/>
      <c r="J38" s="5"/>
      <c r="K38" s="1"/>
      <c r="L38" s="19"/>
      <c r="M38" s="5"/>
      <c r="N38" s="1"/>
      <c r="O38" s="19"/>
      <c r="P38" s="5"/>
      <c r="Q38" s="1"/>
      <c r="R38" s="19"/>
      <c r="S38" s="11"/>
    </row>
    <row r="39" spans="2:19" ht="12.75" customHeight="1">
      <c r="B39" s="11"/>
      <c r="C39" s="12" t="str">
        <f>IF(D39&gt;0,Kalkulation!BD434,"")</f>
        <v/>
      </c>
      <c r="D39" s="2069">
        <f>Kalkulation!BH434</f>
        <v>0</v>
      </c>
      <c r="E39" s="2070"/>
      <c r="F39" s="2071"/>
      <c r="G39" s="2069">
        <f>Kalkulation!BR445</f>
        <v>0</v>
      </c>
      <c r="H39" s="2070"/>
      <c r="I39" s="2071"/>
      <c r="J39" s="2069">
        <f>SUM(Kalkulation!BO434:BO445)</f>
        <v>0</v>
      </c>
      <c r="K39" s="2070"/>
      <c r="L39" s="2071"/>
      <c r="M39" s="2069">
        <f>SUM(Kalkulation!BL434:BL445)</f>
        <v>0</v>
      </c>
      <c r="N39" s="2070"/>
      <c r="O39" s="2071"/>
      <c r="P39" s="2069">
        <f>J39+M39</f>
        <v>0</v>
      </c>
      <c r="Q39" s="2070"/>
      <c r="R39" s="2071"/>
      <c r="S39" s="11"/>
    </row>
    <row r="40" spans="2:19" ht="3.2" customHeight="1">
      <c r="B40" s="11"/>
      <c r="C40" s="2"/>
      <c r="D40" s="5"/>
      <c r="E40" s="1"/>
      <c r="F40" s="19"/>
      <c r="G40" s="5"/>
      <c r="H40" s="1"/>
      <c r="I40" s="19"/>
      <c r="J40" s="5"/>
      <c r="K40" s="1"/>
      <c r="L40" s="19"/>
      <c r="M40" s="5"/>
      <c r="N40" s="1"/>
      <c r="O40" s="19"/>
      <c r="P40" s="5"/>
      <c r="Q40" s="1"/>
      <c r="R40" s="19"/>
      <c r="S40" s="11"/>
    </row>
    <row r="41" spans="2:19" ht="12.75" customHeight="1">
      <c r="B41" s="11"/>
      <c r="C41" s="12" t="str">
        <f>IF(D41&gt;0,Kalkulation!BD446,"")</f>
        <v/>
      </c>
      <c r="D41" s="2069">
        <f>Kalkulation!BH446</f>
        <v>0</v>
      </c>
      <c r="E41" s="2070"/>
      <c r="F41" s="2071"/>
      <c r="G41" s="2069">
        <f>Kalkulation!BR457</f>
        <v>0</v>
      </c>
      <c r="H41" s="2070"/>
      <c r="I41" s="2071"/>
      <c r="J41" s="2069">
        <f>SUM(Kalkulation!BO446:BO457)</f>
        <v>0</v>
      </c>
      <c r="K41" s="2070"/>
      <c r="L41" s="2071"/>
      <c r="M41" s="2069">
        <f>SUM(Kalkulation!BL446:BL457)</f>
        <v>0</v>
      </c>
      <c r="N41" s="2070"/>
      <c r="O41" s="2071"/>
      <c r="P41" s="2069">
        <f>J41+M41</f>
        <v>0</v>
      </c>
      <c r="Q41" s="2070"/>
      <c r="R41" s="2071"/>
      <c r="S41" s="11"/>
    </row>
    <row r="42" spans="2:19" ht="3.2" customHeight="1">
      <c r="B42" s="11"/>
      <c r="C42" s="2"/>
      <c r="D42" s="5"/>
      <c r="E42" s="1"/>
      <c r="F42" s="19"/>
      <c r="G42" s="5"/>
      <c r="H42" s="1"/>
      <c r="I42" s="19"/>
      <c r="J42" s="5"/>
      <c r="K42" s="1"/>
      <c r="L42" s="19"/>
      <c r="M42" s="5"/>
      <c r="N42" s="1"/>
      <c r="O42" s="19"/>
      <c r="P42" s="5"/>
      <c r="Q42" s="1"/>
      <c r="R42" s="19"/>
      <c r="S42" s="11"/>
    </row>
    <row r="43" spans="2:19" ht="12.75" customHeight="1">
      <c r="B43" s="11"/>
      <c r="C43" s="12" t="str">
        <f>IF(D43&gt;0,Kalkulation!BD458,"")</f>
        <v/>
      </c>
      <c r="D43" s="2069">
        <f>Kalkulation!BH458</f>
        <v>0</v>
      </c>
      <c r="E43" s="2070"/>
      <c r="F43" s="2071"/>
      <c r="G43" s="2069">
        <f>Kalkulation!BR469</f>
        <v>0</v>
      </c>
      <c r="H43" s="2070"/>
      <c r="I43" s="2071"/>
      <c r="J43" s="2069">
        <f>SUM(Kalkulation!BO458:BO469)</f>
        <v>0</v>
      </c>
      <c r="K43" s="2070"/>
      <c r="L43" s="2071"/>
      <c r="M43" s="2069">
        <f>SUM(Kalkulation!BL458:BL469)</f>
        <v>0</v>
      </c>
      <c r="N43" s="2070"/>
      <c r="O43" s="2071"/>
      <c r="P43" s="2069">
        <f>J43+M43</f>
        <v>0</v>
      </c>
      <c r="Q43" s="2070"/>
      <c r="R43" s="2071"/>
      <c r="S43" s="11"/>
    </row>
    <row r="44" spans="2:19" ht="3.2" customHeight="1">
      <c r="B44" s="11"/>
      <c r="C44" s="10"/>
      <c r="D44" s="5"/>
      <c r="E44" s="1"/>
      <c r="F44" s="19"/>
      <c r="G44" s="5"/>
      <c r="H44" s="1"/>
      <c r="I44" s="19"/>
      <c r="J44" s="5"/>
      <c r="K44" s="1"/>
      <c r="L44" s="19"/>
      <c r="M44" s="5"/>
      <c r="N44" s="1"/>
      <c r="O44" s="19"/>
      <c r="P44" s="5"/>
      <c r="Q44" s="1"/>
      <c r="R44" s="19"/>
      <c r="S44" s="11"/>
    </row>
    <row r="45" spans="2:19" ht="12.75" customHeight="1">
      <c r="B45" s="11"/>
      <c r="C45" s="12" t="str">
        <f>IF(D45&gt;0,Kalkulation!BD470,"")</f>
        <v/>
      </c>
      <c r="D45" s="2069">
        <f>Kalkulation!BH470</f>
        <v>0</v>
      </c>
      <c r="E45" s="2070"/>
      <c r="F45" s="2071"/>
      <c r="G45" s="2069">
        <f>Kalkulation!BR481</f>
        <v>0</v>
      </c>
      <c r="H45" s="2070"/>
      <c r="I45" s="2071"/>
      <c r="J45" s="2069">
        <f>SUM(Kalkulation!BO470:BO481)</f>
        <v>0</v>
      </c>
      <c r="K45" s="2070"/>
      <c r="L45" s="2071"/>
      <c r="M45" s="2069">
        <f>SUM(Kalkulation!BL470:BL481)</f>
        <v>0</v>
      </c>
      <c r="N45" s="2070"/>
      <c r="O45" s="2071"/>
      <c r="P45" s="2069">
        <f>J45+M45</f>
        <v>0</v>
      </c>
      <c r="Q45" s="2070"/>
      <c r="R45" s="2071"/>
      <c r="S45" s="11"/>
    </row>
    <row r="46" spans="2:19" ht="3.2" customHeight="1">
      <c r="B46" s="11"/>
      <c r="C46" s="10"/>
      <c r="D46" s="5"/>
      <c r="E46" s="1"/>
      <c r="F46" s="19"/>
      <c r="G46" s="5"/>
      <c r="H46" s="1"/>
      <c r="I46" s="19"/>
      <c r="J46" s="5"/>
      <c r="K46" s="1"/>
      <c r="L46" s="19"/>
      <c r="M46" s="5"/>
      <c r="N46" s="1"/>
      <c r="O46" s="19"/>
      <c r="P46" s="5"/>
      <c r="Q46" s="1"/>
      <c r="R46" s="19"/>
      <c r="S46" s="11"/>
    </row>
    <row r="47" spans="2:19">
      <c r="B47" s="11"/>
      <c r="C47" s="12" t="str">
        <f>IF(D47&gt;0,Kalkulation!BD482,"")</f>
        <v/>
      </c>
      <c r="D47" s="2069">
        <f>Kalkulation!BH482</f>
        <v>0</v>
      </c>
      <c r="E47" s="2070"/>
      <c r="F47" s="2071"/>
      <c r="G47" s="2069">
        <f>Kalkulation!BR493</f>
        <v>0</v>
      </c>
      <c r="H47" s="2070"/>
      <c r="I47" s="2071"/>
      <c r="J47" s="2069">
        <f>SUM(Kalkulation!BO482:BO493)</f>
        <v>0</v>
      </c>
      <c r="K47" s="2070"/>
      <c r="L47" s="2071"/>
      <c r="M47" s="2069">
        <f>SUM(Kalkulation!BL482:BL493)</f>
        <v>0</v>
      </c>
      <c r="N47" s="2070"/>
      <c r="O47" s="2071"/>
      <c r="P47" s="2069">
        <f>J47+M47</f>
        <v>0</v>
      </c>
      <c r="Q47" s="2070"/>
      <c r="R47" s="2071"/>
      <c r="S47" s="11"/>
    </row>
    <row r="48" spans="2:19" ht="3.2" customHeight="1">
      <c r="B48" s="11"/>
      <c r="C48" s="10"/>
      <c r="D48" s="5"/>
      <c r="E48" s="1"/>
      <c r="F48" s="19"/>
      <c r="G48" s="5"/>
      <c r="H48" s="1"/>
      <c r="I48" s="19"/>
      <c r="J48" s="5"/>
      <c r="K48" s="1"/>
      <c r="L48" s="19"/>
      <c r="M48" s="5"/>
      <c r="N48" s="1"/>
      <c r="O48" s="19"/>
      <c r="P48" s="5"/>
      <c r="Q48" s="1"/>
      <c r="R48" s="19"/>
      <c r="S48" s="11"/>
    </row>
    <row r="49" spans="2:19">
      <c r="B49" s="11"/>
      <c r="C49" s="12" t="str">
        <f>IF(D49&gt;0,Kalkulation!BD494,"")</f>
        <v/>
      </c>
      <c r="D49" s="2069">
        <f>Kalkulation!BH494</f>
        <v>0</v>
      </c>
      <c r="E49" s="2070"/>
      <c r="F49" s="2071"/>
      <c r="G49" s="2069">
        <f>Kalkulation!BR505</f>
        <v>0</v>
      </c>
      <c r="H49" s="2070"/>
      <c r="I49" s="2071"/>
      <c r="J49" s="2069">
        <f>SUM(Kalkulation!BO494:BO505)</f>
        <v>0</v>
      </c>
      <c r="K49" s="2070"/>
      <c r="L49" s="2071"/>
      <c r="M49" s="2069">
        <f>SUM(Kalkulation!BL494:BL505)</f>
        <v>0</v>
      </c>
      <c r="N49" s="2070"/>
      <c r="O49" s="2071"/>
      <c r="P49" s="2069">
        <f>J49+M49</f>
        <v>0</v>
      </c>
      <c r="Q49" s="2070"/>
      <c r="R49" s="2071"/>
      <c r="S49" s="11"/>
    </row>
    <row r="50" spans="2:19" ht="3.2" customHeight="1">
      <c r="B50" s="11"/>
      <c r="C50" s="2"/>
      <c r="D50" s="5"/>
      <c r="E50" s="1"/>
      <c r="F50" s="19"/>
      <c r="G50" s="5"/>
      <c r="H50" s="1"/>
      <c r="I50" s="19"/>
      <c r="J50" s="5"/>
      <c r="K50" s="1"/>
      <c r="L50" s="19"/>
      <c r="M50" s="5"/>
      <c r="N50" s="1"/>
      <c r="O50" s="19"/>
      <c r="P50" s="5"/>
      <c r="Q50" s="1"/>
      <c r="R50" s="19"/>
      <c r="S50" s="11"/>
    </row>
    <row r="51" spans="2:19" ht="12.75" customHeight="1">
      <c r="B51" s="11"/>
      <c r="C51" s="12" t="str">
        <f>IF(D51&gt;0,Kalkulation!BD506,"")</f>
        <v/>
      </c>
      <c r="D51" s="2069">
        <f>Kalkulation!BH506</f>
        <v>0</v>
      </c>
      <c r="E51" s="2070"/>
      <c r="F51" s="2071"/>
      <c r="G51" s="2069">
        <f>Kalkulation!BR517</f>
        <v>0</v>
      </c>
      <c r="H51" s="2070"/>
      <c r="I51" s="2071"/>
      <c r="J51" s="2069">
        <f>SUM(Kalkulation!BO506:BO517)</f>
        <v>0</v>
      </c>
      <c r="K51" s="2070"/>
      <c r="L51" s="2071"/>
      <c r="M51" s="2069">
        <f>SUM(Kalkulation!BL506:BL517)</f>
        <v>0</v>
      </c>
      <c r="N51" s="2070"/>
      <c r="O51" s="2071"/>
      <c r="P51" s="2069">
        <f>J51+M51</f>
        <v>0</v>
      </c>
      <c r="Q51" s="2070"/>
      <c r="R51" s="2071"/>
      <c r="S51" s="11"/>
    </row>
    <row r="52" spans="2:19" ht="3.2" customHeight="1">
      <c r="B52" s="11"/>
      <c r="C52" s="2"/>
      <c r="D52" s="5"/>
      <c r="E52" s="1"/>
      <c r="F52" s="19"/>
      <c r="G52" s="5"/>
      <c r="H52" s="1"/>
      <c r="I52" s="19"/>
      <c r="J52" s="5"/>
      <c r="K52" s="1"/>
      <c r="L52" s="19"/>
      <c r="M52" s="5"/>
      <c r="N52" s="1"/>
      <c r="O52" s="19"/>
      <c r="P52" s="5"/>
      <c r="Q52" s="1"/>
      <c r="R52" s="19"/>
      <c r="S52" s="11"/>
    </row>
    <row r="53" spans="2:19">
      <c r="B53" s="11"/>
      <c r="C53" s="12" t="str">
        <f>IF(D53&gt;0,Kalkulation!BD518,"")</f>
        <v/>
      </c>
      <c r="D53" s="2069">
        <f>Kalkulation!BH518</f>
        <v>0</v>
      </c>
      <c r="E53" s="2070"/>
      <c r="F53" s="2071"/>
      <c r="G53" s="2069">
        <f>Kalkulation!BR529</f>
        <v>0</v>
      </c>
      <c r="H53" s="2070"/>
      <c r="I53" s="2071"/>
      <c r="J53" s="2069">
        <f>SUM(Kalkulation!BO518:BO529)</f>
        <v>0</v>
      </c>
      <c r="K53" s="2070"/>
      <c r="L53" s="2071"/>
      <c r="M53" s="2069">
        <f>SUM(Kalkulation!BL518:BL529)</f>
        <v>0</v>
      </c>
      <c r="N53" s="2070"/>
      <c r="O53" s="2071"/>
      <c r="P53" s="2069">
        <f>J53+M53</f>
        <v>0</v>
      </c>
      <c r="Q53" s="2070"/>
      <c r="R53" s="2071"/>
      <c r="S53" s="11"/>
    </row>
    <row r="54" spans="2:19" ht="3.2" customHeight="1">
      <c r="B54" s="11"/>
      <c r="C54" s="10"/>
      <c r="D54" s="5"/>
      <c r="E54" s="1"/>
      <c r="F54" s="19"/>
      <c r="G54" s="5"/>
      <c r="H54" s="1"/>
      <c r="I54" s="19"/>
      <c r="J54" s="5"/>
      <c r="K54" s="1"/>
      <c r="L54" s="19"/>
      <c r="M54" s="5"/>
      <c r="N54" s="1"/>
      <c r="O54" s="19"/>
      <c r="P54" s="5"/>
      <c r="Q54" s="1"/>
      <c r="R54" s="19"/>
      <c r="S54" s="11"/>
    </row>
    <row r="55" spans="2:19">
      <c r="B55" s="11"/>
      <c r="C55" s="12" t="str">
        <f>IF(D55&gt;0,Kalkulation!BD530,"")</f>
        <v/>
      </c>
      <c r="D55" s="2069">
        <f>Kalkulation!BH530</f>
        <v>0</v>
      </c>
      <c r="E55" s="2070"/>
      <c r="F55" s="2071"/>
      <c r="G55" s="2069">
        <f>Kalkulation!BR541</f>
        <v>0</v>
      </c>
      <c r="H55" s="2070"/>
      <c r="I55" s="2071"/>
      <c r="J55" s="2069">
        <f>SUM(Kalkulation!BO530:BO541)</f>
        <v>0</v>
      </c>
      <c r="K55" s="2070"/>
      <c r="L55" s="2071"/>
      <c r="M55" s="2069">
        <f>SUM(Kalkulation!BL530:BL541)</f>
        <v>0</v>
      </c>
      <c r="N55" s="2070"/>
      <c r="O55" s="2071"/>
      <c r="P55" s="2069">
        <f>J55+M55</f>
        <v>0</v>
      </c>
      <c r="Q55" s="2070"/>
      <c r="R55" s="2071"/>
      <c r="S55" s="11"/>
    </row>
    <row r="56" spans="2:19" ht="3.2" customHeight="1">
      <c r="B56" s="11"/>
      <c r="C56" s="10"/>
      <c r="D56" s="5"/>
      <c r="E56" s="1"/>
      <c r="F56" s="19"/>
      <c r="G56" s="5"/>
      <c r="H56" s="1"/>
      <c r="I56" s="19"/>
      <c r="J56" s="5"/>
      <c r="K56" s="1"/>
      <c r="L56" s="19"/>
      <c r="M56" s="5"/>
      <c r="N56" s="1"/>
      <c r="O56" s="19"/>
      <c r="P56" s="5"/>
      <c r="Q56" s="1"/>
      <c r="R56" s="19"/>
      <c r="S56" s="11"/>
    </row>
    <row r="57" spans="2:19">
      <c r="B57" s="11"/>
      <c r="C57" s="12" t="str">
        <f>IF(D57&gt;0,Kalkulation!BD542,"")</f>
        <v/>
      </c>
      <c r="D57" s="2069">
        <f>Kalkulation!BH542</f>
        <v>0</v>
      </c>
      <c r="E57" s="2070"/>
      <c r="F57" s="2071"/>
      <c r="G57" s="2069">
        <f>Kalkulation!BR553</f>
        <v>0</v>
      </c>
      <c r="H57" s="2070"/>
      <c r="I57" s="2071"/>
      <c r="J57" s="2069">
        <f>SUM(Kalkulation!BO542:BO553)</f>
        <v>0</v>
      </c>
      <c r="K57" s="2070"/>
      <c r="L57" s="2071"/>
      <c r="M57" s="2069">
        <f>SUM(Kalkulation!BL542:BL553)</f>
        <v>0</v>
      </c>
      <c r="N57" s="2070"/>
      <c r="O57" s="2071"/>
      <c r="P57" s="2069">
        <f>J57+M57</f>
        <v>0</v>
      </c>
      <c r="Q57" s="2070"/>
      <c r="R57" s="2071"/>
      <c r="S57" s="11"/>
    </row>
    <row r="58" spans="2:19" ht="3.2" customHeight="1">
      <c r="B58" s="11"/>
      <c r="C58" s="10"/>
      <c r="D58" s="5"/>
      <c r="E58" s="1"/>
      <c r="F58" s="19"/>
      <c r="G58" s="5"/>
      <c r="H58" s="1"/>
      <c r="I58" s="19"/>
      <c r="J58" s="5"/>
      <c r="K58" s="1"/>
      <c r="L58" s="19"/>
      <c r="M58" s="5"/>
      <c r="N58" s="1"/>
      <c r="O58" s="19"/>
      <c r="P58" s="5"/>
      <c r="Q58" s="1"/>
      <c r="R58" s="19"/>
      <c r="S58" s="11"/>
    </row>
    <row r="59" spans="2:19">
      <c r="B59" s="11"/>
      <c r="C59" s="12" t="str">
        <f>IF(D59&gt;0,Kalkulation!BD554,"")</f>
        <v/>
      </c>
      <c r="D59" s="2069">
        <f>Kalkulation!BH554</f>
        <v>0</v>
      </c>
      <c r="E59" s="2070"/>
      <c r="F59" s="2071"/>
      <c r="G59" s="2069">
        <f>Kalkulation!BR565</f>
        <v>0</v>
      </c>
      <c r="H59" s="2070"/>
      <c r="I59" s="2071"/>
      <c r="J59" s="2069">
        <f>SUM(Kalkulation!BO554:BO565)</f>
        <v>0</v>
      </c>
      <c r="K59" s="2070"/>
      <c r="L59" s="2071"/>
      <c r="M59" s="2069">
        <f>SUM(Kalkulation!BL554:BL565)</f>
        <v>0</v>
      </c>
      <c r="N59" s="2070"/>
      <c r="O59" s="2071"/>
      <c r="P59" s="2069">
        <f>J59+M59</f>
        <v>0</v>
      </c>
      <c r="Q59" s="2070"/>
      <c r="R59" s="2071"/>
      <c r="S59" s="11"/>
    </row>
    <row r="60" spans="2:19" ht="3.2" customHeight="1">
      <c r="B60" s="11"/>
      <c r="C60" s="2"/>
      <c r="D60" s="5"/>
      <c r="E60" s="1"/>
      <c r="F60" s="19"/>
      <c r="G60" s="5"/>
      <c r="H60" s="1"/>
      <c r="I60" s="19"/>
      <c r="J60" s="5"/>
      <c r="K60" s="1"/>
      <c r="L60" s="19"/>
      <c r="M60" s="5"/>
      <c r="N60" s="1"/>
      <c r="O60" s="19"/>
      <c r="P60" s="5"/>
      <c r="Q60" s="1"/>
      <c r="R60" s="19"/>
      <c r="S60" s="11"/>
    </row>
    <row r="61" spans="2:19">
      <c r="B61" s="11"/>
      <c r="C61" s="12" t="str">
        <f>IF(D61&gt;0,Kalkulation!BD566,"")</f>
        <v/>
      </c>
      <c r="D61" s="2069">
        <f>Kalkulation!BH566</f>
        <v>0</v>
      </c>
      <c r="E61" s="2070">
        <f>Kalkulation!BH566</f>
        <v>0</v>
      </c>
      <c r="F61" s="2071"/>
      <c r="G61" s="2069">
        <f>Kalkulation!BR577</f>
        <v>0</v>
      </c>
      <c r="H61" s="2070"/>
      <c r="I61" s="2071"/>
      <c r="J61" s="2069">
        <f>SUM(Kalkulation!BO566:BO577)</f>
        <v>0</v>
      </c>
      <c r="K61" s="2070"/>
      <c r="L61" s="2071"/>
      <c r="M61" s="2069">
        <f>SUM(Kalkulation!BL566:BL577)</f>
        <v>0</v>
      </c>
      <c r="N61" s="2070"/>
      <c r="O61" s="2071"/>
      <c r="P61" s="2069">
        <f>J61+M61</f>
        <v>0</v>
      </c>
      <c r="Q61" s="2070"/>
      <c r="R61" s="2071"/>
      <c r="S61" s="11"/>
    </row>
    <row r="62" spans="2:19" ht="3.2" customHeight="1">
      <c r="B62" s="11"/>
      <c r="C62" s="2"/>
      <c r="D62" s="5"/>
      <c r="E62" s="1"/>
      <c r="F62" s="19"/>
      <c r="G62" s="5"/>
      <c r="H62" s="1"/>
      <c r="I62" s="19"/>
      <c r="J62" s="5"/>
      <c r="K62" s="1"/>
      <c r="L62" s="19"/>
      <c r="M62" s="5"/>
      <c r="N62" s="1"/>
      <c r="O62" s="19"/>
      <c r="P62" s="5"/>
      <c r="Q62" s="1"/>
      <c r="R62" s="19"/>
      <c r="S62" s="11"/>
    </row>
    <row r="63" spans="2:19">
      <c r="B63" s="11"/>
      <c r="C63" s="12" t="str">
        <f>IF(D63&gt;0,Kalkulation!BD578,"")</f>
        <v/>
      </c>
      <c r="D63" s="2069">
        <f>Kalkulation!BH578</f>
        <v>0</v>
      </c>
      <c r="E63" s="2070"/>
      <c r="F63" s="2071"/>
      <c r="G63" s="2069">
        <f>Kalkulation!BR589</f>
        <v>0</v>
      </c>
      <c r="H63" s="2070"/>
      <c r="I63" s="2071"/>
      <c r="J63" s="2069">
        <f>SUM(Kalkulation!BO578:BO589)</f>
        <v>0</v>
      </c>
      <c r="K63" s="2070"/>
      <c r="L63" s="2071"/>
      <c r="M63" s="2069">
        <f>SUM(Kalkulation!BL578:BL589)</f>
        <v>0</v>
      </c>
      <c r="N63" s="2070"/>
      <c r="O63" s="2071"/>
      <c r="P63" s="2069">
        <f>J63+M63</f>
        <v>0</v>
      </c>
      <c r="Q63" s="2070"/>
      <c r="R63" s="2071"/>
      <c r="S63" s="11"/>
    </row>
    <row r="64" spans="2:19" ht="3.2" customHeight="1">
      <c r="B64" s="11"/>
      <c r="C64" s="2"/>
      <c r="D64" s="5"/>
      <c r="E64" s="1"/>
      <c r="F64" s="19"/>
      <c r="G64" s="5"/>
      <c r="H64" s="1"/>
      <c r="I64" s="19"/>
      <c r="J64" s="5"/>
      <c r="K64" s="1"/>
      <c r="L64" s="19"/>
      <c r="M64" s="5"/>
      <c r="N64" s="1"/>
      <c r="O64" s="19"/>
      <c r="P64" s="5"/>
      <c r="Q64" s="1"/>
      <c r="R64" s="19"/>
      <c r="S64" s="11"/>
    </row>
    <row r="65" spans="2:19">
      <c r="B65" s="11"/>
      <c r="C65" s="12" t="str">
        <f>IF(D65&gt;0,Kalkulation!BD590,"")</f>
        <v/>
      </c>
      <c r="D65" s="2069">
        <f>Kalkulation!BH590</f>
        <v>0</v>
      </c>
      <c r="E65" s="2070"/>
      <c r="F65" s="2071"/>
      <c r="G65" s="2069">
        <f>Kalkulation!BR601</f>
        <v>0</v>
      </c>
      <c r="H65" s="2070"/>
      <c r="I65" s="2071"/>
      <c r="J65" s="2069">
        <f>SUM(Kalkulation!BO590:BO601)</f>
        <v>0</v>
      </c>
      <c r="K65" s="2070"/>
      <c r="L65" s="2071"/>
      <c r="M65" s="2069">
        <f>SUM(Kalkulation!BL590:BL601)</f>
        <v>0</v>
      </c>
      <c r="N65" s="2070"/>
      <c r="O65" s="2071"/>
      <c r="P65" s="2069">
        <f>J65+M65</f>
        <v>0</v>
      </c>
      <c r="Q65" s="2070"/>
      <c r="R65" s="2071"/>
      <c r="S65" s="11"/>
    </row>
    <row r="66" spans="2:19" ht="3.2" customHeight="1">
      <c r="B66" s="11"/>
      <c r="C66" s="2"/>
      <c r="D66" s="5"/>
      <c r="E66" s="1"/>
      <c r="F66" s="19"/>
      <c r="G66" s="5"/>
      <c r="H66" s="1"/>
      <c r="I66" s="19"/>
      <c r="J66" s="5"/>
      <c r="K66" s="1"/>
      <c r="L66" s="19"/>
      <c r="M66" s="5"/>
      <c r="N66" s="1"/>
      <c r="O66" s="19"/>
      <c r="P66" s="5"/>
      <c r="Q66" s="1"/>
      <c r="R66" s="19"/>
      <c r="S66" s="11"/>
    </row>
    <row r="67" spans="2:19">
      <c r="B67" s="11"/>
      <c r="C67" s="12" t="str">
        <f>IF(D67&gt;0,Kalkulation!BD602,"")</f>
        <v/>
      </c>
      <c r="D67" s="2069">
        <f>Kalkulation!BH602</f>
        <v>0</v>
      </c>
      <c r="E67" s="2070"/>
      <c r="F67" s="2071"/>
      <c r="G67" s="2069">
        <f>Kalkulation!BR613</f>
        <v>0</v>
      </c>
      <c r="H67" s="2070"/>
      <c r="I67" s="2071"/>
      <c r="J67" s="2069">
        <f>SUM(Kalkulation!BO602:BO613)</f>
        <v>0</v>
      </c>
      <c r="K67" s="2070"/>
      <c r="L67" s="2071"/>
      <c r="M67" s="2069">
        <f>SUM(Kalkulation!BL602:BL613)</f>
        <v>0</v>
      </c>
      <c r="N67" s="2070"/>
      <c r="O67" s="2071"/>
      <c r="P67" s="2069">
        <f>J67+M67</f>
        <v>0</v>
      </c>
      <c r="Q67" s="2070"/>
      <c r="R67" s="2071"/>
      <c r="S67" s="11"/>
    </row>
    <row r="68" spans="2:19" ht="3.2" customHeight="1">
      <c r="B68" s="11"/>
      <c r="C68" s="2"/>
      <c r="D68" s="5"/>
      <c r="E68" s="1"/>
      <c r="F68" s="19"/>
      <c r="G68" s="5"/>
      <c r="H68" s="1"/>
      <c r="I68" s="19"/>
      <c r="J68" s="5"/>
      <c r="K68" s="1"/>
      <c r="L68" s="19"/>
      <c r="M68" s="5"/>
      <c r="N68" s="1"/>
      <c r="O68" s="19"/>
      <c r="P68" s="5"/>
      <c r="Q68" s="1"/>
      <c r="R68" s="19"/>
      <c r="S68" s="11"/>
    </row>
    <row r="69" spans="2:19">
      <c r="B69" s="11"/>
      <c r="C69" s="12" t="str">
        <f>IF(D69&gt;0,Kalkulation!BD614,"")</f>
        <v/>
      </c>
      <c r="D69" s="2069">
        <f>Kalkulation!BH614</f>
        <v>0</v>
      </c>
      <c r="E69" s="2070"/>
      <c r="F69" s="2071"/>
      <c r="G69" s="2069">
        <f>Kalkulation!BR625</f>
        <v>0</v>
      </c>
      <c r="H69" s="2070"/>
      <c r="I69" s="2071"/>
      <c r="J69" s="2069">
        <f>SUM(Kalkulation!BO614:BO625)</f>
        <v>0</v>
      </c>
      <c r="K69" s="2070"/>
      <c r="L69" s="2071"/>
      <c r="M69" s="2069">
        <f>SUM(Kalkulation!BL614:BL625)</f>
        <v>0</v>
      </c>
      <c r="N69" s="2070"/>
      <c r="O69" s="2071"/>
      <c r="P69" s="2069">
        <f>J69+M69</f>
        <v>0</v>
      </c>
      <c r="Q69" s="2070"/>
      <c r="R69" s="2071"/>
      <c r="S69" s="11"/>
    </row>
    <row r="70" spans="2:19" ht="3.2" customHeight="1">
      <c r="B70" s="11"/>
      <c r="C70" s="2"/>
      <c r="D70" s="5"/>
      <c r="E70" s="1"/>
      <c r="F70" s="19"/>
      <c r="G70" s="5"/>
      <c r="H70" s="1"/>
      <c r="I70" s="19"/>
      <c r="J70" s="5"/>
      <c r="K70" s="1"/>
      <c r="L70" s="19"/>
      <c r="M70" s="5"/>
      <c r="N70" s="1"/>
      <c r="O70" s="19"/>
      <c r="P70" s="5"/>
      <c r="Q70" s="1"/>
      <c r="R70" s="19"/>
      <c r="S70" s="11"/>
    </row>
    <row r="71" spans="2:19">
      <c r="B71" s="11"/>
      <c r="C71" s="12" t="str">
        <f>IF(D71&gt;0,Kalkulation!BD626,"")</f>
        <v/>
      </c>
      <c r="D71" s="2069">
        <f>Kalkulation!BH626</f>
        <v>0</v>
      </c>
      <c r="E71" s="2070"/>
      <c r="F71" s="2071"/>
      <c r="G71" s="2069">
        <f>Kalkulation!BR637</f>
        <v>0</v>
      </c>
      <c r="H71" s="2070"/>
      <c r="I71" s="2071"/>
      <c r="J71" s="2069">
        <f>SUM(Kalkulation!BO626:BO637)</f>
        <v>0</v>
      </c>
      <c r="K71" s="2070"/>
      <c r="L71" s="2071"/>
      <c r="M71" s="2069">
        <f>SUM(Kalkulation!BL626:BL637)</f>
        <v>0</v>
      </c>
      <c r="N71" s="2070"/>
      <c r="O71" s="2071"/>
      <c r="P71" s="2069">
        <f>J71+M71</f>
        <v>0</v>
      </c>
      <c r="Q71" s="2070"/>
      <c r="R71" s="2071"/>
      <c r="S71" s="11"/>
    </row>
    <row r="72" spans="2:19" ht="3.2" customHeight="1">
      <c r="B72" s="11"/>
      <c r="C72" s="2"/>
      <c r="D72" s="5"/>
      <c r="E72" s="1"/>
      <c r="F72" s="19"/>
      <c r="G72" s="5"/>
      <c r="H72" s="1"/>
      <c r="I72" s="19"/>
      <c r="J72" s="5"/>
      <c r="K72" s="1"/>
      <c r="L72" s="19"/>
      <c r="M72" s="5"/>
      <c r="N72" s="1"/>
      <c r="O72" s="19"/>
      <c r="P72" s="5"/>
      <c r="Q72" s="1"/>
      <c r="R72" s="19"/>
      <c r="S72" s="11"/>
    </row>
    <row r="73" spans="2:19">
      <c r="B73" s="11"/>
      <c r="C73" s="12" t="str">
        <f>IF(D73&gt;0,Kalkulation!BD638,"")</f>
        <v/>
      </c>
      <c r="D73" s="2072">
        <f>Kalkulation!BH638</f>
        <v>0</v>
      </c>
      <c r="E73" s="2073"/>
      <c r="F73" s="2074"/>
      <c r="G73" s="2072">
        <f>Kalkulation!BR649</f>
        <v>0</v>
      </c>
      <c r="H73" s="2073"/>
      <c r="I73" s="2074"/>
      <c r="J73" s="2072">
        <f>SUM(Kalkulation!BO638:BO649)</f>
        <v>0</v>
      </c>
      <c r="K73" s="2073"/>
      <c r="L73" s="2074"/>
      <c r="M73" s="2072">
        <f>SUM(Kalkulation!BL638:BL649)</f>
        <v>0</v>
      </c>
      <c r="N73" s="2073"/>
      <c r="O73" s="2074"/>
      <c r="P73" s="2072">
        <f>J73+M73</f>
        <v>0</v>
      </c>
      <c r="Q73" s="2073"/>
      <c r="R73" s="2074"/>
      <c r="S73" s="11"/>
    </row>
    <row r="74" spans="2:19" ht="3.2" customHeight="1">
      <c r="B74" s="11"/>
      <c r="C74" s="2"/>
      <c r="S74" s="11"/>
    </row>
    <row r="75" spans="2:19" ht="12.75" hidden="1" customHeight="1">
      <c r="B75" s="11"/>
      <c r="C75" s="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</row>
    <row r="76" spans="2:19" ht="3.2" hidden="1" customHeight="1"/>
    <row r="77" spans="2:19">
      <c r="S77" s="8"/>
    </row>
    <row r="78" spans="2:19" ht="3.2" customHeight="1"/>
    <row r="79" spans="2:19" ht="3.2" customHeight="1"/>
    <row r="81" ht="3.2" customHeight="1"/>
    <row r="82" ht="8.1" customHeight="1"/>
    <row r="83" ht="3.2" customHeight="1"/>
    <row r="85" ht="3.2" customHeight="1"/>
    <row r="88" ht="3.2" customHeight="1"/>
    <row r="89" ht="10.15" customHeight="1"/>
    <row r="90" ht="10.15" customHeight="1"/>
    <row r="91" ht="3.2" customHeight="1"/>
    <row r="93" ht="3.2" customHeight="1"/>
    <row r="95" ht="3.2" customHeight="1"/>
    <row r="97" ht="3.2" customHeight="1"/>
    <row r="99" ht="3.2" customHeight="1"/>
    <row r="101" ht="3.2" customHeight="1"/>
    <row r="103" ht="3.2" customHeight="1"/>
    <row r="105" ht="3.2" customHeight="1"/>
    <row r="107" ht="3.2" customHeight="1"/>
    <row r="109" ht="3.2" customHeight="1"/>
    <row r="111" ht="3.2" customHeight="1"/>
    <row r="113" ht="3.2" customHeight="1"/>
    <row r="115" ht="3.2" customHeight="1"/>
    <row r="117" ht="3.2" customHeight="1"/>
    <row r="119" ht="3.2" customHeight="1"/>
    <row r="121" ht="3.2" customHeight="1"/>
    <row r="123" ht="3.2" customHeight="1"/>
    <row r="125" ht="3.2" customHeight="1"/>
    <row r="127" ht="3.2" customHeight="1"/>
    <row r="129" ht="3.2" customHeight="1"/>
    <row r="131" ht="3.2" customHeight="1"/>
    <row r="133" ht="3.2" customHeight="1"/>
    <row r="135" ht="3.2" customHeight="1"/>
    <row r="137" ht="3.2" customHeight="1"/>
    <row r="139" ht="3.2" customHeight="1"/>
    <row r="141" ht="3.2" customHeight="1"/>
    <row r="151" ht="33.4" customHeight="1"/>
    <row r="152" ht="19.5" customHeight="1"/>
  </sheetData>
  <sheetProtection password="F30F" sheet="1" objects="1" scenarios="1"/>
  <mergeCells count="139">
    <mergeCell ref="M39:O39"/>
    <mergeCell ref="P39:R39"/>
    <mergeCell ref="G41:I41"/>
    <mergeCell ref="J41:L41"/>
    <mergeCell ref="P31:R31"/>
    <mergeCell ref="I3:K3"/>
    <mergeCell ref="P5:Q5"/>
    <mergeCell ref="P7:Q7"/>
    <mergeCell ref="D11:F20"/>
    <mergeCell ref="P11:R20"/>
    <mergeCell ref="D25:F25"/>
    <mergeCell ref="G25:I25"/>
    <mergeCell ref="J25:L25"/>
    <mergeCell ref="M25:O25"/>
    <mergeCell ref="P25:R25"/>
    <mergeCell ref="P35:R35"/>
    <mergeCell ref="J31:L31"/>
    <mergeCell ref="M31:O31"/>
    <mergeCell ref="D27:F27"/>
    <mergeCell ref="G27:I27"/>
    <mergeCell ref="D35:F35"/>
    <mergeCell ref="G35:I35"/>
    <mergeCell ref="J35:L35"/>
    <mergeCell ref="M35:O35"/>
    <mergeCell ref="P69:R69"/>
    <mergeCell ref="P67:R67"/>
    <mergeCell ref="J63:L63"/>
    <mergeCell ref="M63:O63"/>
    <mergeCell ref="J69:L69"/>
    <mergeCell ref="M69:O69"/>
    <mergeCell ref="P63:R63"/>
    <mergeCell ref="J57:L57"/>
    <mergeCell ref="M57:O57"/>
    <mergeCell ref="J61:L61"/>
    <mergeCell ref="M61:O61"/>
    <mergeCell ref="P61:R61"/>
    <mergeCell ref="P57:R57"/>
    <mergeCell ref="P59:R59"/>
    <mergeCell ref="P65:R65"/>
    <mergeCell ref="D73:F73"/>
    <mergeCell ref="G73:I73"/>
    <mergeCell ref="J73:L73"/>
    <mergeCell ref="P71:R71"/>
    <mergeCell ref="D71:F71"/>
    <mergeCell ref="G71:I71"/>
    <mergeCell ref="J71:L71"/>
    <mergeCell ref="M71:O71"/>
    <mergeCell ref="P73:R73"/>
    <mergeCell ref="M73:O73"/>
    <mergeCell ref="D57:F57"/>
    <mergeCell ref="G57:I57"/>
    <mergeCell ref="P41:R41"/>
    <mergeCell ref="D51:F51"/>
    <mergeCell ref="G51:I51"/>
    <mergeCell ref="J51:L51"/>
    <mergeCell ref="M51:O51"/>
    <mergeCell ref="D41:F41"/>
    <mergeCell ref="P49:R49"/>
    <mergeCell ref="D47:F47"/>
    <mergeCell ref="G47:I47"/>
    <mergeCell ref="J47:L47"/>
    <mergeCell ref="D49:F49"/>
    <mergeCell ref="G49:I49"/>
    <mergeCell ref="J49:L49"/>
    <mergeCell ref="M49:O49"/>
    <mergeCell ref="D55:F55"/>
    <mergeCell ref="G55:I55"/>
    <mergeCell ref="J55:L55"/>
    <mergeCell ref="M55:O55"/>
    <mergeCell ref="D53:F53"/>
    <mergeCell ref="G53:I53"/>
    <mergeCell ref="M47:O47"/>
    <mergeCell ref="M43:O43"/>
    <mergeCell ref="G59:I59"/>
    <mergeCell ref="J59:L59"/>
    <mergeCell ref="M59:O59"/>
    <mergeCell ref="D69:F69"/>
    <mergeCell ref="G69:I69"/>
    <mergeCell ref="D67:F67"/>
    <mergeCell ref="G67:I67"/>
    <mergeCell ref="J67:L67"/>
    <mergeCell ref="M67:O67"/>
    <mergeCell ref="D65:F65"/>
    <mergeCell ref="G65:I65"/>
    <mergeCell ref="J65:L65"/>
    <mergeCell ref="M65:O65"/>
    <mergeCell ref="D61:F61"/>
    <mergeCell ref="G61:I61"/>
    <mergeCell ref="D63:F63"/>
    <mergeCell ref="G63:I63"/>
    <mergeCell ref="D59:F59"/>
    <mergeCell ref="J53:L53"/>
    <mergeCell ref="M53:O53"/>
    <mergeCell ref="P51:R51"/>
    <mergeCell ref="P53:R53"/>
    <mergeCell ref="P55:R55"/>
    <mergeCell ref="D37:F37"/>
    <mergeCell ref="G37:I37"/>
    <mergeCell ref="J37:L37"/>
    <mergeCell ref="M37:O37"/>
    <mergeCell ref="P37:R37"/>
    <mergeCell ref="P47:R47"/>
    <mergeCell ref="M41:O41"/>
    <mergeCell ref="P43:R43"/>
    <mergeCell ref="D45:F45"/>
    <mergeCell ref="G45:I45"/>
    <mergeCell ref="J45:L45"/>
    <mergeCell ref="M45:O45"/>
    <mergeCell ref="P45:R45"/>
    <mergeCell ref="D43:F43"/>
    <mergeCell ref="G43:I43"/>
    <mergeCell ref="J43:L43"/>
    <mergeCell ref="D39:F39"/>
    <mergeCell ref="G39:I39"/>
    <mergeCell ref="J39:L39"/>
    <mergeCell ref="C17:C20"/>
    <mergeCell ref="G11:I20"/>
    <mergeCell ref="J11:L20"/>
    <mergeCell ref="M11:O20"/>
    <mergeCell ref="D33:F33"/>
    <mergeCell ref="G33:I33"/>
    <mergeCell ref="J33:L33"/>
    <mergeCell ref="M33:O33"/>
    <mergeCell ref="P23:R23"/>
    <mergeCell ref="D23:F23"/>
    <mergeCell ref="G23:I23"/>
    <mergeCell ref="J23:L23"/>
    <mergeCell ref="M23:O23"/>
    <mergeCell ref="P27:R27"/>
    <mergeCell ref="D29:F29"/>
    <mergeCell ref="G29:I29"/>
    <mergeCell ref="J29:L29"/>
    <mergeCell ref="M29:O29"/>
    <mergeCell ref="P29:R29"/>
    <mergeCell ref="P33:R33"/>
    <mergeCell ref="J27:L27"/>
    <mergeCell ref="M27:O27"/>
    <mergeCell ref="D31:F31"/>
    <mergeCell ref="G31:I31"/>
  </mergeCells>
  <phoneticPr fontId="0" type="noConversion"/>
  <pageMargins left="0.78740157480314965" right="0.19685039370078741" top="0.59055118110236227" bottom="0.98425196850393704" header="0.51181102362204722" footer="0.51181102362204722"/>
  <pageSetup paperSize="9" orientation="portrait" verticalDpi="360" r:id="rId1"/>
  <headerFooter alignWithMargins="0">
    <oddFooter>&amp;L&amp;8LEL Schw. Gmünd; Abt. IV; LLM (WS)&amp;C&amp;8&amp;F&amp;R&amp;8&amp;D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S152"/>
  <sheetViews>
    <sheetView showGridLines="0" showZeros="0" zoomScale="90" zoomScaleNormal="90" workbookViewId="0">
      <pane ySplit="10" topLeftCell="A11" activePane="bottomLeft" state="frozen"/>
      <selection activeCell="AS1" sqref="AS1"/>
      <selection pane="bottomLeft" activeCell="A11" sqref="A11"/>
    </sheetView>
  </sheetViews>
  <sheetFormatPr baseColWidth="10" defaultColWidth="3.7109375" defaultRowHeight="12.75"/>
  <cols>
    <col min="1" max="1" width="1.85546875" customWidth="1"/>
  </cols>
  <sheetData>
    <row r="1" spans="1:19" ht="3.2" customHeight="1">
      <c r="A1" s="20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</row>
    <row r="2" spans="1:19" ht="3.2" customHeight="1"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</row>
    <row r="3" spans="1:19" ht="12.75" customHeight="1">
      <c r="B3" s="13"/>
      <c r="C3" s="7" t="str">
        <f>Kalkulation!F94</f>
        <v>Darlehen 2</v>
      </c>
      <c r="D3" s="7"/>
      <c r="E3" s="7"/>
      <c r="F3" s="7"/>
      <c r="G3" s="15" t="s">
        <v>400</v>
      </c>
      <c r="H3" s="13"/>
      <c r="I3" s="2075">
        <f>Kalkulation!O94</f>
        <v>0</v>
      </c>
      <c r="J3" s="2075"/>
      <c r="K3" s="2075"/>
      <c r="L3" s="13" t="s">
        <v>380</v>
      </c>
      <c r="M3" s="15" t="s">
        <v>419</v>
      </c>
      <c r="N3" s="13"/>
      <c r="O3" s="13"/>
      <c r="P3" s="13"/>
      <c r="Q3" s="7">
        <f>IF(Kalkulation!R94="A",0,Kalkulation!S94)</f>
        <v>0</v>
      </c>
      <c r="R3" s="13" t="s">
        <v>377</v>
      </c>
      <c r="S3" s="13"/>
    </row>
    <row r="4" spans="1:19" ht="3.2" customHeight="1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5"/>
      <c r="N4" s="13"/>
      <c r="O4" s="13"/>
      <c r="P4" s="13"/>
      <c r="Q4" s="13"/>
      <c r="R4" s="13"/>
      <c r="S4" s="13"/>
    </row>
    <row r="5" spans="1:19" ht="12.75" customHeight="1">
      <c r="B5" s="13"/>
      <c r="C5" s="7">
        <f>Kalkulation!J94</f>
        <v>0</v>
      </c>
      <c r="D5" s="7"/>
      <c r="E5" s="7"/>
      <c r="F5" s="7"/>
      <c r="G5" s="13"/>
      <c r="H5" s="13"/>
      <c r="I5" s="13"/>
      <c r="J5" s="13"/>
      <c r="K5" s="13"/>
      <c r="L5" s="13"/>
      <c r="M5" s="15" t="s">
        <v>401</v>
      </c>
      <c r="N5" s="13"/>
      <c r="O5" s="13"/>
      <c r="P5" s="2076">
        <f>Kalkulation!T94</f>
        <v>0</v>
      </c>
      <c r="Q5" s="2076"/>
      <c r="R5" s="13" t="s">
        <v>381</v>
      </c>
      <c r="S5" s="13"/>
    </row>
    <row r="6" spans="1:19" ht="3.2" customHeight="1"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5"/>
      <c r="N6" s="13"/>
      <c r="O6" s="13"/>
      <c r="P6" s="13"/>
      <c r="Q6" s="13"/>
      <c r="R6" s="13"/>
      <c r="S6" s="13"/>
    </row>
    <row r="7" spans="1:19" ht="12.75" customHeight="1">
      <c r="B7" s="13"/>
      <c r="C7" s="15" t="s">
        <v>418</v>
      </c>
      <c r="D7" s="13"/>
      <c r="E7" s="13"/>
      <c r="F7" s="13"/>
      <c r="G7" s="13"/>
      <c r="H7" s="13"/>
      <c r="I7" s="13"/>
      <c r="J7" s="13"/>
      <c r="K7" s="13"/>
      <c r="L7" s="13"/>
      <c r="M7" s="15" t="s">
        <v>420</v>
      </c>
      <c r="N7" s="13"/>
      <c r="O7" s="13"/>
      <c r="P7" s="2077">
        <f>Kalkulation!V94*Kalkulation!O94/100</f>
        <v>0</v>
      </c>
      <c r="Q7" s="2077"/>
      <c r="R7" s="13" t="s">
        <v>380</v>
      </c>
      <c r="S7" s="13"/>
    </row>
    <row r="8" spans="1:19" ht="3.2" customHeight="1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5"/>
      <c r="N8" s="13"/>
      <c r="O8" s="13"/>
      <c r="P8" s="13"/>
      <c r="Q8" s="13"/>
      <c r="R8" s="13"/>
      <c r="S8" s="13"/>
    </row>
    <row r="9" spans="1:19" ht="12.75" customHeight="1">
      <c r="B9" s="13"/>
      <c r="C9" s="7"/>
      <c r="D9" s="7"/>
      <c r="E9" s="7"/>
      <c r="F9" s="7"/>
      <c r="G9" s="7"/>
      <c r="H9" s="7"/>
      <c r="I9" s="14" t="str">
        <f>IF(Kalkulation!R94="a","Annuitätendarlehen","Raten-oder Tilgungsdarlehen")</f>
        <v>Raten-oder Tilgungsdarlehen</v>
      </c>
      <c r="J9" s="13"/>
      <c r="K9" s="13"/>
      <c r="L9" s="13"/>
      <c r="M9" s="15" t="s">
        <v>421</v>
      </c>
      <c r="N9" s="13"/>
      <c r="O9" s="13"/>
      <c r="P9" s="13"/>
      <c r="Q9" s="7">
        <f>Kalkulation!X94</f>
        <v>0</v>
      </c>
      <c r="R9" s="13" t="str">
        <f>IF(Q9=1,"Jahr","Jahre")</f>
        <v>Jahre</v>
      </c>
      <c r="S9" s="13"/>
    </row>
    <row r="10" spans="1:19" ht="3.2" customHeight="1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</row>
    <row r="11" spans="1:19" ht="3.2" customHeight="1">
      <c r="A11" s="8"/>
      <c r="B11" s="11"/>
      <c r="C11" s="11"/>
      <c r="D11" s="2063" t="s">
        <v>416</v>
      </c>
      <c r="E11" s="2064"/>
      <c r="F11" s="2065"/>
      <c r="G11" s="2063" t="s">
        <v>415</v>
      </c>
      <c r="H11" s="2064"/>
      <c r="I11" s="2065"/>
      <c r="J11" s="2063" t="s">
        <v>375</v>
      </c>
      <c r="K11" s="2064"/>
      <c r="L11" s="2065"/>
      <c r="M11" s="2063" t="s">
        <v>376</v>
      </c>
      <c r="N11" s="2064"/>
      <c r="O11" s="2065"/>
      <c r="P11" s="2063" t="s">
        <v>417</v>
      </c>
      <c r="Q11" s="2064"/>
      <c r="R11" s="2065"/>
      <c r="S11" s="11"/>
    </row>
    <row r="12" spans="1:19" ht="3.2" customHeight="1">
      <c r="B12" s="11"/>
      <c r="C12" s="11"/>
      <c r="D12" s="2066"/>
      <c r="E12" s="2067"/>
      <c r="F12" s="2068"/>
      <c r="G12" s="2066"/>
      <c r="H12" s="2067"/>
      <c r="I12" s="2068"/>
      <c r="J12" s="2066"/>
      <c r="K12" s="2067"/>
      <c r="L12" s="2068"/>
      <c r="M12" s="2066"/>
      <c r="N12" s="2067"/>
      <c r="O12" s="2068"/>
      <c r="P12" s="2066"/>
      <c r="Q12" s="2067"/>
      <c r="R12" s="2068"/>
      <c r="S12" s="11"/>
    </row>
    <row r="13" spans="1:19">
      <c r="B13" s="11"/>
      <c r="C13" s="11"/>
      <c r="D13" s="2066"/>
      <c r="E13" s="2067"/>
      <c r="F13" s="2068"/>
      <c r="G13" s="2066"/>
      <c r="H13" s="2067"/>
      <c r="I13" s="2068"/>
      <c r="J13" s="2066"/>
      <c r="K13" s="2067"/>
      <c r="L13" s="2068"/>
      <c r="M13" s="2066"/>
      <c r="N13" s="2067"/>
      <c r="O13" s="2068"/>
      <c r="P13" s="2066"/>
      <c r="Q13" s="2067"/>
      <c r="R13" s="2068"/>
      <c r="S13" s="11"/>
    </row>
    <row r="14" spans="1:19" ht="3.2" customHeight="1">
      <c r="B14" s="11"/>
      <c r="C14" s="11"/>
      <c r="D14" s="2066"/>
      <c r="E14" s="2067"/>
      <c r="F14" s="2068"/>
      <c r="G14" s="2066"/>
      <c r="H14" s="2067"/>
      <c r="I14" s="2068"/>
      <c r="J14" s="2066"/>
      <c r="K14" s="2067"/>
      <c r="L14" s="2068"/>
      <c r="M14" s="2066"/>
      <c r="N14" s="2067"/>
      <c r="O14" s="2068"/>
      <c r="P14" s="2066"/>
      <c r="Q14" s="2067"/>
      <c r="R14" s="2068"/>
      <c r="S14" s="11"/>
    </row>
    <row r="15" spans="1:19">
      <c r="B15" s="11"/>
      <c r="C15" s="11"/>
      <c r="D15" s="2066"/>
      <c r="E15" s="2067"/>
      <c r="F15" s="2068"/>
      <c r="G15" s="2066"/>
      <c r="H15" s="2067"/>
      <c r="I15" s="2068"/>
      <c r="J15" s="2066"/>
      <c r="K15" s="2067"/>
      <c r="L15" s="2068"/>
      <c r="M15" s="2066"/>
      <c r="N15" s="2067"/>
      <c r="O15" s="2068"/>
      <c r="P15" s="2066"/>
      <c r="Q15" s="2067"/>
      <c r="R15" s="2068"/>
      <c r="S15" s="11"/>
    </row>
    <row r="16" spans="1:19" ht="3.2" customHeight="1">
      <c r="B16" s="11"/>
      <c r="C16" s="11"/>
      <c r="D16" s="2066"/>
      <c r="E16" s="2067"/>
      <c r="F16" s="2068"/>
      <c r="G16" s="2066"/>
      <c r="H16" s="2067"/>
      <c r="I16" s="2068"/>
      <c r="J16" s="2066"/>
      <c r="K16" s="2067"/>
      <c r="L16" s="2068"/>
      <c r="M16" s="2066"/>
      <c r="N16" s="2067"/>
      <c r="O16" s="2068"/>
      <c r="P16" s="2066"/>
      <c r="Q16" s="2067"/>
      <c r="R16" s="2068"/>
      <c r="S16" s="11"/>
    </row>
    <row r="17" spans="2:19">
      <c r="B17" s="11"/>
      <c r="C17" s="2062" t="s">
        <v>391</v>
      </c>
      <c r="D17" s="2066"/>
      <c r="E17" s="2067"/>
      <c r="F17" s="2068"/>
      <c r="G17" s="2066"/>
      <c r="H17" s="2067"/>
      <c r="I17" s="2068"/>
      <c r="J17" s="2066"/>
      <c r="K17" s="2067"/>
      <c r="L17" s="2068"/>
      <c r="M17" s="2066"/>
      <c r="N17" s="2067"/>
      <c r="O17" s="2068"/>
      <c r="P17" s="2066"/>
      <c r="Q17" s="2067"/>
      <c r="R17" s="2068"/>
      <c r="S17" s="11"/>
    </row>
    <row r="18" spans="2:19" ht="3.2" customHeight="1">
      <c r="B18" s="11"/>
      <c r="C18" s="2062"/>
      <c r="D18" s="2066"/>
      <c r="E18" s="2067"/>
      <c r="F18" s="2068"/>
      <c r="G18" s="2066"/>
      <c r="H18" s="2067"/>
      <c r="I18" s="2068"/>
      <c r="J18" s="2066"/>
      <c r="K18" s="2067"/>
      <c r="L18" s="2068"/>
      <c r="M18" s="2066"/>
      <c r="N18" s="2067"/>
      <c r="O18" s="2068"/>
      <c r="P18" s="2066"/>
      <c r="Q18" s="2067"/>
      <c r="R18" s="2068"/>
      <c r="S18" s="11"/>
    </row>
    <row r="19" spans="2:19" ht="12.75" customHeight="1">
      <c r="B19" s="11"/>
      <c r="C19" s="2062"/>
      <c r="D19" s="2066"/>
      <c r="E19" s="2067"/>
      <c r="F19" s="2068"/>
      <c r="G19" s="2066"/>
      <c r="H19" s="2067"/>
      <c r="I19" s="2068"/>
      <c r="J19" s="2066"/>
      <c r="K19" s="2067"/>
      <c r="L19" s="2068"/>
      <c r="M19" s="2066"/>
      <c r="N19" s="2067"/>
      <c r="O19" s="2068"/>
      <c r="P19" s="2066"/>
      <c r="Q19" s="2067"/>
      <c r="R19" s="2068"/>
      <c r="S19" s="11"/>
    </row>
    <row r="20" spans="2:19" ht="3.2" customHeight="1">
      <c r="B20" s="11"/>
      <c r="C20" s="2062"/>
      <c r="D20" s="2066"/>
      <c r="E20" s="2067"/>
      <c r="F20" s="2068"/>
      <c r="G20" s="2066"/>
      <c r="H20" s="2067"/>
      <c r="I20" s="2068"/>
      <c r="J20" s="2066"/>
      <c r="K20" s="2067"/>
      <c r="L20" s="2068"/>
      <c r="M20" s="2066"/>
      <c r="N20" s="2067"/>
      <c r="O20" s="2068"/>
      <c r="P20" s="2066"/>
      <c r="Q20" s="2067"/>
      <c r="R20" s="2068"/>
      <c r="S20" s="11"/>
    </row>
    <row r="21" spans="2:19">
      <c r="B21" s="11"/>
      <c r="C21" s="11"/>
      <c r="D21" s="16"/>
      <c r="E21" s="3"/>
      <c r="F21" s="17"/>
      <c r="G21" s="16"/>
      <c r="H21" s="3"/>
      <c r="I21" s="17"/>
      <c r="J21" s="16"/>
      <c r="K21" s="3"/>
      <c r="L21" s="17"/>
      <c r="M21" s="16"/>
      <c r="N21" s="3"/>
      <c r="O21" s="17"/>
      <c r="P21" s="16"/>
      <c r="Q21" s="3"/>
      <c r="R21" s="17"/>
      <c r="S21" s="11"/>
    </row>
    <row r="22" spans="2:19" ht="3.2" customHeight="1">
      <c r="B22" s="11"/>
      <c r="C22" s="7"/>
      <c r="D22" s="6"/>
      <c r="E22" s="4"/>
      <c r="F22" s="18"/>
      <c r="G22" s="6"/>
      <c r="H22" s="4"/>
      <c r="I22" s="18"/>
      <c r="J22" s="6"/>
      <c r="K22" s="4"/>
      <c r="L22" s="18"/>
      <c r="M22" s="6"/>
      <c r="N22" s="4"/>
      <c r="O22" s="18"/>
      <c r="P22" s="6"/>
      <c r="Q22" s="4"/>
      <c r="R22" s="18"/>
      <c r="S22" s="11"/>
    </row>
    <row r="23" spans="2:19">
      <c r="B23" s="11"/>
      <c r="C23" s="12" t="str">
        <f>IF(D23&gt;0,Kalkulation!BD338,"")</f>
        <v/>
      </c>
      <c r="D23" s="2069">
        <f>Kalkulation!BX338</f>
        <v>0</v>
      </c>
      <c r="E23" s="2070"/>
      <c r="F23" s="2071"/>
      <c r="G23" s="2069">
        <f>Kalkulation!CH349</f>
        <v>0</v>
      </c>
      <c r="H23" s="2070"/>
      <c r="I23" s="2071"/>
      <c r="J23" s="2069">
        <f>SUM(Kalkulation!CE338:CE349)</f>
        <v>0</v>
      </c>
      <c r="K23" s="2070"/>
      <c r="L23" s="2071"/>
      <c r="M23" s="2069">
        <f>SUM(Kalkulation!CB338:CB349)</f>
        <v>0</v>
      </c>
      <c r="N23" s="2070"/>
      <c r="O23" s="2071"/>
      <c r="P23" s="2069">
        <f>J23+M23</f>
        <v>0</v>
      </c>
      <c r="Q23" s="2070"/>
      <c r="R23" s="2071"/>
      <c r="S23" s="11"/>
    </row>
    <row r="24" spans="2:19" ht="3.2" customHeight="1">
      <c r="B24" s="11"/>
      <c r="C24" s="2"/>
      <c r="D24" s="5"/>
      <c r="E24" s="1"/>
      <c r="F24" s="19"/>
      <c r="G24" s="5"/>
      <c r="H24" s="1"/>
      <c r="I24" s="19"/>
      <c r="J24" s="5"/>
      <c r="K24" s="1"/>
      <c r="L24" s="19"/>
      <c r="M24" s="5"/>
      <c r="N24" s="1"/>
      <c r="O24" s="19"/>
      <c r="P24" s="5"/>
      <c r="Q24" s="1"/>
      <c r="R24" s="19"/>
      <c r="S24" s="11"/>
    </row>
    <row r="25" spans="2:19">
      <c r="B25" s="11"/>
      <c r="C25" s="12" t="str">
        <f>IF(D25&gt;0,Kalkulation!BD350,"")</f>
        <v/>
      </c>
      <c r="D25" s="2069">
        <f>Kalkulation!BX350</f>
        <v>0</v>
      </c>
      <c r="E25" s="2070"/>
      <c r="F25" s="2071"/>
      <c r="G25" s="2069">
        <f>Kalkulation!CH361</f>
        <v>0</v>
      </c>
      <c r="H25" s="2070"/>
      <c r="I25" s="2071"/>
      <c r="J25" s="2069">
        <f>SUM(Kalkulation!CE350:CE361)</f>
        <v>0</v>
      </c>
      <c r="K25" s="2070"/>
      <c r="L25" s="2071"/>
      <c r="M25" s="2069">
        <f>SUM(Kalkulation!CB350:CB361)</f>
        <v>0</v>
      </c>
      <c r="N25" s="2070"/>
      <c r="O25" s="2071"/>
      <c r="P25" s="2069">
        <f>J25+M25</f>
        <v>0</v>
      </c>
      <c r="Q25" s="2070"/>
      <c r="R25" s="2071"/>
      <c r="S25" s="11"/>
    </row>
    <row r="26" spans="2:19" ht="3.2" customHeight="1">
      <c r="B26" s="11"/>
      <c r="C26" s="2"/>
      <c r="D26" s="5"/>
      <c r="E26" s="1"/>
      <c r="F26" s="19"/>
      <c r="G26" s="5"/>
      <c r="H26" s="1"/>
      <c r="I26" s="19"/>
      <c r="J26" s="5"/>
      <c r="K26" s="1"/>
      <c r="L26" s="19"/>
      <c r="M26" s="5"/>
      <c r="N26" s="1"/>
      <c r="O26" s="19"/>
      <c r="P26" s="5"/>
      <c r="Q26" s="1"/>
      <c r="R26" s="19"/>
      <c r="S26" s="11"/>
    </row>
    <row r="27" spans="2:19">
      <c r="B27" s="11"/>
      <c r="C27" s="12" t="str">
        <f>IF(D27&gt;0,Kalkulation!BD362,"")</f>
        <v/>
      </c>
      <c r="D27" s="2069">
        <f>Kalkulation!BX362</f>
        <v>0</v>
      </c>
      <c r="E27" s="2070"/>
      <c r="F27" s="2071"/>
      <c r="G27" s="2069">
        <f>Kalkulation!CH373</f>
        <v>0</v>
      </c>
      <c r="H27" s="2070"/>
      <c r="I27" s="2071"/>
      <c r="J27" s="2069">
        <f>SUM(Kalkulation!CE362:CE373)</f>
        <v>0</v>
      </c>
      <c r="K27" s="2070"/>
      <c r="L27" s="2071"/>
      <c r="M27" s="2069">
        <f>SUM(Kalkulation!CB362:CB373)</f>
        <v>0</v>
      </c>
      <c r="N27" s="2070"/>
      <c r="O27" s="2071"/>
      <c r="P27" s="2069">
        <f>J27+M27</f>
        <v>0</v>
      </c>
      <c r="Q27" s="2070"/>
      <c r="R27" s="2071"/>
      <c r="S27" s="11"/>
    </row>
    <row r="28" spans="2:19" ht="3.2" customHeight="1">
      <c r="B28" s="11"/>
      <c r="C28" s="2"/>
      <c r="D28" s="5"/>
      <c r="E28" s="1"/>
      <c r="F28" s="19"/>
      <c r="G28" s="5"/>
      <c r="H28" s="1"/>
      <c r="I28" s="19"/>
      <c r="J28" s="5"/>
      <c r="K28" s="1"/>
      <c r="L28" s="19"/>
      <c r="M28" s="5"/>
      <c r="N28" s="1"/>
      <c r="O28" s="19"/>
      <c r="P28" s="5"/>
      <c r="Q28" s="1"/>
      <c r="R28" s="19"/>
      <c r="S28" s="11"/>
    </row>
    <row r="29" spans="2:19">
      <c r="B29" s="11"/>
      <c r="C29" s="12" t="str">
        <f>IF(D29&gt;0,Kalkulation!BD374,"")</f>
        <v/>
      </c>
      <c r="D29" s="2069">
        <f>Kalkulation!BX374</f>
        <v>0</v>
      </c>
      <c r="E29" s="2070"/>
      <c r="F29" s="2071"/>
      <c r="G29" s="2069">
        <f>Kalkulation!CH385</f>
        <v>0</v>
      </c>
      <c r="H29" s="2070"/>
      <c r="I29" s="2071"/>
      <c r="J29" s="2069">
        <f>SUM(Kalkulation!CE374:CE385)</f>
        <v>0</v>
      </c>
      <c r="K29" s="2070"/>
      <c r="L29" s="2071"/>
      <c r="M29" s="2069">
        <f>SUM(Kalkulation!CB374:CB385)</f>
        <v>0</v>
      </c>
      <c r="N29" s="2070"/>
      <c r="O29" s="2071"/>
      <c r="P29" s="2069">
        <f>J29+M29</f>
        <v>0</v>
      </c>
      <c r="Q29" s="2070"/>
      <c r="R29" s="2071"/>
      <c r="S29" s="11"/>
    </row>
    <row r="30" spans="2:19" ht="3.2" customHeight="1">
      <c r="B30" s="11"/>
      <c r="C30" s="2"/>
      <c r="D30" s="5"/>
      <c r="E30" s="1"/>
      <c r="F30" s="19"/>
      <c r="G30" s="5"/>
      <c r="H30" s="1"/>
      <c r="I30" s="19"/>
      <c r="J30" s="5"/>
      <c r="K30" s="1"/>
      <c r="L30" s="19"/>
      <c r="M30" s="5"/>
      <c r="N30" s="1"/>
      <c r="O30" s="19"/>
      <c r="P30" s="5"/>
      <c r="Q30" s="1"/>
      <c r="R30" s="19"/>
      <c r="S30" s="11"/>
    </row>
    <row r="31" spans="2:19">
      <c r="B31" s="11"/>
      <c r="C31" s="12" t="str">
        <f>IF(D31&gt;0,Kalkulation!BD386,"")</f>
        <v/>
      </c>
      <c r="D31" s="2069">
        <f>Kalkulation!BX386</f>
        <v>0</v>
      </c>
      <c r="E31" s="2070">
        <f>Kalkulation!BH388</f>
        <v>0</v>
      </c>
      <c r="F31" s="2071"/>
      <c r="G31" s="2069">
        <f>Kalkulation!CH397</f>
        <v>0</v>
      </c>
      <c r="H31" s="2070"/>
      <c r="I31" s="2071"/>
      <c r="J31" s="2069">
        <f>SUM(Kalkulation!CE386:CE397)</f>
        <v>0</v>
      </c>
      <c r="K31" s="2070"/>
      <c r="L31" s="2071"/>
      <c r="M31" s="2069">
        <f>SUM(Kalkulation!CB386:CB397)</f>
        <v>0</v>
      </c>
      <c r="N31" s="2070"/>
      <c r="O31" s="2071"/>
      <c r="P31" s="2069">
        <f>J31+M31</f>
        <v>0</v>
      </c>
      <c r="Q31" s="2070"/>
      <c r="R31" s="2071"/>
      <c r="S31" s="11"/>
    </row>
    <row r="32" spans="2:19" ht="3.2" customHeight="1">
      <c r="B32" s="11"/>
      <c r="C32" s="2"/>
      <c r="D32" s="5"/>
      <c r="E32" s="1"/>
      <c r="F32" s="19"/>
      <c r="G32" s="5"/>
      <c r="H32" s="1"/>
      <c r="I32" s="19"/>
      <c r="J32" s="5"/>
      <c r="K32" s="1"/>
      <c r="L32" s="19"/>
      <c r="M32" s="5"/>
      <c r="N32" s="1"/>
      <c r="O32" s="19"/>
      <c r="P32" s="5"/>
      <c r="Q32" s="1"/>
      <c r="R32" s="19"/>
      <c r="S32" s="11"/>
    </row>
    <row r="33" spans="2:19" ht="12.75" customHeight="1">
      <c r="B33" s="11"/>
      <c r="C33" s="12" t="str">
        <f>IF(D33&gt;0,Kalkulation!BD398,"")</f>
        <v/>
      </c>
      <c r="D33" s="2069">
        <f>Kalkulation!BX398</f>
        <v>0</v>
      </c>
      <c r="E33" s="2070"/>
      <c r="F33" s="2071"/>
      <c r="G33" s="2069">
        <f>Kalkulation!CH409</f>
        <v>0</v>
      </c>
      <c r="H33" s="2070"/>
      <c r="I33" s="2071"/>
      <c r="J33" s="2069">
        <f>SUM(Kalkulation!CE398:CE409)</f>
        <v>0</v>
      </c>
      <c r="K33" s="2070"/>
      <c r="L33" s="2071"/>
      <c r="M33" s="2069">
        <f>SUM(Kalkulation!CB398:CB409)</f>
        <v>0</v>
      </c>
      <c r="N33" s="2070"/>
      <c r="O33" s="2071"/>
      <c r="P33" s="2069">
        <f>J33+M33</f>
        <v>0</v>
      </c>
      <c r="Q33" s="2070"/>
      <c r="R33" s="2071"/>
      <c r="S33" s="11"/>
    </row>
    <row r="34" spans="2:19" ht="3.2" customHeight="1">
      <c r="B34" s="11"/>
      <c r="C34" s="2"/>
      <c r="D34" s="5"/>
      <c r="E34" s="1"/>
      <c r="F34" s="19"/>
      <c r="G34" s="5"/>
      <c r="H34" s="1"/>
      <c r="I34" s="19"/>
      <c r="J34" s="5"/>
      <c r="K34" s="1"/>
      <c r="L34" s="19"/>
      <c r="M34" s="5"/>
      <c r="N34" s="1"/>
      <c r="O34" s="19"/>
      <c r="P34" s="5"/>
      <c r="Q34" s="1"/>
      <c r="R34" s="19"/>
      <c r="S34" s="11"/>
    </row>
    <row r="35" spans="2:19">
      <c r="B35" s="11"/>
      <c r="C35" s="12" t="str">
        <f>IF(D35&gt;0,Kalkulation!BD410,"")</f>
        <v/>
      </c>
      <c r="D35" s="2069">
        <f>Kalkulation!BX410</f>
        <v>0</v>
      </c>
      <c r="E35" s="2070"/>
      <c r="F35" s="2071"/>
      <c r="G35" s="2069">
        <f>Kalkulation!CH421</f>
        <v>0</v>
      </c>
      <c r="H35" s="2070"/>
      <c r="I35" s="2071"/>
      <c r="J35" s="2069">
        <f>SUM(Kalkulation!CE410:CE421)</f>
        <v>0</v>
      </c>
      <c r="K35" s="2070"/>
      <c r="L35" s="2071"/>
      <c r="M35" s="2069">
        <f>SUM(Kalkulation!CB410:CB421)</f>
        <v>0</v>
      </c>
      <c r="N35" s="2070"/>
      <c r="O35" s="2071"/>
      <c r="P35" s="2069">
        <f>J35+M35</f>
        <v>0</v>
      </c>
      <c r="Q35" s="2070"/>
      <c r="R35" s="2071"/>
      <c r="S35" s="11"/>
    </row>
    <row r="36" spans="2:19" ht="3.2" customHeight="1">
      <c r="B36" s="11"/>
      <c r="C36" s="2"/>
      <c r="D36" s="5"/>
      <c r="E36" s="1"/>
      <c r="F36" s="19"/>
      <c r="G36" s="5"/>
      <c r="H36" s="1"/>
      <c r="I36" s="19"/>
      <c r="J36" s="5"/>
      <c r="K36" s="1"/>
      <c r="L36" s="19"/>
      <c r="M36" s="5"/>
      <c r="N36" s="1"/>
      <c r="O36" s="19"/>
      <c r="P36" s="5"/>
      <c r="Q36" s="1"/>
      <c r="R36" s="19"/>
      <c r="S36" s="11"/>
    </row>
    <row r="37" spans="2:19">
      <c r="B37" s="11"/>
      <c r="C37" s="12" t="str">
        <f>IF(D37&gt;0,Kalkulation!BD422,"")</f>
        <v/>
      </c>
      <c r="D37" s="2069">
        <f>Kalkulation!BX422</f>
        <v>0</v>
      </c>
      <c r="E37" s="2070"/>
      <c r="F37" s="2071"/>
      <c r="G37" s="2069">
        <f>Kalkulation!CH433</f>
        <v>0</v>
      </c>
      <c r="H37" s="2070"/>
      <c r="I37" s="2071"/>
      <c r="J37" s="2069">
        <f>SUM(Kalkulation!CE422:CE433)</f>
        <v>0</v>
      </c>
      <c r="K37" s="2070"/>
      <c r="L37" s="2071"/>
      <c r="M37" s="2069">
        <f>SUM(Kalkulation!CB422:CB433)</f>
        <v>0</v>
      </c>
      <c r="N37" s="2070"/>
      <c r="O37" s="2071"/>
      <c r="P37" s="2069">
        <f>J37+M37</f>
        <v>0</v>
      </c>
      <c r="Q37" s="2070"/>
      <c r="R37" s="2071"/>
      <c r="S37" s="11"/>
    </row>
    <row r="38" spans="2:19" ht="3.2" customHeight="1">
      <c r="B38" s="11"/>
      <c r="C38" s="2"/>
      <c r="D38" s="5"/>
      <c r="E38" s="1"/>
      <c r="F38" s="19"/>
      <c r="G38" s="5"/>
      <c r="H38" s="1"/>
      <c r="I38" s="19"/>
      <c r="J38" s="5"/>
      <c r="K38" s="1"/>
      <c r="L38" s="19"/>
      <c r="M38" s="5"/>
      <c r="N38" s="1"/>
      <c r="O38" s="19"/>
      <c r="P38" s="5"/>
      <c r="Q38" s="1"/>
      <c r="R38" s="19"/>
      <c r="S38" s="11"/>
    </row>
    <row r="39" spans="2:19" ht="12.75" customHeight="1">
      <c r="B39" s="11"/>
      <c r="C39" s="12" t="str">
        <f>IF(D39&gt;0,Kalkulation!BD434,"")</f>
        <v/>
      </c>
      <c r="D39" s="2069">
        <f>Kalkulation!BX434</f>
        <v>0</v>
      </c>
      <c r="E39" s="2070"/>
      <c r="F39" s="2071"/>
      <c r="G39" s="2069">
        <f>Kalkulation!CH445</f>
        <v>0</v>
      </c>
      <c r="H39" s="2070"/>
      <c r="I39" s="2071"/>
      <c r="J39" s="2069">
        <f>SUM(Kalkulation!CE434:CE445)</f>
        <v>0</v>
      </c>
      <c r="K39" s="2070"/>
      <c r="L39" s="2071"/>
      <c r="M39" s="2069">
        <f>SUM(Kalkulation!CB434:CB445)</f>
        <v>0</v>
      </c>
      <c r="N39" s="2070"/>
      <c r="O39" s="2071"/>
      <c r="P39" s="2069">
        <f>J39+M39</f>
        <v>0</v>
      </c>
      <c r="Q39" s="2070"/>
      <c r="R39" s="2071"/>
      <c r="S39" s="11"/>
    </row>
    <row r="40" spans="2:19" ht="3.2" customHeight="1">
      <c r="B40" s="11"/>
      <c r="C40" s="2"/>
      <c r="D40" s="5"/>
      <c r="E40" s="1"/>
      <c r="F40" s="19"/>
      <c r="G40" s="5"/>
      <c r="H40" s="1"/>
      <c r="I40" s="19"/>
      <c r="J40" s="5"/>
      <c r="K40" s="1"/>
      <c r="L40" s="19"/>
      <c r="M40" s="5"/>
      <c r="N40" s="1"/>
      <c r="O40" s="19"/>
      <c r="P40" s="5"/>
      <c r="Q40" s="1"/>
      <c r="R40" s="19"/>
      <c r="S40" s="11"/>
    </row>
    <row r="41" spans="2:19" ht="12.75" customHeight="1">
      <c r="B41" s="11"/>
      <c r="C41" s="12" t="str">
        <f>IF(D41&gt;0,Kalkulation!BD446,"")</f>
        <v/>
      </c>
      <c r="D41" s="2069">
        <f>Kalkulation!BX446</f>
        <v>0</v>
      </c>
      <c r="E41" s="2070"/>
      <c r="F41" s="2071"/>
      <c r="G41" s="2069">
        <f>Kalkulation!CH457</f>
        <v>0</v>
      </c>
      <c r="H41" s="2070"/>
      <c r="I41" s="2071"/>
      <c r="J41" s="2069">
        <f>SUM(Kalkulation!CE446:CE457)</f>
        <v>0</v>
      </c>
      <c r="K41" s="2070"/>
      <c r="L41" s="2071"/>
      <c r="M41" s="2069">
        <f>SUM(Kalkulation!CB446:CB457)</f>
        <v>0</v>
      </c>
      <c r="N41" s="2070"/>
      <c r="O41" s="2071"/>
      <c r="P41" s="2069">
        <f>J41+M41</f>
        <v>0</v>
      </c>
      <c r="Q41" s="2070"/>
      <c r="R41" s="2071"/>
      <c r="S41" s="11"/>
    </row>
    <row r="42" spans="2:19" ht="3.2" customHeight="1">
      <c r="B42" s="11"/>
      <c r="C42" s="2"/>
      <c r="D42" s="5"/>
      <c r="E42" s="1"/>
      <c r="F42" s="19"/>
      <c r="G42" s="5"/>
      <c r="H42" s="1"/>
      <c r="I42" s="19"/>
      <c r="J42" s="5"/>
      <c r="K42" s="1"/>
      <c r="L42" s="19"/>
      <c r="M42" s="5"/>
      <c r="N42" s="1"/>
      <c r="O42" s="19"/>
      <c r="P42" s="5"/>
      <c r="Q42" s="1"/>
      <c r="R42" s="19"/>
      <c r="S42" s="11"/>
    </row>
    <row r="43" spans="2:19" ht="12.75" customHeight="1">
      <c r="B43" s="11"/>
      <c r="C43" s="12" t="str">
        <f>IF(D43&gt;0,Kalkulation!BD458,"")</f>
        <v/>
      </c>
      <c r="D43" s="2069">
        <f>Kalkulation!BX458</f>
        <v>0</v>
      </c>
      <c r="E43" s="2070"/>
      <c r="F43" s="2071"/>
      <c r="G43" s="2069">
        <f>Kalkulation!CH469</f>
        <v>0</v>
      </c>
      <c r="H43" s="2070"/>
      <c r="I43" s="2071"/>
      <c r="J43" s="2069">
        <f>SUM(Kalkulation!CE458:CE469)</f>
        <v>0</v>
      </c>
      <c r="K43" s="2070"/>
      <c r="L43" s="2071"/>
      <c r="M43" s="2069">
        <f>SUM(Kalkulation!CB458:CB469)</f>
        <v>0</v>
      </c>
      <c r="N43" s="2070"/>
      <c r="O43" s="2071"/>
      <c r="P43" s="2069">
        <f>J43+M43</f>
        <v>0</v>
      </c>
      <c r="Q43" s="2070"/>
      <c r="R43" s="2071"/>
      <c r="S43" s="11"/>
    </row>
    <row r="44" spans="2:19" ht="3.2" customHeight="1">
      <c r="B44" s="11"/>
      <c r="C44" s="10"/>
      <c r="D44" s="5"/>
      <c r="E44" s="1"/>
      <c r="F44" s="19"/>
      <c r="G44" s="5"/>
      <c r="H44" s="1"/>
      <c r="I44" s="19"/>
      <c r="J44" s="5"/>
      <c r="K44" s="1"/>
      <c r="L44" s="19"/>
      <c r="M44" s="5"/>
      <c r="N44" s="1"/>
      <c r="O44" s="19"/>
      <c r="P44" s="5"/>
      <c r="Q44" s="1"/>
      <c r="R44" s="19"/>
      <c r="S44" s="11"/>
    </row>
    <row r="45" spans="2:19" ht="12.75" customHeight="1">
      <c r="B45" s="11"/>
      <c r="C45" s="12" t="str">
        <f>IF(D45&gt;0,Kalkulation!BD470,"")</f>
        <v/>
      </c>
      <c r="D45" s="2069">
        <f>Kalkulation!BX470</f>
        <v>0</v>
      </c>
      <c r="E45" s="2070"/>
      <c r="F45" s="2071"/>
      <c r="G45" s="2069">
        <f>Kalkulation!CH481</f>
        <v>0</v>
      </c>
      <c r="H45" s="2070"/>
      <c r="I45" s="2071"/>
      <c r="J45" s="2069">
        <f>SUM(Kalkulation!CE470:CE481)</f>
        <v>0</v>
      </c>
      <c r="K45" s="2070"/>
      <c r="L45" s="2071"/>
      <c r="M45" s="2069">
        <f>SUM(Kalkulation!CB470:CB481)</f>
        <v>0</v>
      </c>
      <c r="N45" s="2070"/>
      <c r="O45" s="2071"/>
      <c r="P45" s="2069">
        <f>J45+M45</f>
        <v>0</v>
      </c>
      <c r="Q45" s="2070"/>
      <c r="R45" s="2071"/>
      <c r="S45" s="11"/>
    </row>
    <row r="46" spans="2:19" ht="3.2" customHeight="1">
      <c r="B46" s="11"/>
      <c r="C46" s="10"/>
      <c r="D46" s="5"/>
      <c r="E46" s="1"/>
      <c r="F46" s="19"/>
      <c r="G46" s="5"/>
      <c r="H46" s="1"/>
      <c r="I46" s="19"/>
      <c r="J46" s="5"/>
      <c r="K46" s="1"/>
      <c r="L46" s="19"/>
      <c r="M46" s="5"/>
      <c r="N46" s="1"/>
      <c r="O46" s="19"/>
      <c r="P46" s="5"/>
      <c r="Q46" s="1"/>
      <c r="R46" s="19"/>
      <c r="S46" s="11"/>
    </row>
    <row r="47" spans="2:19">
      <c r="B47" s="11"/>
      <c r="C47" s="12" t="str">
        <f>IF(D47&gt;0,Kalkulation!BD482,"")</f>
        <v/>
      </c>
      <c r="D47" s="2069">
        <f>Kalkulation!BX482</f>
        <v>0</v>
      </c>
      <c r="E47" s="2070"/>
      <c r="F47" s="2071"/>
      <c r="G47" s="2069">
        <f>Kalkulation!CH493</f>
        <v>0</v>
      </c>
      <c r="H47" s="2070"/>
      <c r="I47" s="2071"/>
      <c r="J47" s="2069">
        <f>SUM(Kalkulation!CE482:CE493)</f>
        <v>0</v>
      </c>
      <c r="K47" s="2070"/>
      <c r="L47" s="2071"/>
      <c r="M47" s="2069">
        <f>SUM(Kalkulation!CB482:CB493)</f>
        <v>0</v>
      </c>
      <c r="N47" s="2070"/>
      <c r="O47" s="2071"/>
      <c r="P47" s="2069">
        <f>J47+M47</f>
        <v>0</v>
      </c>
      <c r="Q47" s="2070"/>
      <c r="R47" s="2071"/>
      <c r="S47" s="11"/>
    </row>
    <row r="48" spans="2:19" ht="3.2" customHeight="1">
      <c r="B48" s="11"/>
      <c r="C48" s="10"/>
      <c r="D48" s="5"/>
      <c r="E48" s="1"/>
      <c r="F48" s="19"/>
      <c r="G48" s="5"/>
      <c r="H48" s="1"/>
      <c r="I48" s="19"/>
      <c r="J48" s="5"/>
      <c r="K48" s="1"/>
      <c r="L48" s="19"/>
      <c r="M48" s="5"/>
      <c r="N48" s="1"/>
      <c r="O48" s="19"/>
      <c r="P48" s="5"/>
      <c r="Q48" s="1"/>
      <c r="R48" s="19"/>
      <c r="S48" s="11"/>
    </row>
    <row r="49" spans="2:19">
      <c r="B49" s="11"/>
      <c r="C49" s="12" t="str">
        <f>IF(D49&gt;0,Kalkulation!BD494,"")</f>
        <v/>
      </c>
      <c r="D49" s="2069">
        <f>Kalkulation!BX494</f>
        <v>0</v>
      </c>
      <c r="E49" s="2070"/>
      <c r="F49" s="2071"/>
      <c r="G49" s="2069">
        <f>Kalkulation!CH505</f>
        <v>0</v>
      </c>
      <c r="H49" s="2070"/>
      <c r="I49" s="2071"/>
      <c r="J49" s="2069">
        <f>SUM(Kalkulation!CE494:CE505)</f>
        <v>0</v>
      </c>
      <c r="K49" s="2070"/>
      <c r="L49" s="2071"/>
      <c r="M49" s="2069">
        <f>SUM(Kalkulation!CB494:CB505)</f>
        <v>0</v>
      </c>
      <c r="N49" s="2070"/>
      <c r="O49" s="2071"/>
      <c r="P49" s="2069">
        <f>J49+M49</f>
        <v>0</v>
      </c>
      <c r="Q49" s="2070"/>
      <c r="R49" s="2071"/>
      <c r="S49" s="11"/>
    </row>
    <row r="50" spans="2:19" ht="3.2" customHeight="1">
      <c r="B50" s="11"/>
      <c r="C50" s="2"/>
      <c r="D50" s="5"/>
      <c r="E50" s="1"/>
      <c r="F50" s="19"/>
      <c r="G50" s="5"/>
      <c r="H50" s="1"/>
      <c r="I50" s="19"/>
      <c r="J50" s="5"/>
      <c r="K50" s="1"/>
      <c r="L50" s="19"/>
      <c r="M50" s="5"/>
      <c r="N50" s="1"/>
      <c r="O50" s="19"/>
      <c r="P50" s="5"/>
      <c r="Q50" s="1"/>
      <c r="R50" s="19"/>
      <c r="S50" s="11"/>
    </row>
    <row r="51" spans="2:19" ht="12.75" customHeight="1">
      <c r="B51" s="11"/>
      <c r="C51" s="12" t="str">
        <f>IF(D51&gt;0,Kalkulation!BD506,"")</f>
        <v/>
      </c>
      <c r="D51" s="2069">
        <f>Kalkulation!BX506</f>
        <v>0</v>
      </c>
      <c r="E51" s="2070"/>
      <c r="F51" s="2071"/>
      <c r="G51" s="2069">
        <f>Kalkulation!CH517</f>
        <v>0</v>
      </c>
      <c r="H51" s="2070"/>
      <c r="I51" s="2071"/>
      <c r="J51" s="2069">
        <f>SUM(Kalkulation!CE506:CE517)</f>
        <v>0</v>
      </c>
      <c r="K51" s="2070"/>
      <c r="L51" s="2071"/>
      <c r="M51" s="2069">
        <f>SUM(Kalkulation!CB506:CB517)</f>
        <v>0</v>
      </c>
      <c r="N51" s="2070"/>
      <c r="O51" s="2071"/>
      <c r="P51" s="2069">
        <f>J51+M51</f>
        <v>0</v>
      </c>
      <c r="Q51" s="2070"/>
      <c r="R51" s="2071"/>
      <c r="S51" s="11"/>
    </row>
    <row r="52" spans="2:19" ht="3.2" customHeight="1">
      <c r="B52" s="11"/>
      <c r="C52" s="2"/>
      <c r="D52" s="5"/>
      <c r="E52" s="1"/>
      <c r="F52" s="19"/>
      <c r="G52" s="5"/>
      <c r="H52" s="1"/>
      <c r="I52" s="19"/>
      <c r="J52" s="5"/>
      <c r="K52" s="1"/>
      <c r="L52" s="19"/>
      <c r="M52" s="5"/>
      <c r="N52" s="1"/>
      <c r="O52" s="19"/>
      <c r="P52" s="5"/>
      <c r="Q52" s="1"/>
      <c r="R52" s="19"/>
      <c r="S52" s="11"/>
    </row>
    <row r="53" spans="2:19">
      <c r="B53" s="11"/>
      <c r="C53" s="12" t="str">
        <f>IF(D53&gt;0,Kalkulation!BD518,"")</f>
        <v/>
      </c>
      <c r="D53" s="2069">
        <f>Kalkulation!BX518</f>
        <v>0</v>
      </c>
      <c r="E53" s="2070"/>
      <c r="F53" s="2071"/>
      <c r="G53" s="2069">
        <f>Kalkulation!CH529</f>
        <v>0</v>
      </c>
      <c r="H53" s="2070"/>
      <c r="I53" s="2071"/>
      <c r="J53" s="2069">
        <f>SUM(Kalkulation!CE518:CE529)</f>
        <v>0</v>
      </c>
      <c r="K53" s="2070"/>
      <c r="L53" s="2071"/>
      <c r="M53" s="2069">
        <f>SUM(Kalkulation!CB518:CB529)</f>
        <v>0</v>
      </c>
      <c r="N53" s="2070"/>
      <c r="O53" s="2071"/>
      <c r="P53" s="2069">
        <f>J53+M53</f>
        <v>0</v>
      </c>
      <c r="Q53" s="2070"/>
      <c r="R53" s="2071"/>
      <c r="S53" s="11"/>
    </row>
    <row r="54" spans="2:19" ht="3.2" customHeight="1">
      <c r="B54" s="11"/>
      <c r="C54" s="10"/>
      <c r="D54" s="5"/>
      <c r="E54" s="1"/>
      <c r="F54" s="19"/>
      <c r="G54" s="5"/>
      <c r="H54" s="1"/>
      <c r="I54" s="19"/>
      <c r="J54" s="5"/>
      <c r="K54" s="1"/>
      <c r="L54" s="19"/>
      <c r="M54" s="5"/>
      <c r="N54" s="1"/>
      <c r="O54" s="19"/>
      <c r="P54" s="5"/>
      <c r="Q54" s="1"/>
      <c r="R54" s="19"/>
      <c r="S54" s="11"/>
    </row>
    <row r="55" spans="2:19">
      <c r="B55" s="11"/>
      <c r="C55" s="12" t="str">
        <f>IF(D55&gt;0,Kalkulation!BD530,"")</f>
        <v/>
      </c>
      <c r="D55" s="2069">
        <f>Kalkulation!BX530</f>
        <v>0</v>
      </c>
      <c r="E55" s="2070"/>
      <c r="F55" s="2071"/>
      <c r="G55" s="2069">
        <f>Kalkulation!CH541</f>
        <v>0</v>
      </c>
      <c r="H55" s="2070"/>
      <c r="I55" s="2071"/>
      <c r="J55" s="2069">
        <f>SUM(Kalkulation!CE530:CE541)</f>
        <v>0</v>
      </c>
      <c r="K55" s="2070"/>
      <c r="L55" s="2071"/>
      <c r="M55" s="2069">
        <f>SUM(Kalkulation!CB530:CB541)</f>
        <v>0</v>
      </c>
      <c r="N55" s="2070"/>
      <c r="O55" s="2071"/>
      <c r="P55" s="2069">
        <f>J55+M55</f>
        <v>0</v>
      </c>
      <c r="Q55" s="2070"/>
      <c r="R55" s="2071"/>
      <c r="S55" s="11"/>
    </row>
    <row r="56" spans="2:19" ht="3.2" customHeight="1">
      <c r="B56" s="11"/>
      <c r="C56" s="10"/>
      <c r="D56" s="5"/>
      <c r="E56" s="1"/>
      <c r="F56" s="19"/>
      <c r="G56" s="5"/>
      <c r="H56" s="1"/>
      <c r="I56" s="19"/>
      <c r="J56" s="5"/>
      <c r="K56" s="1"/>
      <c r="L56" s="19"/>
      <c r="M56" s="5"/>
      <c r="N56" s="1"/>
      <c r="O56" s="19"/>
      <c r="P56" s="5"/>
      <c r="Q56" s="1"/>
      <c r="R56" s="19"/>
      <c r="S56" s="11"/>
    </row>
    <row r="57" spans="2:19">
      <c r="B57" s="11"/>
      <c r="C57" s="12" t="str">
        <f>IF(D57&gt;0,Kalkulation!BD542,"")</f>
        <v/>
      </c>
      <c r="D57" s="2069">
        <f>Kalkulation!BX542</f>
        <v>0</v>
      </c>
      <c r="E57" s="2070"/>
      <c r="F57" s="2071"/>
      <c r="G57" s="2069">
        <f>Kalkulation!CH553</f>
        <v>0</v>
      </c>
      <c r="H57" s="2070"/>
      <c r="I57" s="2071"/>
      <c r="J57" s="2069">
        <f>SUM(Kalkulation!CE542:CE553)</f>
        <v>0</v>
      </c>
      <c r="K57" s="2070"/>
      <c r="L57" s="2071"/>
      <c r="M57" s="2069">
        <f>SUM(Kalkulation!CB542:CB553)</f>
        <v>0</v>
      </c>
      <c r="N57" s="2070"/>
      <c r="O57" s="2071"/>
      <c r="P57" s="2069">
        <f>J57+M57</f>
        <v>0</v>
      </c>
      <c r="Q57" s="2070"/>
      <c r="R57" s="2071"/>
      <c r="S57" s="11"/>
    </row>
    <row r="58" spans="2:19" ht="3.2" customHeight="1">
      <c r="B58" s="11"/>
      <c r="C58" s="10"/>
      <c r="D58" s="5"/>
      <c r="E58" s="1"/>
      <c r="F58" s="19"/>
      <c r="G58" s="5"/>
      <c r="H58" s="1"/>
      <c r="I58" s="19"/>
      <c r="J58" s="5"/>
      <c r="K58" s="1"/>
      <c r="L58" s="19"/>
      <c r="M58" s="5"/>
      <c r="N58" s="1"/>
      <c r="O58" s="19"/>
      <c r="P58" s="5"/>
      <c r="Q58" s="1"/>
      <c r="R58" s="19"/>
      <c r="S58" s="11"/>
    </row>
    <row r="59" spans="2:19">
      <c r="B59" s="11"/>
      <c r="C59" s="12" t="str">
        <f>IF(D59&gt;0,Kalkulation!BD554,"")</f>
        <v/>
      </c>
      <c r="D59" s="2069">
        <f>Kalkulation!BX554</f>
        <v>0</v>
      </c>
      <c r="E59" s="2070"/>
      <c r="F59" s="2071"/>
      <c r="G59" s="2069">
        <f>Kalkulation!CH565</f>
        <v>0</v>
      </c>
      <c r="H59" s="2070"/>
      <c r="I59" s="2071"/>
      <c r="J59" s="2069">
        <f>SUM(Kalkulation!CE554:CE565)</f>
        <v>0</v>
      </c>
      <c r="K59" s="2070"/>
      <c r="L59" s="2071"/>
      <c r="M59" s="2069">
        <f>SUM(Kalkulation!CB554:CB565)</f>
        <v>0</v>
      </c>
      <c r="N59" s="2070"/>
      <c r="O59" s="2071"/>
      <c r="P59" s="2069">
        <f>J59+M59</f>
        <v>0</v>
      </c>
      <c r="Q59" s="2070"/>
      <c r="R59" s="2071"/>
      <c r="S59" s="11"/>
    </row>
    <row r="60" spans="2:19" ht="3.2" customHeight="1">
      <c r="B60" s="11"/>
      <c r="C60" s="2"/>
      <c r="D60" s="5"/>
      <c r="E60" s="1"/>
      <c r="F60" s="19"/>
      <c r="G60" s="5"/>
      <c r="H60" s="1"/>
      <c r="I60" s="19"/>
      <c r="J60" s="5"/>
      <c r="K60" s="1"/>
      <c r="L60" s="19"/>
      <c r="M60" s="5"/>
      <c r="N60" s="1"/>
      <c r="O60" s="19"/>
      <c r="P60" s="5"/>
      <c r="Q60" s="1"/>
      <c r="R60" s="19"/>
      <c r="S60" s="11"/>
    </row>
    <row r="61" spans="2:19">
      <c r="B61" s="11"/>
      <c r="C61" s="12" t="str">
        <f>IF(D61&gt;0,Kalkulation!BD566,"")</f>
        <v/>
      </c>
      <c r="D61" s="2069">
        <f>Kalkulation!BX566</f>
        <v>0</v>
      </c>
      <c r="E61" s="2070">
        <f>Kalkulation!BH566</f>
        <v>0</v>
      </c>
      <c r="F61" s="2071"/>
      <c r="G61" s="2069">
        <f>Kalkulation!CH577</f>
        <v>0</v>
      </c>
      <c r="H61" s="2070"/>
      <c r="I61" s="2071"/>
      <c r="J61" s="2069">
        <f>SUM(Kalkulation!CE566:CE577)</f>
        <v>0</v>
      </c>
      <c r="K61" s="2070"/>
      <c r="L61" s="2071"/>
      <c r="M61" s="2069">
        <f>SUM(Kalkulation!CB566:CB577)</f>
        <v>0</v>
      </c>
      <c r="N61" s="2070"/>
      <c r="O61" s="2071"/>
      <c r="P61" s="2069">
        <f>J61+M61</f>
        <v>0</v>
      </c>
      <c r="Q61" s="2070"/>
      <c r="R61" s="2071"/>
      <c r="S61" s="11"/>
    </row>
    <row r="62" spans="2:19" ht="3.2" customHeight="1">
      <c r="B62" s="11"/>
      <c r="C62" s="2"/>
      <c r="D62" s="5"/>
      <c r="E62" s="1"/>
      <c r="F62" s="19"/>
      <c r="G62" s="5"/>
      <c r="H62" s="1"/>
      <c r="I62" s="19"/>
      <c r="J62" s="5"/>
      <c r="K62" s="1"/>
      <c r="L62" s="19"/>
      <c r="M62" s="5"/>
      <c r="N62" s="1"/>
      <c r="O62" s="19"/>
      <c r="P62" s="5"/>
      <c r="Q62" s="1"/>
      <c r="R62" s="19"/>
      <c r="S62" s="11"/>
    </row>
    <row r="63" spans="2:19">
      <c r="B63" s="11"/>
      <c r="C63" s="12" t="str">
        <f>IF(D63&gt;0,Kalkulation!BD578,"")</f>
        <v/>
      </c>
      <c r="D63" s="2069">
        <f>Kalkulation!BX578</f>
        <v>0</v>
      </c>
      <c r="E63" s="2070"/>
      <c r="F63" s="2071"/>
      <c r="G63" s="2069">
        <f>Kalkulation!CH589</f>
        <v>0</v>
      </c>
      <c r="H63" s="2070"/>
      <c r="I63" s="2071"/>
      <c r="J63" s="2069">
        <f>SUM(Kalkulation!CE578:CE589)</f>
        <v>0</v>
      </c>
      <c r="K63" s="2070"/>
      <c r="L63" s="2071"/>
      <c r="M63" s="2069">
        <f>SUM(Kalkulation!CB578:CB589)</f>
        <v>0</v>
      </c>
      <c r="N63" s="2070"/>
      <c r="O63" s="2071"/>
      <c r="P63" s="2069">
        <f>J63+M63</f>
        <v>0</v>
      </c>
      <c r="Q63" s="2070"/>
      <c r="R63" s="2071"/>
      <c r="S63" s="11"/>
    </row>
    <row r="64" spans="2:19" ht="3.2" customHeight="1">
      <c r="B64" s="11"/>
      <c r="C64" s="2"/>
      <c r="D64" s="5"/>
      <c r="E64" s="1"/>
      <c r="F64" s="19"/>
      <c r="G64" s="5"/>
      <c r="H64" s="1"/>
      <c r="I64" s="19"/>
      <c r="J64" s="5"/>
      <c r="K64" s="1"/>
      <c r="L64" s="19"/>
      <c r="M64" s="5"/>
      <c r="N64" s="1"/>
      <c r="O64" s="19"/>
      <c r="P64" s="5"/>
      <c r="Q64" s="1"/>
      <c r="R64" s="19"/>
      <c r="S64" s="11"/>
    </row>
    <row r="65" spans="2:19">
      <c r="B65" s="11"/>
      <c r="C65" s="12" t="str">
        <f>IF(D65&gt;0,Kalkulation!BD590,"")</f>
        <v/>
      </c>
      <c r="D65" s="2069">
        <f>Kalkulation!BX590</f>
        <v>0</v>
      </c>
      <c r="E65" s="2070"/>
      <c r="F65" s="2071"/>
      <c r="G65" s="2069">
        <f>Kalkulation!CH601</f>
        <v>0</v>
      </c>
      <c r="H65" s="2070"/>
      <c r="I65" s="2071"/>
      <c r="J65" s="2069">
        <f>SUM(Kalkulation!CE590:CE601)</f>
        <v>0</v>
      </c>
      <c r="K65" s="2070"/>
      <c r="L65" s="2071"/>
      <c r="M65" s="2069">
        <f>SUM(Kalkulation!CB590:CB601)</f>
        <v>0</v>
      </c>
      <c r="N65" s="2070"/>
      <c r="O65" s="2071"/>
      <c r="P65" s="2069">
        <f>J65+M65</f>
        <v>0</v>
      </c>
      <c r="Q65" s="2070"/>
      <c r="R65" s="2071"/>
      <c r="S65" s="11"/>
    </row>
    <row r="66" spans="2:19" ht="3.2" customHeight="1">
      <c r="B66" s="11"/>
      <c r="C66" s="2"/>
      <c r="D66" s="5"/>
      <c r="E66" s="1"/>
      <c r="F66" s="19"/>
      <c r="G66" s="5"/>
      <c r="H66" s="1"/>
      <c r="I66" s="19"/>
      <c r="J66" s="5"/>
      <c r="K66" s="1"/>
      <c r="L66" s="19"/>
      <c r="M66" s="5"/>
      <c r="N66" s="1"/>
      <c r="O66" s="19"/>
      <c r="P66" s="5"/>
      <c r="Q66" s="1"/>
      <c r="R66" s="19"/>
      <c r="S66" s="11"/>
    </row>
    <row r="67" spans="2:19">
      <c r="B67" s="11"/>
      <c r="C67" s="12" t="str">
        <f>IF(D67&gt;0,Kalkulation!BD602,"")</f>
        <v/>
      </c>
      <c r="D67" s="2069">
        <f>Kalkulation!BX602</f>
        <v>0</v>
      </c>
      <c r="E67" s="2070"/>
      <c r="F67" s="2071"/>
      <c r="G67" s="2069">
        <f>Kalkulation!CH613</f>
        <v>0</v>
      </c>
      <c r="H67" s="2070"/>
      <c r="I67" s="2071"/>
      <c r="J67" s="2069">
        <f>SUM(Kalkulation!CE602:CE613)</f>
        <v>0</v>
      </c>
      <c r="K67" s="2070"/>
      <c r="L67" s="2071"/>
      <c r="M67" s="2069">
        <f>SUM(Kalkulation!CB602:CB613)</f>
        <v>0</v>
      </c>
      <c r="N67" s="2070"/>
      <c r="O67" s="2071"/>
      <c r="P67" s="2069">
        <f>J67+M67</f>
        <v>0</v>
      </c>
      <c r="Q67" s="2070"/>
      <c r="R67" s="2071"/>
      <c r="S67" s="11"/>
    </row>
    <row r="68" spans="2:19" ht="3.2" customHeight="1">
      <c r="B68" s="11"/>
      <c r="C68" s="2"/>
      <c r="D68" s="5"/>
      <c r="E68" s="1"/>
      <c r="F68" s="19"/>
      <c r="G68" s="5"/>
      <c r="H68" s="1"/>
      <c r="I68" s="19"/>
      <c r="J68" s="5"/>
      <c r="K68" s="1"/>
      <c r="L68" s="19"/>
      <c r="M68" s="5"/>
      <c r="N68" s="1"/>
      <c r="O68" s="19"/>
      <c r="P68" s="5"/>
      <c r="Q68" s="1"/>
      <c r="R68" s="19"/>
      <c r="S68" s="11"/>
    </row>
    <row r="69" spans="2:19">
      <c r="B69" s="11"/>
      <c r="C69" s="12" t="str">
        <f>IF(D69&gt;0,Kalkulation!BD614,"")</f>
        <v/>
      </c>
      <c r="D69" s="2069">
        <f>Kalkulation!BX614</f>
        <v>0</v>
      </c>
      <c r="E69" s="2070"/>
      <c r="F69" s="2071"/>
      <c r="G69" s="2069">
        <f>Kalkulation!CH625</f>
        <v>0</v>
      </c>
      <c r="H69" s="2070"/>
      <c r="I69" s="2071"/>
      <c r="J69" s="2069">
        <f>SUM(Kalkulation!CE614:CE625)</f>
        <v>0</v>
      </c>
      <c r="K69" s="2070"/>
      <c r="L69" s="2071"/>
      <c r="M69" s="2069">
        <f>SUM(Kalkulation!CB614:CB625)</f>
        <v>0</v>
      </c>
      <c r="N69" s="2070"/>
      <c r="O69" s="2071"/>
      <c r="P69" s="2069">
        <f>J69+M69</f>
        <v>0</v>
      </c>
      <c r="Q69" s="2070"/>
      <c r="R69" s="2071"/>
      <c r="S69" s="11"/>
    </row>
    <row r="70" spans="2:19" ht="3.2" customHeight="1">
      <c r="B70" s="11"/>
      <c r="C70" s="2"/>
      <c r="D70" s="5"/>
      <c r="E70" s="1"/>
      <c r="F70" s="19"/>
      <c r="G70" s="5"/>
      <c r="H70" s="1"/>
      <c r="I70" s="19"/>
      <c r="J70" s="5"/>
      <c r="K70" s="1"/>
      <c r="L70" s="19"/>
      <c r="M70" s="5"/>
      <c r="N70" s="1"/>
      <c r="O70" s="19"/>
      <c r="P70" s="5"/>
      <c r="Q70" s="1"/>
      <c r="R70" s="19"/>
      <c r="S70" s="11"/>
    </row>
    <row r="71" spans="2:19">
      <c r="B71" s="11"/>
      <c r="C71" s="12" t="str">
        <f>IF(D71&gt;0,Kalkulation!BD626,"")</f>
        <v/>
      </c>
      <c r="D71" s="2069">
        <f>Kalkulation!BX626</f>
        <v>0</v>
      </c>
      <c r="E71" s="2070"/>
      <c r="F71" s="2071"/>
      <c r="G71" s="2069">
        <f>Kalkulation!CH637</f>
        <v>0</v>
      </c>
      <c r="H71" s="2070"/>
      <c r="I71" s="2071"/>
      <c r="J71" s="2069">
        <f>SUM(Kalkulation!CE626:CE637)</f>
        <v>0</v>
      </c>
      <c r="K71" s="2070"/>
      <c r="L71" s="2071"/>
      <c r="M71" s="2069">
        <f>SUM(Kalkulation!CB626:CB637)</f>
        <v>0</v>
      </c>
      <c r="N71" s="2070"/>
      <c r="O71" s="2071"/>
      <c r="P71" s="2069">
        <f>J71+M71</f>
        <v>0</v>
      </c>
      <c r="Q71" s="2070"/>
      <c r="R71" s="2071"/>
      <c r="S71" s="11"/>
    </row>
    <row r="72" spans="2:19" ht="3.2" customHeight="1">
      <c r="B72" s="11"/>
      <c r="C72" s="2"/>
      <c r="D72" s="5"/>
      <c r="E72" s="1"/>
      <c r="F72" s="19"/>
      <c r="G72" s="5"/>
      <c r="H72" s="1"/>
      <c r="I72" s="19"/>
      <c r="J72" s="5"/>
      <c r="K72" s="1"/>
      <c r="L72" s="19"/>
      <c r="M72" s="5"/>
      <c r="N72" s="1"/>
      <c r="O72" s="19"/>
      <c r="P72" s="5"/>
      <c r="Q72" s="1"/>
      <c r="R72" s="19"/>
      <c r="S72" s="11"/>
    </row>
    <row r="73" spans="2:19">
      <c r="B73" s="11"/>
      <c r="C73" s="12" t="str">
        <f>IF(D73&gt;0,Kalkulation!BD638,"")</f>
        <v/>
      </c>
      <c r="D73" s="2072">
        <f>Kalkulation!BX638</f>
        <v>0</v>
      </c>
      <c r="E73" s="2073"/>
      <c r="F73" s="2074"/>
      <c r="G73" s="2072">
        <f>Kalkulation!CH649</f>
        <v>0</v>
      </c>
      <c r="H73" s="2073"/>
      <c r="I73" s="2074"/>
      <c r="J73" s="2072">
        <f>SUM(Kalkulation!CE638:CE649)</f>
        <v>0</v>
      </c>
      <c r="K73" s="2073"/>
      <c r="L73" s="2074"/>
      <c r="M73" s="2072">
        <f>SUM(Kalkulation!CB638:CB649)</f>
        <v>0</v>
      </c>
      <c r="N73" s="2073"/>
      <c r="O73" s="2074"/>
      <c r="P73" s="2072">
        <f>J73+M73</f>
        <v>0</v>
      </c>
      <c r="Q73" s="2073"/>
      <c r="R73" s="2074"/>
      <c r="S73" s="11"/>
    </row>
    <row r="74" spans="2:19" ht="3.2" customHeight="1">
      <c r="B74" s="11"/>
      <c r="C74" s="2"/>
      <c r="S74" s="11"/>
    </row>
    <row r="75" spans="2:19" ht="12.75" hidden="1" customHeight="1">
      <c r="B75" s="11"/>
      <c r="C75" s="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</row>
    <row r="76" spans="2:19" ht="3.2" hidden="1" customHeight="1"/>
    <row r="77" spans="2:19">
      <c r="S77" s="8"/>
    </row>
    <row r="78" spans="2:19" ht="3.2" customHeight="1"/>
    <row r="79" spans="2:19" ht="3.2" customHeight="1"/>
    <row r="81" ht="3.2" customHeight="1"/>
    <row r="82" ht="8.1" customHeight="1"/>
    <row r="83" ht="3.2" customHeight="1"/>
    <row r="85" ht="3.2" customHeight="1"/>
    <row r="88" ht="3.2" customHeight="1"/>
    <row r="89" ht="10.15" customHeight="1"/>
    <row r="90" ht="10.15" customHeight="1"/>
    <row r="91" ht="3.2" customHeight="1"/>
    <row r="93" ht="3.2" customHeight="1"/>
    <row r="95" ht="3.2" customHeight="1"/>
    <row r="97" ht="3.2" customHeight="1"/>
    <row r="99" ht="3.2" customHeight="1"/>
    <row r="101" ht="3.2" customHeight="1"/>
    <row r="103" ht="3.2" customHeight="1"/>
    <row r="105" ht="3.2" customHeight="1"/>
    <row r="107" ht="3.2" customHeight="1"/>
    <row r="109" ht="3.2" customHeight="1"/>
    <row r="111" ht="3.2" customHeight="1"/>
    <row r="113" ht="3.2" customHeight="1"/>
    <row r="115" ht="3.2" customHeight="1"/>
    <row r="117" ht="3.2" customHeight="1"/>
    <row r="119" ht="3.2" customHeight="1"/>
    <row r="121" ht="3.2" customHeight="1"/>
    <row r="123" ht="3.2" customHeight="1"/>
    <row r="125" ht="3.2" customHeight="1"/>
    <row r="127" ht="3.2" customHeight="1"/>
    <row r="129" ht="3.2" customHeight="1"/>
    <row r="131" ht="3.2" customHeight="1"/>
    <row r="133" ht="3.2" customHeight="1"/>
    <row r="135" ht="3.2" customHeight="1"/>
    <row r="137" ht="3.2" customHeight="1"/>
    <row r="139" ht="3.2" customHeight="1"/>
    <row r="141" ht="3.2" customHeight="1"/>
    <row r="151" ht="33.4" customHeight="1"/>
    <row r="152" ht="19.5" customHeight="1"/>
  </sheetData>
  <sheetProtection password="F30F" sheet="1" objects="1" scenarios="1"/>
  <mergeCells count="139">
    <mergeCell ref="D73:F73"/>
    <mergeCell ref="G73:I73"/>
    <mergeCell ref="J73:L73"/>
    <mergeCell ref="M73:O73"/>
    <mergeCell ref="P73:R73"/>
    <mergeCell ref="D71:F71"/>
    <mergeCell ref="G71:I71"/>
    <mergeCell ref="J71:L71"/>
    <mergeCell ref="M63:O63"/>
    <mergeCell ref="P67:R67"/>
    <mergeCell ref="D69:F69"/>
    <mergeCell ref="G69:I69"/>
    <mergeCell ref="J69:L69"/>
    <mergeCell ref="M69:O69"/>
    <mergeCell ref="P69:R69"/>
    <mergeCell ref="D67:F67"/>
    <mergeCell ref="G67:I67"/>
    <mergeCell ref="M71:O71"/>
    <mergeCell ref="M67:O67"/>
    <mergeCell ref="P71:R71"/>
    <mergeCell ref="J67:L67"/>
    <mergeCell ref="P63:R63"/>
    <mergeCell ref="D65:F65"/>
    <mergeCell ref="G65:I65"/>
    <mergeCell ref="J65:L65"/>
    <mergeCell ref="M65:O65"/>
    <mergeCell ref="P65:R65"/>
    <mergeCell ref="D63:F63"/>
    <mergeCell ref="G63:I63"/>
    <mergeCell ref="J63:L63"/>
    <mergeCell ref="P59:R59"/>
    <mergeCell ref="D61:F61"/>
    <mergeCell ref="G61:I61"/>
    <mergeCell ref="J61:L61"/>
    <mergeCell ref="M61:O61"/>
    <mergeCell ref="P61:R61"/>
    <mergeCell ref="D59:F59"/>
    <mergeCell ref="G59:I59"/>
    <mergeCell ref="J59:L59"/>
    <mergeCell ref="M59:O59"/>
    <mergeCell ref="P55:R55"/>
    <mergeCell ref="D57:F57"/>
    <mergeCell ref="G57:I57"/>
    <mergeCell ref="J57:L57"/>
    <mergeCell ref="M57:O57"/>
    <mergeCell ref="P57:R57"/>
    <mergeCell ref="D55:F55"/>
    <mergeCell ref="G55:I55"/>
    <mergeCell ref="J55:L55"/>
    <mergeCell ref="M55:O55"/>
    <mergeCell ref="P51:R51"/>
    <mergeCell ref="D53:F53"/>
    <mergeCell ref="G53:I53"/>
    <mergeCell ref="J53:L53"/>
    <mergeCell ref="M53:O53"/>
    <mergeCell ref="P53:R53"/>
    <mergeCell ref="D51:F51"/>
    <mergeCell ref="G51:I51"/>
    <mergeCell ref="J51:L51"/>
    <mergeCell ref="M51:O51"/>
    <mergeCell ref="P47:R47"/>
    <mergeCell ref="D49:F49"/>
    <mergeCell ref="G49:I49"/>
    <mergeCell ref="J49:L49"/>
    <mergeCell ref="M49:O49"/>
    <mergeCell ref="P49:R49"/>
    <mergeCell ref="D47:F47"/>
    <mergeCell ref="G47:I47"/>
    <mergeCell ref="J47:L47"/>
    <mergeCell ref="M47:O47"/>
    <mergeCell ref="P43:R43"/>
    <mergeCell ref="D45:F45"/>
    <mergeCell ref="G45:I45"/>
    <mergeCell ref="J45:L45"/>
    <mergeCell ref="M45:O45"/>
    <mergeCell ref="P45:R45"/>
    <mergeCell ref="D43:F43"/>
    <mergeCell ref="G43:I43"/>
    <mergeCell ref="J43:L43"/>
    <mergeCell ref="M43:O43"/>
    <mergeCell ref="P39:R39"/>
    <mergeCell ref="D41:F41"/>
    <mergeCell ref="G41:I41"/>
    <mergeCell ref="J41:L41"/>
    <mergeCell ref="M41:O41"/>
    <mergeCell ref="P41:R41"/>
    <mergeCell ref="D39:F39"/>
    <mergeCell ref="G39:I39"/>
    <mergeCell ref="J39:L39"/>
    <mergeCell ref="M39:O39"/>
    <mergeCell ref="P35:R35"/>
    <mergeCell ref="D37:F37"/>
    <mergeCell ref="G37:I37"/>
    <mergeCell ref="J37:L37"/>
    <mergeCell ref="M37:O37"/>
    <mergeCell ref="P37:R37"/>
    <mergeCell ref="D35:F35"/>
    <mergeCell ref="G35:I35"/>
    <mergeCell ref="J35:L35"/>
    <mergeCell ref="M35:O35"/>
    <mergeCell ref="P31:R31"/>
    <mergeCell ref="D33:F33"/>
    <mergeCell ref="G33:I33"/>
    <mergeCell ref="J33:L33"/>
    <mergeCell ref="M33:O33"/>
    <mergeCell ref="P33:R33"/>
    <mergeCell ref="D31:F31"/>
    <mergeCell ref="G31:I31"/>
    <mergeCell ref="J31:L31"/>
    <mergeCell ref="M31:O31"/>
    <mergeCell ref="P29:R29"/>
    <mergeCell ref="D27:F27"/>
    <mergeCell ref="G27:I27"/>
    <mergeCell ref="J27:L27"/>
    <mergeCell ref="M27:O27"/>
    <mergeCell ref="D29:F29"/>
    <mergeCell ref="G29:I29"/>
    <mergeCell ref="J29:L29"/>
    <mergeCell ref="P25:R25"/>
    <mergeCell ref="P27:R27"/>
    <mergeCell ref="M29:O29"/>
    <mergeCell ref="C17:C20"/>
    <mergeCell ref="D23:F23"/>
    <mergeCell ref="G23:I23"/>
    <mergeCell ref="J23:L23"/>
    <mergeCell ref="M23:O23"/>
    <mergeCell ref="P23:R23"/>
    <mergeCell ref="D25:F25"/>
    <mergeCell ref="G25:I25"/>
    <mergeCell ref="I3:K3"/>
    <mergeCell ref="P5:Q5"/>
    <mergeCell ref="P7:Q7"/>
    <mergeCell ref="D11:F20"/>
    <mergeCell ref="G11:I20"/>
    <mergeCell ref="J11:L20"/>
    <mergeCell ref="M11:O20"/>
    <mergeCell ref="P11:R20"/>
    <mergeCell ref="J25:L25"/>
    <mergeCell ref="M25:O25"/>
  </mergeCells>
  <phoneticPr fontId="0" type="noConversion"/>
  <pageMargins left="0.78740157480314965" right="0.19685039370078741" top="0.59055118110236227" bottom="0.98425196850393704" header="0.51181102362204722" footer="0.51181102362204722"/>
  <pageSetup paperSize="9" scale="80" orientation="portrait" verticalDpi="360" r:id="rId1"/>
  <headerFooter alignWithMargins="0">
    <oddFooter>&amp;L&amp;8LEL Schw. Gmünd; Abt. IV; LLM; (WS)&amp;C&amp;8&amp;F&amp;R&amp;8&amp;D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S152"/>
  <sheetViews>
    <sheetView showGridLines="0" showZeros="0" zoomScale="90" zoomScaleNormal="90" workbookViewId="0">
      <pane ySplit="10" topLeftCell="A11" activePane="bottomLeft" state="frozen"/>
      <selection activeCell="AS1" sqref="AS1"/>
      <selection pane="bottomLeft" activeCell="A11" sqref="A11"/>
    </sheetView>
  </sheetViews>
  <sheetFormatPr baseColWidth="10" defaultColWidth="3.7109375" defaultRowHeight="12.75"/>
  <cols>
    <col min="1" max="1" width="1.85546875" customWidth="1"/>
  </cols>
  <sheetData>
    <row r="1" spans="1:19" ht="3.2" customHeight="1">
      <c r="A1" s="20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</row>
    <row r="2" spans="1:19" ht="3.2" customHeight="1"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</row>
    <row r="3" spans="1:19" ht="12.75" customHeight="1">
      <c r="B3" s="13"/>
      <c r="C3" s="7" t="str">
        <f>Kalkulation!F96</f>
        <v>Darlehen 3</v>
      </c>
      <c r="D3" s="7"/>
      <c r="E3" s="7"/>
      <c r="F3" s="7"/>
      <c r="G3" s="15" t="s">
        <v>400</v>
      </c>
      <c r="H3" s="13"/>
      <c r="I3" s="2075">
        <f>Kalkulation!O96</f>
        <v>0</v>
      </c>
      <c r="J3" s="2075"/>
      <c r="K3" s="2075"/>
      <c r="L3" s="13" t="s">
        <v>380</v>
      </c>
      <c r="M3" s="15" t="s">
        <v>419</v>
      </c>
      <c r="N3" s="13"/>
      <c r="O3" s="13"/>
      <c r="P3" s="13"/>
      <c r="Q3" s="7">
        <f>IF(Kalkulation!R96="A",0,Kalkulation!S96)</f>
        <v>0</v>
      </c>
      <c r="R3" s="13" t="s">
        <v>377</v>
      </c>
      <c r="S3" s="13"/>
    </row>
    <row r="4" spans="1:19" ht="3.2" customHeight="1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5"/>
      <c r="N4" s="13"/>
      <c r="O4" s="13"/>
      <c r="P4" s="13"/>
      <c r="Q4" s="13"/>
      <c r="R4" s="13"/>
      <c r="S4" s="13"/>
    </row>
    <row r="5" spans="1:19" ht="12.75" customHeight="1">
      <c r="B5" s="13"/>
      <c r="C5" s="7">
        <f>Kalkulation!J96</f>
        <v>0</v>
      </c>
      <c r="D5" s="7"/>
      <c r="E5" s="7"/>
      <c r="F5" s="7"/>
      <c r="G5" s="13"/>
      <c r="H5" s="13"/>
      <c r="I5" s="13"/>
      <c r="J5" s="13"/>
      <c r="K5" s="13"/>
      <c r="L5" s="13"/>
      <c r="M5" s="15" t="s">
        <v>401</v>
      </c>
      <c r="N5" s="13"/>
      <c r="O5" s="13"/>
      <c r="P5" s="2076">
        <f>Kalkulation!T96</f>
        <v>0</v>
      </c>
      <c r="Q5" s="2076"/>
      <c r="R5" s="13" t="s">
        <v>381</v>
      </c>
      <c r="S5" s="13"/>
    </row>
    <row r="6" spans="1:19" ht="3.2" customHeight="1"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5"/>
      <c r="N6" s="13"/>
      <c r="O6" s="13"/>
      <c r="P6" s="13"/>
      <c r="Q6" s="13"/>
      <c r="R6" s="13"/>
      <c r="S6" s="13"/>
    </row>
    <row r="7" spans="1:19" ht="12.75" customHeight="1">
      <c r="B7" s="13"/>
      <c r="C7" s="15" t="s">
        <v>418</v>
      </c>
      <c r="D7" s="13"/>
      <c r="E7" s="13"/>
      <c r="F7" s="13"/>
      <c r="G7" s="13"/>
      <c r="H7" s="13"/>
      <c r="I7" s="13"/>
      <c r="J7" s="13"/>
      <c r="K7" s="13"/>
      <c r="L7" s="13"/>
      <c r="M7" s="15" t="s">
        <v>420</v>
      </c>
      <c r="N7" s="13"/>
      <c r="O7" s="13"/>
      <c r="P7" s="2077">
        <f>Kalkulation!V96*Kalkulation!O96/100</f>
        <v>0</v>
      </c>
      <c r="Q7" s="2077"/>
      <c r="R7" s="13" t="s">
        <v>380</v>
      </c>
      <c r="S7" s="13"/>
    </row>
    <row r="8" spans="1:19" ht="3.2" customHeight="1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5"/>
      <c r="N8" s="13"/>
      <c r="O8" s="13"/>
      <c r="P8" s="13"/>
      <c r="Q8" s="13"/>
      <c r="R8" s="13"/>
      <c r="S8" s="13"/>
    </row>
    <row r="9" spans="1:19" ht="12.75" customHeight="1">
      <c r="B9" s="13"/>
      <c r="C9" s="7"/>
      <c r="D9" s="7"/>
      <c r="E9" s="7"/>
      <c r="F9" s="7"/>
      <c r="G9" s="7"/>
      <c r="H9" s="7"/>
      <c r="I9" s="14" t="str">
        <f>IF(Kalkulation!R96="a","Annuitätendarlehen","Raten-oder Tilgungsdarlehen")</f>
        <v>Raten-oder Tilgungsdarlehen</v>
      </c>
      <c r="J9" s="13"/>
      <c r="K9" s="13"/>
      <c r="L9" s="13"/>
      <c r="M9" s="15" t="s">
        <v>421</v>
      </c>
      <c r="N9" s="13"/>
      <c r="O9" s="13"/>
      <c r="P9" s="13"/>
      <c r="Q9" s="7">
        <f>Kalkulation!X96</f>
        <v>0</v>
      </c>
      <c r="R9" s="13" t="str">
        <f>IF(Q9=1,"Jahr","Jahre")</f>
        <v>Jahre</v>
      </c>
      <c r="S9" s="13"/>
    </row>
    <row r="10" spans="1:19" ht="3.2" customHeight="1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</row>
    <row r="11" spans="1:19" ht="3.2" customHeight="1">
      <c r="A11" s="8"/>
      <c r="B11" s="11"/>
      <c r="C11" s="11"/>
      <c r="D11" s="2063" t="s">
        <v>416</v>
      </c>
      <c r="E11" s="2064"/>
      <c r="F11" s="2065"/>
      <c r="G11" s="2063" t="s">
        <v>415</v>
      </c>
      <c r="H11" s="2064"/>
      <c r="I11" s="2065"/>
      <c r="J11" s="2063" t="s">
        <v>375</v>
      </c>
      <c r="K11" s="2064"/>
      <c r="L11" s="2065"/>
      <c r="M11" s="2063" t="s">
        <v>376</v>
      </c>
      <c r="N11" s="2064"/>
      <c r="O11" s="2065"/>
      <c r="P11" s="2063" t="s">
        <v>417</v>
      </c>
      <c r="Q11" s="2064"/>
      <c r="R11" s="2065"/>
      <c r="S11" s="11"/>
    </row>
    <row r="12" spans="1:19" ht="3.2" customHeight="1">
      <c r="B12" s="11"/>
      <c r="C12" s="11"/>
      <c r="D12" s="2066"/>
      <c r="E12" s="2067"/>
      <c r="F12" s="2068"/>
      <c r="G12" s="2066"/>
      <c r="H12" s="2067"/>
      <c r="I12" s="2068"/>
      <c r="J12" s="2066"/>
      <c r="K12" s="2067"/>
      <c r="L12" s="2068"/>
      <c r="M12" s="2066"/>
      <c r="N12" s="2067"/>
      <c r="O12" s="2068"/>
      <c r="P12" s="2066"/>
      <c r="Q12" s="2067"/>
      <c r="R12" s="2068"/>
      <c r="S12" s="11"/>
    </row>
    <row r="13" spans="1:19">
      <c r="B13" s="11"/>
      <c r="C13" s="11"/>
      <c r="D13" s="2066"/>
      <c r="E13" s="2067"/>
      <c r="F13" s="2068"/>
      <c r="G13" s="2066"/>
      <c r="H13" s="2067"/>
      <c r="I13" s="2068"/>
      <c r="J13" s="2066"/>
      <c r="K13" s="2067"/>
      <c r="L13" s="2068"/>
      <c r="M13" s="2066"/>
      <c r="N13" s="2067"/>
      <c r="O13" s="2068"/>
      <c r="P13" s="2066"/>
      <c r="Q13" s="2067"/>
      <c r="R13" s="2068"/>
      <c r="S13" s="11"/>
    </row>
    <row r="14" spans="1:19" ht="3.2" customHeight="1">
      <c r="B14" s="11"/>
      <c r="C14" s="11"/>
      <c r="D14" s="2066"/>
      <c r="E14" s="2067"/>
      <c r="F14" s="2068"/>
      <c r="G14" s="2066"/>
      <c r="H14" s="2067"/>
      <c r="I14" s="2068"/>
      <c r="J14" s="2066"/>
      <c r="K14" s="2067"/>
      <c r="L14" s="2068"/>
      <c r="M14" s="2066"/>
      <c r="N14" s="2067"/>
      <c r="O14" s="2068"/>
      <c r="P14" s="2066"/>
      <c r="Q14" s="2067"/>
      <c r="R14" s="2068"/>
      <c r="S14" s="11"/>
    </row>
    <row r="15" spans="1:19">
      <c r="B15" s="11"/>
      <c r="C15" s="11"/>
      <c r="D15" s="2066"/>
      <c r="E15" s="2067"/>
      <c r="F15" s="2068"/>
      <c r="G15" s="2066"/>
      <c r="H15" s="2067"/>
      <c r="I15" s="2068"/>
      <c r="J15" s="2066"/>
      <c r="K15" s="2067"/>
      <c r="L15" s="2068"/>
      <c r="M15" s="2066"/>
      <c r="N15" s="2067"/>
      <c r="O15" s="2068"/>
      <c r="P15" s="2066"/>
      <c r="Q15" s="2067"/>
      <c r="R15" s="2068"/>
      <c r="S15" s="11"/>
    </row>
    <row r="16" spans="1:19" ht="3.2" customHeight="1">
      <c r="B16" s="11"/>
      <c r="C16" s="11"/>
      <c r="D16" s="2066"/>
      <c r="E16" s="2067"/>
      <c r="F16" s="2068"/>
      <c r="G16" s="2066"/>
      <c r="H16" s="2067"/>
      <c r="I16" s="2068"/>
      <c r="J16" s="2066"/>
      <c r="K16" s="2067"/>
      <c r="L16" s="2068"/>
      <c r="M16" s="2066"/>
      <c r="N16" s="2067"/>
      <c r="O16" s="2068"/>
      <c r="P16" s="2066"/>
      <c r="Q16" s="2067"/>
      <c r="R16" s="2068"/>
      <c r="S16" s="11"/>
    </row>
    <row r="17" spans="2:19">
      <c r="B17" s="11"/>
      <c r="C17" s="2062" t="s">
        <v>391</v>
      </c>
      <c r="D17" s="2066"/>
      <c r="E17" s="2067"/>
      <c r="F17" s="2068"/>
      <c r="G17" s="2066"/>
      <c r="H17" s="2067"/>
      <c r="I17" s="2068"/>
      <c r="J17" s="2066"/>
      <c r="K17" s="2067"/>
      <c r="L17" s="2068"/>
      <c r="M17" s="2066"/>
      <c r="N17" s="2067"/>
      <c r="O17" s="2068"/>
      <c r="P17" s="2066"/>
      <c r="Q17" s="2067"/>
      <c r="R17" s="2068"/>
      <c r="S17" s="11"/>
    </row>
    <row r="18" spans="2:19" ht="3.2" customHeight="1">
      <c r="B18" s="11"/>
      <c r="C18" s="2062"/>
      <c r="D18" s="2066"/>
      <c r="E18" s="2067"/>
      <c r="F18" s="2068"/>
      <c r="G18" s="2066"/>
      <c r="H18" s="2067"/>
      <c r="I18" s="2068"/>
      <c r="J18" s="2066"/>
      <c r="K18" s="2067"/>
      <c r="L18" s="2068"/>
      <c r="M18" s="2066"/>
      <c r="N18" s="2067"/>
      <c r="O18" s="2068"/>
      <c r="P18" s="2066"/>
      <c r="Q18" s="2067"/>
      <c r="R18" s="2068"/>
      <c r="S18" s="11"/>
    </row>
    <row r="19" spans="2:19" ht="12.75" customHeight="1">
      <c r="B19" s="11"/>
      <c r="C19" s="2062"/>
      <c r="D19" s="2066"/>
      <c r="E19" s="2067"/>
      <c r="F19" s="2068"/>
      <c r="G19" s="2066"/>
      <c r="H19" s="2067"/>
      <c r="I19" s="2068"/>
      <c r="J19" s="2066"/>
      <c r="K19" s="2067"/>
      <c r="L19" s="2068"/>
      <c r="M19" s="2066"/>
      <c r="N19" s="2067"/>
      <c r="O19" s="2068"/>
      <c r="P19" s="2066"/>
      <c r="Q19" s="2067"/>
      <c r="R19" s="2068"/>
      <c r="S19" s="11"/>
    </row>
    <row r="20" spans="2:19" ht="3.2" customHeight="1">
      <c r="B20" s="11"/>
      <c r="C20" s="2062"/>
      <c r="D20" s="2066"/>
      <c r="E20" s="2067"/>
      <c r="F20" s="2068"/>
      <c r="G20" s="2066"/>
      <c r="H20" s="2067"/>
      <c r="I20" s="2068"/>
      <c r="J20" s="2066"/>
      <c r="K20" s="2067"/>
      <c r="L20" s="2068"/>
      <c r="M20" s="2066"/>
      <c r="N20" s="2067"/>
      <c r="O20" s="2068"/>
      <c r="P20" s="2066"/>
      <c r="Q20" s="2067"/>
      <c r="R20" s="2068"/>
      <c r="S20" s="11"/>
    </row>
    <row r="21" spans="2:19">
      <c r="B21" s="11"/>
      <c r="C21" s="11"/>
      <c r="D21" s="16"/>
      <c r="E21" s="3"/>
      <c r="F21" s="17"/>
      <c r="G21" s="16"/>
      <c r="H21" s="3"/>
      <c r="I21" s="17"/>
      <c r="J21" s="16"/>
      <c r="K21" s="3"/>
      <c r="L21" s="17"/>
      <c r="M21" s="16"/>
      <c r="N21" s="3"/>
      <c r="O21" s="17"/>
      <c r="P21" s="16"/>
      <c r="Q21" s="3"/>
      <c r="R21" s="17"/>
      <c r="S21" s="11"/>
    </row>
    <row r="22" spans="2:19" ht="3.2" customHeight="1">
      <c r="B22" s="11"/>
      <c r="C22" s="7"/>
      <c r="D22" s="6"/>
      <c r="E22" s="4"/>
      <c r="F22" s="18"/>
      <c r="G22" s="6"/>
      <c r="H22" s="4"/>
      <c r="I22" s="18"/>
      <c r="J22" s="6"/>
      <c r="K22" s="4"/>
      <c r="L22" s="18"/>
      <c r="M22" s="6"/>
      <c r="N22" s="4"/>
      <c r="O22" s="18"/>
      <c r="P22" s="6"/>
      <c r="Q22" s="4"/>
      <c r="R22" s="18"/>
      <c r="S22" s="11"/>
    </row>
    <row r="23" spans="2:19">
      <c r="B23" s="11"/>
      <c r="C23" s="12" t="str">
        <f>IF(D23&gt;0,Kalkulation!BD338,"")</f>
        <v/>
      </c>
      <c r="D23" s="2069">
        <f>Kalkulation!CN338</f>
        <v>0</v>
      </c>
      <c r="E23" s="2070"/>
      <c r="F23" s="2071"/>
      <c r="G23" s="2069">
        <f>Kalkulation!CX349</f>
        <v>0</v>
      </c>
      <c r="H23" s="2070"/>
      <c r="I23" s="2071"/>
      <c r="J23" s="2069">
        <f>SUM(Kalkulation!CU338:CU349)</f>
        <v>0</v>
      </c>
      <c r="K23" s="2070"/>
      <c r="L23" s="2071"/>
      <c r="M23" s="2069">
        <f>SUM(Kalkulation!CR338:CR349)</f>
        <v>0</v>
      </c>
      <c r="N23" s="2070"/>
      <c r="O23" s="2071"/>
      <c r="P23" s="2069">
        <f>J23+M23</f>
        <v>0</v>
      </c>
      <c r="Q23" s="2070"/>
      <c r="R23" s="2071"/>
      <c r="S23" s="11"/>
    </row>
    <row r="24" spans="2:19" ht="3.2" customHeight="1">
      <c r="B24" s="11"/>
      <c r="C24" s="2"/>
      <c r="D24" s="5"/>
      <c r="E24" s="1"/>
      <c r="F24" s="19"/>
      <c r="G24" s="5"/>
      <c r="H24" s="1"/>
      <c r="I24" s="19"/>
      <c r="J24" s="5"/>
      <c r="K24" s="1"/>
      <c r="L24" s="19"/>
      <c r="M24" s="5"/>
      <c r="N24" s="1"/>
      <c r="O24" s="19"/>
      <c r="P24" s="5"/>
      <c r="Q24" s="1"/>
      <c r="R24" s="19"/>
      <c r="S24" s="11"/>
    </row>
    <row r="25" spans="2:19">
      <c r="B25" s="11"/>
      <c r="C25" s="12" t="str">
        <f>IF(D25&gt;0,Kalkulation!BD350,"")</f>
        <v/>
      </c>
      <c r="D25" s="2069">
        <f>Kalkulation!CN350</f>
        <v>0</v>
      </c>
      <c r="E25" s="2070"/>
      <c r="F25" s="2071"/>
      <c r="G25" s="2069">
        <f>Kalkulation!CX361</f>
        <v>0</v>
      </c>
      <c r="H25" s="2070"/>
      <c r="I25" s="2071"/>
      <c r="J25" s="2069">
        <f>SUM(Kalkulation!CU350:CU361)</f>
        <v>0</v>
      </c>
      <c r="K25" s="2070"/>
      <c r="L25" s="2071"/>
      <c r="M25" s="2069">
        <f>SUM(Kalkulation!CR350:CR361)</f>
        <v>0</v>
      </c>
      <c r="N25" s="2070"/>
      <c r="O25" s="2071"/>
      <c r="P25" s="2069">
        <f>J25+M25</f>
        <v>0</v>
      </c>
      <c r="Q25" s="2070"/>
      <c r="R25" s="2071"/>
      <c r="S25" s="11"/>
    </row>
    <row r="26" spans="2:19" ht="3.2" customHeight="1">
      <c r="B26" s="11"/>
      <c r="C26" s="2"/>
      <c r="D26" s="5"/>
      <c r="E26" s="1"/>
      <c r="F26" s="19"/>
      <c r="G26" s="5"/>
      <c r="H26" s="1"/>
      <c r="I26" s="19"/>
      <c r="J26" s="5"/>
      <c r="K26" s="1"/>
      <c r="L26" s="19"/>
      <c r="M26" s="5"/>
      <c r="N26" s="1"/>
      <c r="O26" s="19"/>
      <c r="P26" s="5"/>
      <c r="Q26" s="1"/>
      <c r="R26" s="19"/>
      <c r="S26" s="11"/>
    </row>
    <row r="27" spans="2:19">
      <c r="B27" s="11"/>
      <c r="C27" s="12" t="str">
        <f>IF(D27&gt;0,Kalkulation!BD362,"")</f>
        <v/>
      </c>
      <c r="D27" s="2069">
        <f>Kalkulation!CN362</f>
        <v>0</v>
      </c>
      <c r="E27" s="2070"/>
      <c r="F27" s="2071"/>
      <c r="G27" s="2069">
        <f>Kalkulation!CX373</f>
        <v>0</v>
      </c>
      <c r="H27" s="2070"/>
      <c r="I27" s="2071"/>
      <c r="J27" s="2069">
        <f>SUM(Kalkulation!CU362:CU373)</f>
        <v>0</v>
      </c>
      <c r="K27" s="2070"/>
      <c r="L27" s="2071"/>
      <c r="M27" s="2069">
        <f>SUM(Kalkulation!CR362:CR373)</f>
        <v>0</v>
      </c>
      <c r="N27" s="2070"/>
      <c r="O27" s="2071"/>
      <c r="P27" s="2069">
        <f>J27+M27</f>
        <v>0</v>
      </c>
      <c r="Q27" s="2070"/>
      <c r="R27" s="2071"/>
      <c r="S27" s="11"/>
    </row>
    <row r="28" spans="2:19" ht="3.2" customHeight="1">
      <c r="B28" s="11"/>
      <c r="C28" s="2"/>
      <c r="D28" s="5"/>
      <c r="E28" s="1"/>
      <c r="F28" s="19"/>
      <c r="G28" s="5"/>
      <c r="H28" s="1"/>
      <c r="I28" s="19"/>
      <c r="J28" s="5"/>
      <c r="K28" s="1"/>
      <c r="L28" s="19"/>
      <c r="M28" s="5"/>
      <c r="N28" s="1"/>
      <c r="O28" s="19"/>
      <c r="P28" s="5"/>
      <c r="Q28" s="1"/>
      <c r="R28" s="19"/>
      <c r="S28" s="11"/>
    </row>
    <row r="29" spans="2:19">
      <c r="B29" s="11"/>
      <c r="C29" s="12" t="str">
        <f>IF(D29&gt;0,Kalkulation!BD374,"")</f>
        <v/>
      </c>
      <c r="D29" s="2069">
        <f>Kalkulation!CN374</f>
        <v>0</v>
      </c>
      <c r="E29" s="2070"/>
      <c r="F29" s="2071"/>
      <c r="G29" s="2069">
        <f>Kalkulation!CX385</f>
        <v>0</v>
      </c>
      <c r="H29" s="2070"/>
      <c r="I29" s="2071"/>
      <c r="J29" s="2069">
        <f>SUM(Kalkulation!CU374:CU385)</f>
        <v>0</v>
      </c>
      <c r="K29" s="2070"/>
      <c r="L29" s="2071"/>
      <c r="M29" s="2069">
        <f>SUM(Kalkulation!CR374:CR385)</f>
        <v>0</v>
      </c>
      <c r="N29" s="2070"/>
      <c r="O29" s="2071"/>
      <c r="P29" s="2069">
        <f>J29+M29</f>
        <v>0</v>
      </c>
      <c r="Q29" s="2070"/>
      <c r="R29" s="2071"/>
      <c r="S29" s="11"/>
    </row>
    <row r="30" spans="2:19" ht="3.2" customHeight="1">
      <c r="B30" s="11"/>
      <c r="C30" s="2"/>
      <c r="D30" s="5"/>
      <c r="E30" s="1"/>
      <c r="F30" s="19"/>
      <c r="G30" s="5"/>
      <c r="H30" s="1"/>
      <c r="I30" s="19"/>
      <c r="J30" s="5"/>
      <c r="K30" s="1"/>
      <c r="L30" s="19"/>
      <c r="M30" s="5"/>
      <c r="N30" s="1"/>
      <c r="O30" s="19"/>
      <c r="P30" s="5"/>
      <c r="Q30" s="1"/>
      <c r="R30" s="19"/>
      <c r="S30" s="11"/>
    </row>
    <row r="31" spans="2:19">
      <c r="B31" s="11"/>
      <c r="C31" s="12" t="str">
        <f>IF(D31&gt;0,Kalkulation!BD386,"")</f>
        <v/>
      </c>
      <c r="D31" s="2069">
        <f>Kalkulation!CN386</f>
        <v>0</v>
      </c>
      <c r="E31" s="2070">
        <f>Kalkulation!BH388</f>
        <v>0</v>
      </c>
      <c r="F31" s="2071"/>
      <c r="G31" s="2069">
        <f>Kalkulation!CX397</f>
        <v>0</v>
      </c>
      <c r="H31" s="2070"/>
      <c r="I31" s="2071"/>
      <c r="J31" s="2069">
        <f>SUM(Kalkulation!CU386:CU397)</f>
        <v>0</v>
      </c>
      <c r="K31" s="2070"/>
      <c r="L31" s="2071"/>
      <c r="M31" s="2069">
        <f>SUM(Kalkulation!CR386:CR397)</f>
        <v>0</v>
      </c>
      <c r="N31" s="2070"/>
      <c r="O31" s="2071"/>
      <c r="P31" s="2069">
        <f>J31+M31</f>
        <v>0</v>
      </c>
      <c r="Q31" s="2070"/>
      <c r="R31" s="2071"/>
      <c r="S31" s="11"/>
    </row>
    <row r="32" spans="2:19" ht="3.2" customHeight="1">
      <c r="B32" s="11"/>
      <c r="C32" s="2"/>
      <c r="D32" s="5"/>
      <c r="E32" s="1"/>
      <c r="F32" s="19"/>
      <c r="G32" s="5"/>
      <c r="H32" s="1"/>
      <c r="I32" s="19"/>
      <c r="J32" s="5"/>
      <c r="K32" s="1"/>
      <c r="L32" s="19"/>
      <c r="M32" s="5"/>
      <c r="N32" s="1"/>
      <c r="O32" s="19"/>
      <c r="P32" s="5"/>
      <c r="Q32" s="1"/>
      <c r="R32" s="19"/>
      <c r="S32" s="11"/>
    </row>
    <row r="33" spans="2:19" ht="12.75" customHeight="1">
      <c r="B33" s="11"/>
      <c r="C33" s="12" t="str">
        <f>IF(D33&gt;0,Kalkulation!BD398,"")</f>
        <v/>
      </c>
      <c r="D33" s="2069">
        <f>Kalkulation!CN398</f>
        <v>0</v>
      </c>
      <c r="E33" s="2070"/>
      <c r="F33" s="2071"/>
      <c r="G33" s="2069">
        <f>Kalkulation!CX409</f>
        <v>0</v>
      </c>
      <c r="H33" s="2070"/>
      <c r="I33" s="2071"/>
      <c r="J33" s="2069">
        <f>SUM(Kalkulation!CU398:CU409)</f>
        <v>0</v>
      </c>
      <c r="K33" s="2070"/>
      <c r="L33" s="2071"/>
      <c r="M33" s="2069">
        <f>SUM(Kalkulation!CR398:CR409)</f>
        <v>0</v>
      </c>
      <c r="N33" s="2070"/>
      <c r="O33" s="2071"/>
      <c r="P33" s="2069">
        <f>J33+M33</f>
        <v>0</v>
      </c>
      <c r="Q33" s="2070"/>
      <c r="R33" s="2071"/>
      <c r="S33" s="11"/>
    </row>
    <row r="34" spans="2:19" ht="3.2" customHeight="1">
      <c r="B34" s="11"/>
      <c r="C34" s="2"/>
      <c r="D34" s="5"/>
      <c r="E34" s="1"/>
      <c r="F34" s="19"/>
      <c r="G34" s="5"/>
      <c r="H34" s="1"/>
      <c r="I34" s="19"/>
      <c r="J34" s="5"/>
      <c r="K34" s="1"/>
      <c r="L34" s="19"/>
      <c r="M34" s="5"/>
      <c r="N34" s="1"/>
      <c r="O34" s="19"/>
      <c r="P34" s="5"/>
      <c r="Q34" s="1"/>
      <c r="R34" s="19"/>
      <c r="S34" s="11"/>
    </row>
    <row r="35" spans="2:19">
      <c r="B35" s="11"/>
      <c r="C35" s="12" t="str">
        <f>IF(D35&gt;0,Kalkulation!BD410,"")</f>
        <v/>
      </c>
      <c r="D35" s="2069">
        <f>Kalkulation!CN410</f>
        <v>0</v>
      </c>
      <c r="E35" s="2070"/>
      <c r="F35" s="2071"/>
      <c r="G35" s="2069">
        <f>Kalkulation!CX421</f>
        <v>0</v>
      </c>
      <c r="H35" s="2070"/>
      <c r="I35" s="2071"/>
      <c r="J35" s="2069">
        <f>SUM(Kalkulation!CU410:CU421)</f>
        <v>0</v>
      </c>
      <c r="K35" s="2070"/>
      <c r="L35" s="2071"/>
      <c r="M35" s="2069">
        <f>SUM(Kalkulation!CR410:CR421)</f>
        <v>0</v>
      </c>
      <c r="N35" s="2070"/>
      <c r="O35" s="2071"/>
      <c r="P35" s="2069">
        <f>J35+M35</f>
        <v>0</v>
      </c>
      <c r="Q35" s="2070"/>
      <c r="R35" s="2071"/>
      <c r="S35" s="11"/>
    </row>
    <row r="36" spans="2:19" ht="3.2" customHeight="1">
      <c r="B36" s="11"/>
      <c r="C36" s="2"/>
      <c r="D36" s="5"/>
      <c r="E36" s="1"/>
      <c r="F36" s="19"/>
      <c r="G36" s="5"/>
      <c r="H36" s="1"/>
      <c r="I36" s="19"/>
      <c r="J36" s="5"/>
      <c r="K36" s="1"/>
      <c r="L36" s="19"/>
      <c r="M36" s="5"/>
      <c r="N36" s="1"/>
      <c r="O36" s="19"/>
      <c r="P36" s="5"/>
      <c r="Q36" s="1"/>
      <c r="R36" s="19"/>
      <c r="S36" s="11"/>
    </row>
    <row r="37" spans="2:19">
      <c r="B37" s="11"/>
      <c r="C37" s="12" t="str">
        <f>IF(D37&gt;0,Kalkulation!BD422,"")</f>
        <v/>
      </c>
      <c r="D37" s="2069">
        <f>Kalkulation!CN422</f>
        <v>0</v>
      </c>
      <c r="E37" s="2070"/>
      <c r="F37" s="2071"/>
      <c r="G37" s="2069">
        <f>Kalkulation!CX433</f>
        <v>0</v>
      </c>
      <c r="H37" s="2070"/>
      <c r="I37" s="2071"/>
      <c r="J37" s="2069">
        <f>SUM(Kalkulation!CU422:CU433)</f>
        <v>0</v>
      </c>
      <c r="K37" s="2070"/>
      <c r="L37" s="2071"/>
      <c r="M37" s="2069">
        <f>SUM(Kalkulation!CR422:CR433)</f>
        <v>0</v>
      </c>
      <c r="N37" s="2070"/>
      <c r="O37" s="2071"/>
      <c r="P37" s="2069">
        <f>J37+M37</f>
        <v>0</v>
      </c>
      <c r="Q37" s="2070"/>
      <c r="R37" s="2071"/>
      <c r="S37" s="11"/>
    </row>
    <row r="38" spans="2:19" ht="3.2" customHeight="1">
      <c r="B38" s="11"/>
      <c r="C38" s="2"/>
      <c r="D38" s="5"/>
      <c r="E38" s="1"/>
      <c r="F38" s="19"/>
      <c r="G38" s="5"/>
      <c r="H38" s="1"/>
      <c r="I38" s="19"/>
      <c r="J38" s="5"/>
      <c r="K38" s="1"/>
      <c r="L38" s="19"/>
      <c r="M38" s="5"/>
      <c r="N38" s="1"/>
      <c r="O38" s="19"/>
      <c r="P38" s="5"/>
      <c r="Q38" s="1"/>
      <c r="R38" s="19"/>
      <c r="S38" s="11"/>
    </row>
    <row r="39" spans="2:19" ht="12.75" customHeight="1">
      <c r="B39" s="11"/>
      <c r="C39" s="12" t="str">
        <f>IF(D39&gt;0,Kalkulation!BD434,"")</f>
        <v/>
      </c>
      <c r="D39" s="2069">
        <f>Kalkulation!CN434</f>
        <v>0</v>
      </c>
      <c r="E39" s="2070"/>
      <c r="F39" s="2071"/>
      <c r="G39" s="2069">
        <f>Kalkulation!CX445</f>
        <v>0</v>
      </c>
      <c r="H39" s="2070"/>
      <c r="I39" s="2071"/>
      <c r="J39" s="2069">
        <f>SUM(Kalkulation!CU434:CU445)</f>
        <v>0</v>
      </c>
      <c r="K39" s="2070"/>
      <c r="L39" s="2071"/>
      <c r="M39" s="2069">
        <f>SUM(Kalkulation!CR434:CR445)</f>
        <v>0</v>
      </c>
      <c r="N39" s="2070"/>
      <c r="O39" s="2071"/>
      <c r="P39" s="2069">
        <f>J39+M39</f>
        <v>0</v>
      </c>
      <c r="Q39" s="2070"/>
      <c r="R39" s="2071"/>
      <c r="S39" s="11"/>
    </row>
    <row r="40" spans="2:19" ht="3.2" customHeight="1">
      <c r="B40" s="11"/>
      <c r="C40" s="2"/>
      <c r="D40" s="5"/>
      <c r="E40" s="1"/>
      <c r="F40" s="19"/>
      <c r="G40" s="5"/>
      <c r="H40" s="1"/>
      <c r="I40" s="19"/>
      <c r="J40" s="5"/>
      <c r="K40" s="1"/>
      <c r="L40" s="19"/>
      <c r="M40" s="5"/>
      <c r="N40" s="1"/>
      <c r="O40" s="19"/>
      <c r="P40" s="5"/>
      <c r="Q40" s="1"/>
      <c r="R40" s="19"/>
      <c r="S40" s="11"/>
    </row>
    <row r="41" spans="2:19" ht="12.75" customHeight="1">
      <c r="B41" s="11"/>
      <c r="C41" s="12" t="str">
        <f>IF(D41&gt;0,Kalkulation!BD446,"")</f>
        <v/>
      </c>
      <c r="D41" s="2069">
        <f>Kalkulation!CN446</f>
        <v>0</v>
      </c>
      <c r="E41" s="2070"/>
      <c r="F41" s="2071"/>
      <c r="G41" s="2069">
        <f>Kalkulation!CX457</f>
        <v>0</v>
      </c>
      <c r="H41" s="2070"/>
      <c r="I41" s="2071"/>
      <c r="J41" s="2069">
        <f>SUM(Kalkulation!CU446:CU457)</f>
        <v>0</v>
      </c>
      <c r="K41" s="2070"/>
      <c r="L41" s="2071"/>
      <c r="M41" s="2069">
        <f>SUM(Kalkulation!CR446:CR457)</f>
        <v>0</v>
      </c>
      <c r="N41" s="2070"/>
      <c r="O41" s="2071"/>
      <c r="P41" s="2069">
        <f>J41+M41</f>
        <v>0</v>
      </c>
      <c r="Q41" s="2070"/>
      <c r="R41" s="2071"/>
      <c r="S41" s="11"/>
    </row>
    <row r="42" spans="2:19" ht="3.2" customHeight="1">
      <c r="B42" s="11"/>
      <c r="C42" s="2"/>
      <c r="D42" s="5"/>
      <c r="E42" s="1"/>
      <c r="F42" s="19"/>
      <c r="G42" s="5"/>
      <c r="H42" s="1"/>
      <c r="I42" s="19"/>
      <c r="J42" s="5"/>
      <c r="K42" s="1"/>
      <c r="L42" s="19"/>
      <c r="M42" s="5"/>
      <c r="N42" s="1"/>
      <c r="O42" s="19"/>
      <c r="P42" s="5"/>
      <c r="Q42" s="1"/>
      <c r="R42" s="19"/>
      <c r="S42" s="11"/>
    </row>
    <row r="43" spans="2:19" ht="12.75" customHeight="1">
      <c r="B43" s="11"/>
      <c r="C43" s="12" t="str">
        <f>IF(D43&gt;0,Kalkulation!BD458,"")</f>
        <v/>
      </c>
      <c r="D43" s="2069">
        <f>Kalkulation!CN458</f>
        <v>0</v>
      </c>
      <c r="E43" s="2070"/>
      <c r="F43" s="2071"/>
      <c r="G43" s="2069">
        <f>Kalkulation!CX469</f>
        <v>0</v>
      </c>
      <c r="H43" s="2070"/>
      <c r="I43" s="2071"/>
      <c r="J43" s="2069">
        <f>SUM(Kalkulation!CU458:CU469)</f>
        <v>0</v>
      </c>
      <c r="K43" s="2070"/>
      <c r="L43" s="2071"/>
      <c r="M43" s="2069">
        <f>SUM(Kalkulation!CR458:CR469)</f>
        <v>0</v>
      </c>
      <c r="N43" s="2070"/>
      <c r="O43" s="2071"/>
      <c r="P43" s="2069">
        <f>J43+M43</f>
        <v>0</v>
      </c>
      <c r="Q43" s="2070"/>
      <c r="R43" s="2071"/>
      <c r="S43" s="11"/>
    </row>
    <row r="44" spans="2:19" ht="3.2" customHeight="1">
      <c r="B44" s="11"/>
      <c r="C44" s="10"/>
      <c r="D44" s="5"/>
      <c r="E44" s="1"/>
      <c r="F44" s="19"/>
      <c r="G44" s="5"/>
      <c r="H44" s="1"/>
      <c r="I44" s="19"/>
      <c r="J44" s="5"/>
      <c r="K44" s="1"/>
      <c r="L44" s="19"/>
      <c r="M44" s="5"/>
      <c r="N44" s="1"/>
      <c r="O44" s="19"/>
      <c r="P44" s="5"/>
      <c r="Q44" s="1"/>
      <c r="R44" s="19"/>
      <c r="S44" s="11"/>
    </row>
    <row r="45" spans="2:19" ht="12.75" customHeight="1">
      <c r="B45" s="11"/>
      <c r="C45" s="12" t="str">
        <f>IF(D45&gt;0,Kalkulation!BD470,"")</f>
        <v/>
      </c>
      <c r="D45" s="2069">
        <f>Kalkulation!CN470</f>
        <v>0</v>
      </c>
      <c r="E45" s="2070"/>
      <c r="F45" s="2071"/>
      <c r="G45" s="2069">
        <f>Kalkulation!CX481</f>
        <v>0</v>
      </c>
      <c r="H45" s="2070"/>
      <c r="I45" s="2071"/>
      <c r="J45" s="2069">
        <f>SUM(Kalkulation!CU470:CU481)</f>
        <v>0</v>
      </c>
      <c r="K45" s="2070"/>
      <c r="L45" s="2071"/>
      <c r="M45" s="2069">
        <f>SUM(Kalkulation!CR470:CR481)</f>
        <v>0</v>
      </c>
      <c r="N45" s="2070"/>
      <c r="O45" s="2071"/>
      <c r="P45" s="2069">
        <f>J45+M45</f>
        <v>0</v>
      </c>
      <c r="Q45" s="2070"/>
      <c r="R45" s="2071"/>
      <c r="S45" s="11"/>
    </row>
    <row r="46" spans="2:19" ht="3.2" customHeight="1">
      <c r="B46" s="11"/>
      <c r="C46" s="10"/>
      <c r="D46" s="5"/>
      <c r="E46" s="1"/>
      <c r="F46" s="19"/>
      <c r="G46" s="5"/>
      <c r="H46" s="1"/>
      <c r="I46" s="19"/>
      <c r="J46" s="5"/>
      <c r="K46" s="1"/>
      <c r="L46" s="19"/>
      <c r="M46" s="5"/>
      <c r="N46" s="1"/>
      <c r="O46" s="19"/>
      <c r="P46" s="5"/>
      <c r="Q46" s="1"/>
      <c r="R46" s="19"/>
      <c r="S46" s="11"/>
    </row>
    <row r="47" spans="2:19">
      <c r="B47" s="11"/>
      <c r="C47" s="12" t="str">
        <f>IF(D47&gt;0,Kalkulation!BD482,"")</f>
        <v/>
      </c>
      <c r="D47" s="2069">
        <f>Kalkulation!CN482</f>
        <v>0</v>
      </c>
      <c r="E47" s="2070"/>
      <c r="F47" s="2071"/>
      <c r="G47" s="2069">
        <f>Kalkulation!CX493</f>
        <v>0</v>
      </c>
      <c r="H47" s="2070"/>
      <c r="I47" s="2071"/>
      <c r="J47" s="2069">
        <f>SUM(Kalkulation!CU482:CU493)</f>
        <v>0</v>
      </c>
      <c r="K47" s="2070"/>
      <c r="L47" s="2071"/>
      <c r="M47" s="2069">
        <f>SUM(Kalkulation!CR482:CR493)</f>
        <v>0</v>
      </c>
      <c r="N47" s="2070"/>
      <c r="O47" s="2071"/>
      <c r="P47" s="2069">
        <f>J47+M47</f>
        <v>0</v>
      </c>
      <c r="Q47" s="2070"/>
      <c r="R47" s="2071"/>
      <c r="S47" s="11"/>
    </row>
    <row r="48" spans="2:19" ht="3.2" customHeight="1">
      <c r="B48" s="11"/>
      <c r="C48" s="10"/>
      <c r="D48" s="5"/>
      <c r="E48" s="1"/>
      <c r="F48" s="19"/>
      <c r="G48" s="5"/>
      <c r="H48" s="1"/>
      <c r="I48" s="19"/>
      <c r="J48" s="5"/>
      <c r="K48" s="1"/>
      <c r="L48" s="19"/>
      <c r="M48" s="5"/>
      <c r="N48" s="1"/>
      <c r="O48" s="19"/>
      <c r="P48" s="5"/>
      <c r="Q48" s="1"/>
      <c r="R48" s="19"/>
      <c r="S48" s="11"/>
    </row>
    <row r="49" spans="2:19">
      <c r="B49" s="11"/>
      <c r="C49" s="12" t="str">
        <f>IF(D49&gt;0,Kalkulation!BD494,"")</f>
        <v/>
      </c>
      <c r="D49" s="2069">
        <f>Kalkulation!CN494</f>
        <v>0</v>
      </c>
      <c r="E49" s="2070"/>
      <c r="F49" s="2071"/>
      <c r="G49" s="2069">
        <f>Kalkulation!CX505</f>
        <v>0</v>
      </c>
      <c r="H49" s="2070"/>
      <c r="I49" s="2071"/>
      <c r="J49" s="2069">
        <f>SUM(Kalkulation!CU494:CU505)</f>
        <v>0</v>
      </c>
      <c r="K49" s="2070"/>
      <c r="L49" s="2071"/>
      <c r="M49" s="2069">
        <f>SUM(Kalkulation!CR494:CR505)</f>
        <v>0</v>
      </c>
      <c r="N49" s="2070"/>
      <c r="O49" s="2071"/>
      <c r="P49" s="2069">
        <f>J49+M49</f>
        <v>0</v>
      </c>
      <c r="Q49" s="2070"/>
      <c r="R49" s="2071"/>
      <c r="S49" s="11"/>
    </row>
    <row r="50" spans="2:19" ht="3.2" customHeight="1">
      <c r="B50" s="11"/>
      <c r="C50" s="2"/>
      <c r="D50" s="5"/>
      <c r="E50" s="1"/>
      <c r="F50" s="19"/>
      <c r="G50" s="5"/>
      <c r="H50" s="1"/>
      <c r="I50" s="19"/>
      <c r="J50" s="5"/>
      <c r="K50" s="1"/>
      <c r="L50" s="19"/>
      <c r="M50" s="5"/>
      <c r="N50" s="1"/>
      <c r="O50" s="19"/>
      <c r="P50" s="5"/>
      <c r="Q50" s="1"/>
      <c r="R50" s="19"/>
      <c r="S50" s="11"/>
    </row>
    <row r="51" spans="2:19" ht="12.75" customHeight="1">
      <c r="B51" s="11"/>
      <c r="C51" s="12" t="str">
        <f>IF(D51&gt;0,Kalkulation!BD506,"")</f>
        <v/>
      </c>
      <c r="D51" s="2069">
        <f>Kalkulation!CN506</f>
        <v>0</v>
      </c>
      <c r="E51" s="2070"/>
      <c r="F51" s="2071"/>
      <c r="G51" s="2069">
        <f>Kalkulation!CX517</f>
        <v>0</v>
      </c>
      <c r="H51" s="2070"/>
      <c r="I51" s="2071"/>
      <c r="J51" s="2069">
        <f>SUM(Kalkulation!CU506:CU517)</f>
        <v>0</v>
      </c>
      <c r="K51" s="2070"/>
      <c r="L51" s="2071"/>
      <c r="M51" s="2069">
        <f>SUM(Kalkulation!CR506:CR517)</f>
        <v>0</v>
      </c>
      <c r="N51" s="2070"/>
      <c r="O51" s="2071"/>
      <c r="P51" s="2069">
        <f>J51+M51</f>
        <v>0</v>
      </c>
      <c r="Q51" s="2070"/>
      <c r="R51" s="2071"/>
      <c r="S51" s="11"/>
    </row>
    <row r="52" spans="2:19" ht="3.2" customHeight="1">
      <c r="B52" s="11"/>
      <c r="C52" s="2"/>
      <c r="D52" s="5"/>
      <c r="E52" s="1"/>
      <c r="F52" s="19"/>
      <c r="G52" s="5"/>
      <c r="H52" s="1"/>
      <c r="I52" s="19"/>
      <c r="J52" s="5"/>
      <c r="K52" s="1"/>
      <c r="L52" s="19"/>
      <c r="M52" s="5"/>
      <c r="N52" s="1"/>
      <c r="O52" s="19"/>
      <c r="P52" s="5"/>
      <c r="Q52" s="1"/>
      <c r="R52" s="19"/>
      <c r="S52" s="11"/>
    </row>
    <row r="53" spans="2:19">
      <c r="B53" s="11"/>
      <c r="C53" s="12" t="str">
        <f>IF(D53&gt;0,Kalkulation!BD518,"")</f>
        <v/>
      </c>
      <c r="D53" s="2069">
        <f>Kalkulation!CN518</f>
        <v>0</v>
      </c>
      <c r="E53" s="2070"/>
      <c r="F53" s="2071"/>
      <c r="G53" s="2069">
        <f>Kalkulation!CX529</f>
        <v>0</v>
      </c>
      <c r="H53" s="2070"/>
      <c r="I53" s="2071"/>
      <c r="J53" s="2069">
        <f>SUM(Kalkulation!CU518:CU529)</f>
        <v>0</v>
      </c>
      <c r="K53" s="2070"/>
      <c r="L53" s="2071"/>
      <c r="M53" s="2069">
        <f>SUM(Kalkulation!CR518:CR529)</f>
        <v>0</v>
      </c>
      <c r="N53" s="2070"/>
      <c r="O53" s="2071"/>
      <c r="P53" s="2069">
        <f>J53+M53</f>
        <v>0</v>
      </c>
      <c r="Q53" s="2070"/>
      <c r="R53" s="2071"/>
      <c r="S53" s="11"/>
    </row>
    <row r="54" spans="2:19" ht="3.2" customHeight="1">
      <c r="B54" s="11"/>
      <c r="C54" s="10"/>
      <c r="D54" s="5"/>
      <c r="E54" s="1"/>
      <c r="F54" s="19"/>
      <c r="G54" s="5"/>
      <c r="H54" s="1"/>
      <c r="I54" s="19"/>
      <c r="J54" s="5"/>
      <c r="K54" s="1"/>
      <c r="L54" s="19"/>
      <c r="M54" s="5"/>
      <c r="N54" s="1"/>
      <c r="O54" s="19"/>
      <c r="P54" s="5"/>
      <c r="Q54" s="1"/>
      <c r="R54" s="19"/>
      <c r="S54" s="11"/>
    </row>
    <row r="55" spans="2:19">
      <c r="B55" s="11"/>
      <c r="C55" s="12" t="str">
        <f>IF(D55&gt;0,Kalkulation!BD530,"")</f>
        <v/>
      </c>
      <c r="D55" s="2069">
        <f>Kalkulation!CN530</f>
        <v>0</v>
      </c>
      <c r="E55" s="2070"/>
      <c r="F55" s="2071"/>
      <c r="G55" s="2069">
        <f>Kalkulation!CX541</f>
        <v>0</v>
      </c>
      <c r="H55" s="2070"/>
      <c r="I55" s="2071"/>
      <c r="J55" s="2069">
        <f>SUM(Kalkulation!CU530:CU541)</f>
        <v>0</v>
      </c>
      <c r="K55" s="2070"/>
      <c r="L55" s="2071"/>
      <c r="M55" s="2069">
        <f>SUM(Kalkulation!CR530:CR541)</f>
        <v>0</v>
      </c>
      <c r="N55" s="2070"/>
      <c r="O55" s="2071"/>
      <c r="P55" s="2069">
        <f>J55+M55</f>
        <v>0</v>
      </c>
      <c r="Q55" s="2070"/>
      <c r="R55" s="2071"/>
      <c r="S55" s="11"/>
    </row>
    <row r="56" spans="2:19" ht="3.2" customHeight="1">
      <c r="B56" s="11"/>
      <c r="C56" s="10"/>
      <c r="D56" s="5"/>
      <c r="E56" s="1"/>
      <c r="F56" s="19"/>
      <c r="G56" s="5"/>
      <c r="H56" s="1"/>
      <c r="I56" s="19"/>
      <c r="J56" s="5"/>
      <c r="K56" s="1"/>
      <c r="L56" s="19"/>
      <c r="M56" s="5"/>
      <c r="N56" s="1"/>
      <c r="O56" s="19"/>
      <c r="P56" s="5"/>
      <c r="Q56" s="1"/>
      <c r="R56" s="19"/>
      <c r="S56" s="11"/>
    </row>
    <row r="57" spans="2:19">
      <c r="B57" s="11"/>
      <c r="C57" s="12" t="str">
        <f>IF(D57&gt;0,Kalkulation!BD542,"")</f>
        <v/>
      </c>
      <c r="D57" s="2069">
        <f>Kalkulation!CN542</f>
        <v>0</v>
      </c>
      <c r="E57" s="2070"/>
      <c r="F57" s="2071"/>
      <c r="G57" s="2069">
        <f>Kalkulation!CX553</f>
        <v>0</v>
      </c>
      <c r="H57" s="2070"/>
      <c r="I57" s="2071"/>
      <c r="J57" s="2069">
        <f>SUM(Kalkulation!CU542:CU553)</f>
        <v>0</v>
      </c>
      <c r="K57" s="2070"/>
      <c r="L57" s="2071"/>
      <c r="M57" s="2069">
        <f>SUM(Kalkulation!CR542:CR553)</f>
        <v>0</v>
      </c>
      <c r="N57" s="2070"/>
      <c r="O57" s="2071"/>
      <c r="P57" s="2069">
        <f>J57+M57</f>
        <v>0</v>
      </c>
      <c r="Q57" s="2070"/>
      <c r="R57" s="2071"/>
      <c r="S57" s="11"/>
    </row>
    <row r="58" spans="2:19" ht="3.2" customHeight="1">
      <c r="B58" s="11"/>
      <c r="C58" s="10"/>
      <c r="D58" s="5"/>
      <c r="E58" s="1"/>
      <c r="F58" s="19"/>
      <c r="G58" s="5"/>
      <c r="H58" s="1"/>
      <c r="I58" s="19"/>
      <c r="J58" s="5"/>
      <c r="K58" s="1"/>
      <c r="L58" s="19"/>
      <c r="M58" s="5"/>
      <c r="N58" s="1"/>
      <c r="O58" s="19"/>
      <c r="P58" s="5"/>
      <c r="Q58" s="1"/>
      <c r="R58" s="19"/>
      <c r="S58" s="11"/>
    </row>
    <row r="59" spans="2:19">
      <c r="B59" s="11"/>
      <c r="C59" s="12" t="str">
        <f>IF(D59&gt;0,Kalkulation!BD554,"")</f>
        <v/>
      </c>
      <c r="D59" s="2069">
        <f>Kalkulation!CN554</f>
        <v>0</v>
      </c>
      <c r="E59" s="2070"/>
      <c r="F59" s="2071"/>
      <c r="G59" s="2069">
        <f>Kalkulation!CX565</f>
        <v>0</v>
      </c>
      <c r="H59" s="2070"/>
      <c r="I59" s="2071"/>
      <c r="J59" s="2069">
        <f>SUM(Kalkulation!CU554:CU565)</f>
        <v>0</v>
      </c>
      <c r="K59" s="2070"/>
      <c r="L59" s="2071"/>
      <c r="M59" s="2069">
        <f>SUM(Kalkulation!CR554:CR565)</f>
        <v>0</v>
      </c>
      <c r="N59" s="2070"/>
      <c r="O59" s="2071"/>
      <c r="P59" s="2069">
        <f>J59+M59</f>
        <v>0</v>
      </c>
      <c r="Q59" s="2070"/>
      <c r="R59" s="2071"/>
      <c r="S59" s="11"/>
    </row>
    <row r="60" spans="2:19" ht="3.2" customHeight="1">
      <c r="B60" s="11"/>
      <c r="C60" s="2"/>
      <c r="D60" s="5"/>
      <c r="E60" s="1"/>
      <c r="F60" s="19"/>
      <c r="G60" s="5"/>
      <c r="H60" s="1"/>
      <c r="I60" s="19"/>
      <c r="J60" s="5"/>
      <c r="K60" s="1"/>
      <c r="L60" s="19"/>
      <c r="M60" s="5"/>
      <c r="N60" s="1"/>
      <c r="O60" s="19"/>
      <c r="P60" s="5"/>
      <c r="Q60" s="1"/>
      <c r="R60" s="19"/>
      <c r="S60" s="11"/>
    </row>
    <row r="61" spans="2:19">
      <c r="B61" s="11"/>
      <c r="C61" s="12" t="str">
        <f>IF(D61&gt;0,Kalkulation!BD566,"")</f>
        <v/>
      </c>
      <c r="D61" s="2069">
        <f>Kalkulation!CN566</f>
        <v>0</v>
      </c>
      <c r="E61" s="2070">
        <f>Kalkulation!BH566</f>
        <v>0</v>
      </c>
      <c r="F61" s="2071"/>
      <c r="G61" s="2069">
        <f>Kalkulation!CX577</f>
        <v>0</v>
      </c>
      <c r="H61" s="2070"/>
      <c r="I61" s="2071"/>
      <c r="J61" s="2069">
        <f>SUM(Kalkulation!CU566:CU577)</f>
        <v>0</v>
      </c>
      <c r="K61" s="2070"/>
      <c r="L61" s="2071"/>
      <c r="M61" s="2069">
        <f>SUM(Kalkulation!CR566:CR577)</f>
        <v>0</v>
      </c>
      <c r="N61" s="2070"/>
      <c r="O61" s="2071"/>
      <c r="P61" s="2069">
        <f>J61+M61</f>
        <v>0</v>
      </c>
      <c r="Q61" s="2070"/>
      <c r="R61" s="2071"/>
      <c r="S61" s="11"/>
    </row>
    <row r="62" spans="2:19" ht="3.2" customHeight="1">
      <c r="B62" s="11"/>
      <c r="C62" s="2"/>
      <c r="D62" s="5"/>
      <c r="E62" s="1"/>
      <c r="F62" s="19"/>
      <c r="G62" s="5"/>
      <c r="H62" s="1"/>
      <c r="I62" s="19"/>
      <c r="J62" s="5"/>
      <c r="K62" s="1"/>
      <c r="L62" s="19"/>
      <c r="M62" s="5"/>
      <c r="N62" s="1"/>
      <c r="O62" s="19"/>
      <c r="P62" s="5"/>
      <c r="Q62" s="1"/>
      <c r="R62" s="19"/>
      <c r="S62" s="11"/>
    </row>
    <row r="63" spans="2:19">
      <c r="B63" s="11"/>
      <c r="C63" s="12" t="str">
        <f>IF(D63&gt;0,Kalkulation!BD578,"")</f>
        <v/>
      </c>
      <c r="D63" s="2069">
        <f>Kalkulation!CN578</f>
        <v>0</v>
      </c>
      <c r="E63" s="2070"/>
      <c r="F63" s="2071"/>
      <c r="G63" s="2069">
        <f>Kalkulation!CX589</f>
        <v>0</v>
      </c>
      <c r="H63" s="2070"/>
      <c r="I63" s="2071"/>
      <c r="J63" s="2069">
        <f>SUM(Kalkulation!CU578:CU589)</f>
        <v>0</v>
      </c>
      <c r="K63" s="2070"/>
      <c r="L63" s="2071"/>
      <c r="M63" s="2069">
        <f>SUM(Kalkulation!CR578:CR589)</f>
        <v>0</v>
      </c>
      <c r="N63" s="2070"/>
      <c r="O63" s="2071"/>
      <c r="P63" s="2069">
        <f>J63+M63</f>
        <v>0</v>
      </c>
      <c r="Q63" s="2070"/>
      <c r="R63" s="2071"/>
      <c r="S63" s="11"/>
    </row>
    <row r="64" spans="2:19" ht="3.2" customHeight="1">
      <c r="B64" s="11"/>
      <c r="C64" s="2"/>
      <c r="D64" s="5"/>
      <c r="E64" s="1"/>
      <c r="F64" s="19"/>
      <c r="G64" s="5"/>
      <c r="H64" s="1"/>
      <c r="I64" s="19"/>
      <c r="J64" s="5"/>
      <c r="K64" s="1"/>
      <c r="L64" s="19"/>
      <c r="M64" s="5"/>
      <c r="N64" s="1"/>
      <c r="O64" s="19"/>
      <c r="P64" s="5"/>
      <c r="Q64" s="1"/>
      <c r="R64" s="19"/>
      <c r="S64" s="11"/>
    </row>
    <row r="65" spans="2:19">
      <c r="B65" s="11"/>
      <c r="C65" s="12" t="str">
        <f>IF(D65&gt;0,Kalkulation!BD590,"")</f>
        <v/>
      </c>
      <c r="D65" s="2069">
        <f>Kalkulation!CN590</f>
        <v>0</v>
      </c>
      <c r="E65" s="2070"/>
      <c r="F65" s="2071"/>
      <c r="G65" s="2069">
        <f>Kalkulation!CX601</f>
        <v>0</v>
      </c>
      <c r="H65" s="2070"/>
      <c r="I65" s="2071"/>
      <c r="J65" s="2069">
        <f>SUM(Kalkulation!CU590:CU601)</f>
        <v>0</v>
      </c>
      <c r="K65" s="2070"/>
      <c r="L65" s="2071"/>
      <c r="M65" s="2069">
        <f>SUM(Kalkulation!CR590:CR601)</f>
        <v>0</v>
      </c>
      <c r="N65" s="2070"/>
      <c r="O65" s="2071"/>
      <c r="P65" s="2069">
        <f>J65+M65</f>
        <v>0</v>
      </c>
      <c r="Q65" s="2070"/>
      <c r="R65" s="2071"/>
      <c r="S65" s="11"/>
    </row>
    <row r="66" spans="2:19" ht="3.2" customHeight="1">
      <c r="B66" s="11"/>
      <c r="C66" s="2"/>
      <c r="D66" s="5"/>
      <c r="E66" s="1"/>
      <c r="F66" s="19"/>
      <c r="G66" s="5"/>
      <c r="H66" s="1"/>
      <c r="I66" s="19"/>
      <c r="J66" s="5"/>
      <c r="K66" s="1"/>
      <c r="L66" s="19"/>
      <c r="M66" s="5"/>
      <c r="N66" s="1"/>
      <c r="O66" s="19"/>
      <c r="P66" s="5"/>
      <c r="Q66" s="1"/>
      <c r="R66" s="19"/>
      <c r="S66" s="11"/>
    </row>
    <row r="67" spans="2:19">
      <c r="B67" s="11"/>
      <c r="C67" s="12" t="str">
        <f>IF(D67&gt;0,Kalkulation!BD602,"")</f>
        <v/>
      </c>
      <c r="D67" s="2069">
        <f>Kalkulation!CN602</f>
        <v>0</v>
      </c>
      <c r="E67" s="2070"/>
      <c r="F67" s="2071"/>
      <c r="G67" s="2069">
        <f>Kalkulation!CX613</f>
        <v>0</v>
      </c>
      <c r="H67" s="2070"/>
      <c r="I67" s="2071"/>
      <c r="J67" s="2069">
        <f>SUM(Kalkulation!CU602:CU613)</f>
        <v>0</v>
      </c>
      <c r="K67" s="2070"/>
      <c r="L67" s="2071"/>
      <c r="M67" s="2069">
        <f>SUM(Kalkulation!CR602:CR613)</f>
        <v>0</v>
      </c>
      <c r="N67" s="2070"/>
      <c r="O67" s="2071"/>
      <c r="P67" s="2069">
        <f>J67+M67</f>
        <v>0</v>
      </c>
      <c r="Q67" s="2070"/>
      <c r="R67" s="2071"/>
      <c r="S67" s="11"/>
    </row>
    <row r="68" spans="2:19" ht="3.2" customHeight="1">
      <c r="B68" s="11"/>
      <c r="C68" s="2"/>
      <c r="D68" s="5"/>
      <c r="E68" s="1"/>
      <c r="F68" s="19"/>
      <c r="G68" s="5"/>
      <c r="H68" s="1"/>
      <c r="I68" s="19"/>
      <c r="J68" s="5"/>
      <c r="K68" s="1"/>
      <c r="L68" s="19"/>
      <c r="M68" s="5"/>
      <c r="N68" s="1"/>
      <c r="O68" s="19"/>
      <c r="P68" s="5"/>
      <c r="Q68" s="1"/>
      <c r="R68" s="19"/>
      <c r="S68" s="11"/>
    </row>
    <row r="69" spans="2:19">
      <c r="B69" s="11"/>
      <c r="C69" s="12" t="str">
        <f>IF(D69&gt;0,Kalkulation!BD614,"")</f>
        <v/>
      </c>
      <c r="D69" s="2069">
        <f>Kalkulation!CN614</f>
        <v>0</v>
      </c>
      <c r="E69" s="2070"/>
      <c r="F69" s="2071"/>
      <c r="G69" s="2069">
        <f>Kalkulation!CX625</f>
        <v>0</v>
      </c>
      <c r="H69" s="2070"/>
      <c r="I69" s="2071"/>
      <c r="J69" s="2069">
        <f>SUM(Kalkulation!CU614:CU625)</f>
        <v>0</v>
      </c>
      <c r="K69" s="2070"/>
      <c r="L69" s="2071"/>
      <c r="M69" s="2069">
        <f>SUM(Kalkulation!CR614:CR625)</f>
        <v>0</v>
      </c>
      <c r="N69" s="2070"/>
      <c r="O69" s="2071"/>
      <c r="P69" s="2069">
        <f>J69+M69</f>
        <v>0</v>
      </c>
      <c r="Q69" s="2070"/>
      <c r="R69" s="2071"/>
      <c r="S69" s="11"/>
    </row>
    <row r="70" spans="2:19" ht="3.2" customHeight="1">
      <c r="B70" s="11"/>
      <c r="C70" s="2"/>
      <c r="D70" s="5"/>
      <c r="E70" s="1"/>
      <c r="F70" s="19"/>
      <c r="G70" s="5"/>
      <c r="H70" s="1"/>
      <c r="I70" s="19"/>
      <c r="J70" s="5"/>
      <c r="K70" s="1"/>
      <c r="L70" s="19"/>
      <c r="M70" s="5"/>
      <c r="N70" s="1"/>
      <c r="O70" s="19"/>
      <c r="P70" s="5"/>
      <c r="Q70" s="1"/>
      <c r="R70" s="19"/>
      <c r="S70" s="11"/>
    </row>
    <row r="71" spans="2:19">
      <c r="B71" s="11"/>
      <c r="C71" s="12" t="str">
        <f>IF(D71&gt;0,Kalkulation!BD626,"")</f>
        <v/>
      </c>
      <c r="D71" s="2069">
        <f>Kalkulation!CN626</f>
        <v>0</v>
      </c>
      <c r="E71" s="2070"/>
      <c r="F71" s="2071"/>
      <c r="G71" s="2069">
        <f>Kalkulation!CX637</f>
        <v>0</v>
      </c>
      <c r="H71" s="2070"/>
      <c r="I71" s="2071"/>
      <c r="J71" s="2069">
        <f>SUM(Kalkulation!CU626:CU637)</f>
        <v>0</v>
      </c>
      <c r="K71" s="2070"/>
      <c r="L71" s="2071"/>
      <c r="M71" s="2069">
        <f>SUM(Kalkulation!CR626:CR637)</f>
        <v>0</v>
      </c>
      <c r="N71" s="2070"/>
      <c r="O71" s="2071"/>
      <c r="P71" s="2069">
        <f>J71+M71</f>
        <v>0</v>
      </c>
      <c r="Q71" s="2070"/>
      <c r="R71" s="2071"/>
      <c r="S71" s="11"/>
    </row>
    <row r="72" spans="2:19" ht="3.2" customHeight="1">
      <c r="B72" s="11"/>
      <c r="C72" s="2"/>
      <c r="D72" s="5"/>
      <c r="E72" s="1"/>
      <c r="F72" s="19"/>
      <c r="G72" s="5"/>
      <c r="H72" s="1"/>
      <c r="I72" s="19"/>
      <c r="J72" s="5"/>
      <c r="K72" s="1"/>
      <c r="L72" s="19"/>
      <c r="M72" s="5"/>
      <c r="N72" s="1"/>
      <c r="O72" s="19"/>
      <c r="P72" s="5"/>
      <c r="Q72" s="1"/>
      <c r="R72" s="19"/>
      <c r="S72" s="11"/>
    </row>
    <row r="73" spans="2:19">
      <c r="B73" s="11"/>
      <c r="C73" s="12" t="str">
        <f>IF(D73&gt;0,Kalkulation!BD638,"")</f>
        <v/>
      </c>
      <c r="D73" s="2072">
        <f>Kalkulation!CN638</f>
        <v>0</v>
      </c>
      <c r="E73" s="2073"/>
      <c r="F73" s="2074"/>
      <c r="G73" s="2072">
        <f>Kalkulation!CX649</f>
        <v>0</v>
      </c>
      <c r="H73" s="2073"/>
      <c r="I73" s="2074"/>
      <c r="J73" s="2072">
        <f>SUM(Kalkulation!CU638:CU649)</f>
        <v>0</v>
      </c>
      <c r="K73" s="2073"/>
      <c r="L73" s="2074"/>
      <c r="M73" s="2072">
        <f>SUM(Kalkulation!CR638:CR649)</f>
        <v>0</v>
      </c>
      <c r="N73" s="2073"/>
      <c r="O73" s="2074"/>
      <c r="P73" s="2072">
        <f>J73+M73</f>
        <v>0</v>
      </c>
      <c r="Q73" s="2073"/>
      <c r="R73" s="2074"/>
      <c r="S73" s="11"/>
    </row>
    <row r="74" spans="2:19" ht="3.2" customHeight="1">
      <c r="B74" s="11"/>
      <c r="C74" s="2"/>
      <c r="S74" s="11"/>
    </row>
    <row r="75" spans="2:19" ht="12.75" hidden="1" customHeight="1">
      <c r="B75" s="11"/>
      <c r="C75" s="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</row>
    <row r="76" spans="2:19" ht="3.2" hidden="1" customHeight="1"/>
    <row r="77" spans="2:19">
      <c r="S77" s="8"/>
    </row>
    <row r="78" spans="2:19" ht="3.2" customHeight="1"/>
    <row r="79" spans="2:19" ht="3.2" customHeight="1"/>
    <row r="81" ht="3.2" customHeight="1"/>
    <row r="82" ht="8.1" customHeight="1"/>
    <row r="83" ht="3.2" customHeight="1"/>
    <row r="85" ht="3.2" customHeight="1"/>
    <row r="88" ht="3.2" customHeight="1"/>
    <row r="89" ht="10.15" customHeight="1"/>
    <row r="90" ht="10.15" customHeight="1"/>
    <row r="91" ht="3.2" customHeight="1"/>
    <row r="93" ht="3.2" customHeight="1"/>
    <row r="95" ht="3.2" customHeight="1"/>
    <row r="97" ht="3.2" customHeight="1"/>
    <row r="99" ht="3.2" customHeight="1"/>
    <row r="101" ht="3.2" customHeight="1"/>
    <row r="103" ht="3.2" customHeight="1"/>
    <row r="105" ht="3.2" customHeight="1"/>
    <row r="107" ht="3.2" customHeight="1"/>
    <row r="109" ht="3.2" customHeight="1"/>
    <row r="111" ht="3.2" customHeight="1"/>
    <row r="113" ht="3.2" customHeight="1"/>
    <row r="115" ht="3.2" customHeight="1"/>
    <row r="117" ht="3.2" customHeight="1"/>
    <row r="119" ht="3.2" customHeight="1"/>
    <row r="121" ht="3.2" customHeight="1"/>
    <row r="123" ht="3.2" customHeight="1"/>
    <row r="125" ht="3.2" customHeight="1"/>
    <row r="127" ht="3.2" customHeight="1"/>
    <row r="129" ht="3.2" customHeight="1"/>
    <row r="131" ht="3.2" customHeight="1"/>
    <row r="133" ht="3.2" customHeight="1"/>
    <row r="135" ht="3.2" customHeight="1"/>
    <row r="137" ht="3.2" customHeight="1"/>
    <row r="139" ht="3.2" customHeight="1"/>
    <row r="141" ht="3.2" customHeight="1"/>
    <row r="151" ht="33.4" customHeight="1"/>
    <row r="152" ht="19.5" customHeight="1"/>
  </sheetData>
  <sheetProtection password="F30F" sheet="1" objects="1" scenarios="1"/>
  <mergeCells count="139">
    <mergeCell ref="M23:O23"/>
    <mergeCell ref="I3:K3"/>
    <mergeCell ref="P5:Q5"/>
    <mergeCell ref="P7:Q7"/>
    <mergeCell ref="G11:I20"/>
    <mergeCell ref="J11:L20"/>
    <mergeCell ref="M11:O20"/>
    <mergeCell ref="P11:R20"/>
    <mergeCell ref="C17:C20"/>
    <mergeCell ref="D23:F23"/>
    <mergeCell ref="G23:I23"/>
    <mergeCell ref="J23:L23"/>
    <mergeCell ref="D11:F20"/>
    <mergeCell ref="P23:R23"/>
    <mergeCell ref="P25:R25"/>
    <mergeCell ref="P27:R27"/>
    <mergeCell ref="D29:F29"/>
    <mergeCell ref="G29:I29"/>
    <mergeCell ref="J29:L29"/>
    <mergeCell ref="M29:O29"/>
    <mergeCell ref="P29:R29"/>
    <mergeCell ref="D27:F27"/>
    <mergeCell ref="G27:I27"/>
    <mergeCell ref="J27:L27"/>
    <mergeCell ref="D25:F25"/>
    <mergeCell ref="G25:I25"/>
    <mergeCell ref="J25:L25"/>
    <mergeCell ref="M25:O25"/>
    <mergeCell ref="M27:O27"/>
    <mergeCell ref="P31:R31"/>
    <mergeCell ref="D33:F33"/>
    <mergeCell ref="G33:I33"/>
    <mergeCell ref="J33:L33"/>
    <mergeCell ref="M33:O33"/>
    <mergeCell ref="P33:R33"/>
    <mergeCell ref="D31:F31"/>
    <mergeCell ref="G31:I31"/>
    <mergeCell ref="J31:L31"/>
    <mergeCell ref="M31:O31"/>
    <mergeCell ref="P35:R35"/>
    <mergeCell ref="D37:F37"/>
    <mergeCell ref="G37:I37"/>
    <mergeCell ref="J37:L37"/>
    <mergeCell ref="M37:O37"/>
    <mergeCell ref="P37:R37"/>
    <mergeCell ref="D35:F35"/>
    <mergeCell ref="G35:I35"/>
    <mergeCell ref="J35:L35"/>
    <mergeCell ref="M35:O35"/>
    <mergeCell ref="P39:R39"/>
    <mergeCell ref="D41:F41"/>
    <mergeCell ref="G41:I41"/>
    <mergeCell ref="J41:L41"/>
    <mergeCell ref="M41:O41"/>
    <mergeCell ref="P41:R41"/>
    <mergeCell ref="D39:F39"/>
    <mergeCell ref="G39:I39"/>
    <mergeCell ref="J39:L39"/>
    <mergeCell ref="M39:O39"/>
    <mergeCell ref="P43:R43"/>
    <mergeCell ref="D45:F45"/>
    <mergeCell ref="G45:I45"/>
    <mergeCell ref="J45:L45"/>
    <mergeCell ref="M45:O45"/>
    <mergeCell ref="P45:R45"/>
    <mergeCell ref="D43:F43"/>
    <mergeCell ref="G43:I43"/>
    <mergeCell ref="J43:L43"/>
    <mergeCell ref="M43:O43"/>
    <mergeCell ref="P47:R47"/>
    <mergeCell ref="D49:F49"/>
    <mergeCell ref="G49:I49"/>
    <mergeCell ref="J49:L49"/>
    <mergeCell ref="M49:O49"/>
    <mergeCell ref="P49:R49"/>
    <mergeCell ref="D47:F47"/>
    <mergeCell ref="G47:I47"/>
    <mergeCell ref="J47:L47"/>
    <mergeCell ref="M47:O47"/>
    <mergeCell ref="P51:R51"/>
    <mergeCell ref="D53:F53"/>
    <mergeCell ref="G53:I53"/>
    <mergeCell ref="J53:L53"/>
    <mergeCell ref="M53:O53"/>
    <mergeCell ref="P53:R53"/>
    <mergeCell ref="D51:F51"/>
    <mergeCell ref="G51:I51"/>
    <mergeCell ref="J51:L51"/>
    <mergeCell ref="M51:O51"/>
    <mergeCell ref="P55:R55"/>
    <mergeCell ref="D57:F57"/>
    <mergeCell ref="G57:I57"/>
    <mergeCell ref="J57:L57"/>
    <mergeCell ref="M57:O57"/>
    <mergeCell ref="P57:R57"/>
    <mergeCell ref="D55:F55"/>
    <mergeCell ref="G55:I55"/>
    <mergeCell ref="J55:L55"/>
    <mergeCell ref="M55:O55"/>
    <mergeCell ref="P59:R59"/>
    <mergeCell ref="D61:F61"/>
    <mergeCell ref="G61:I61"/>
    <mergeCell ref="J61:L61"/>
    <mergeCell ref="M61:O61"/>
    <mergeCell ref="P61:R61"/>
    <mergeCell ref="D59:F59"/>
    <mergeCell ref="G59:I59"/>
    <mergeCell ref="J59:L59"/>
    <mergeCell ref="M59:O59"/>
    <mergeCell ref="P63:R63"/>
    <mergeCell ref="D65:F65"/>
    <mergeCell ref="G65:I65"/>
    <mergeCell ref="J65:L65"/>
    <mergeCell ref="M65:O65"/>
    <mergeCell ref="P65:R65"/>
    <mergeCell ref="D63:F63"/>
    <mergeCell ref="G63:I63"/>
    <mergeCell ref="J63:L63"/>
    <mergeCell ref="M63:O63"/>
    <mergeCell ref="M71:O71"/>
    <mergeCell ref="M67:O67"/>
    <mergeCell ref="P71:R71"/>
    <mergeCell ref="D73:F73"/>
    <mergeCell ref="G73:I73"/>
    <mergeCell ref="J73:L73"/>
    <mergeCell ref="M73:O73"/>
    <mergeCell ref="P73:R73"/>
    <mergeCell ref="D71:F71"/>
    <mergeCell ref="G71:I71"/>
    <mergeCell ref="J71:L71"/>
    <mergeCell ref="P67:R67"/>
    <mergeCell ref="D69:F69"/>
    <mergeCell ref="G69:I69"/>
    <mergeCell ref="J69:L69"/>
    <mergeCell ref="M69:O69"/>
    <mergeCell ref="P69:R69"/>
    <mergeCell ref="D67:F67"/>
    <mergeCell ref="G67:I67"/>
    <mergeCell ref="J67:L67"/>
  </mergeCells>
  <phoneticPr fontId="0" type="noConversion"/>
  <pageMargins left="0.78740157480314965" right="0.19685039370078741" top="0.59055118110236227" bottom="0.98425196850393704" header="0.51181102362204722" footer="0.51181102362204722"/>
  <pageSetup paperSize="9" scale="80" orientation="portrait" verticalDpi="360" r:id="rId1"/>
  <headerFooter alignWithMargins="0">
    <oddFooter>&amp;L&amp;8LEL Schw. Gmünd; Abt. IV; LLM; (WS)&amp;C&amp;8&amp;F&amp;R&amp;8&amp;D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8</vt:i4>
      </vt:variant>
    </vt:vector>
  </HeadingPairs>
  <TitlesOfParts>
    <vt:vector size="20" baseType="lpstr">
      <vt:lpstr>Programmbeschreibung</vt:lpstr>
      <vt:lpstr>Kalkulation</vt:lpstr>
      <vt:lpstr>Aktueller_Stand_EEG_2021</vt:lpstr>
      <vt:lpstr>Artikel_Energiewende</vt:lpstr>
      <vt:lpstr>Vergütungen</vt:lpstr>
      <vt:lpstr>EK_Verzinsung</vt:lpstr>
      <vt:lpstr>Darlehen1</vt:lpstr>
      <vt:lpstr>Darlehen2</vt:lpstr>
      <vt:lpstr>Darlehen3</vt:lpstr>
      <vt:lpstr>Endfälliges Darlehen</vt:lpstr>
      <vt:lpstr>Einstrahlung</vt:lpstr>
      <vt:lpstr>Ertragsabschätzung</vt:lpstr>
      <vt:lpstr>Aktueller_Stand_EEG_2021!Druckbereich</vt:lpstr>
      <vt:lpstr>Artikel_Energiewende!Druckbereich</vt:lpstr>
      <vt:lpstr>EK_Verzinsung!Druckbereich</vt:lpstr>
      <vt:lpstr>'Endfälliges Darlehen'!Druckbereich</vt:lpstr>
      <vt:lpstr>Kalkulation!Druckbereich</vt:lpstr>
      <vt:lpstr>Programmbeschreibung!Druckbereich</vt:lpstr>
      <vt:lpstr>Vergütungen!Druckbereich</vt:lpstr>
      <vt:lpstr>Programmbeschreibung!Drucktitel</vt:lpstr>
    </vt:vector>
  </TitlesOfParts>
  <Company>LEL Schwäbisch Gmünd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Photovoltaik_Rechner_Version 1.0</dc:title>
  <dc:subject>Photovoltaik, Fotovoltaik, Kalkulation, Wirtschaftlichkeit, Interner Zinsfuß, Liquidität, Liquiditätsvorschau, Finanzierung</dc:subject>
  <dc:creator>Werner Schmid</dc:creator>
  <cp:keywords>Photovoltaik, Fotovoltaik, Kalkulation, Wirtschaftlichkeit, Interner Zinsfuß, Liquidität, Liquiditätsvorschau, Finanzierung,</cp:keywords>
  <dc:description>Excel- Anwendung zur Kalkulation der Wirtschaftlichkeit von_x000d_
Fotovoltaik-Anlagen; Erstellung einer Liquiditätsvorschau; Stand April 2004</dc:description>
  <cp:lastModifiedBy>Schmid, Werner (LEL-SG)</cp:lastModifiedBy>
  <cp:lastPrinted>2022-08-01T14:06:19Z</cp:lastPrinted>
  <dcterms:created xsi:type="dcterms:W3CDTF">2002-07-12T13:30:28Z</dcterms:created>
  <dcterms:modified xsi:type="dcterms:W3CDTF">2022-09-07T10:46:26Z</dcterms:modified>
</cp:coreProperties>
</file>